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6608" windowHeight="9432" tabRatio="665" activeTab="0"/>
  </bookViews>
  <sheets>
    <sheet name="Part 1" sheetId="1" r:id="rId1"/>
    <sheet name="Part 2" sheetId="2" r:id="rId2"/>
    <sheet name="Part 3" sheetId="3" r:id="rId3"/>
    <sheet name="Part 4" sheetId="4" r:id="rId4"/>
    <sheet name="Sheet2" sheetId="5" state="hidden" r:id="rId5"/>
    <sheet name="Data" sheetId="6" state="hidden" r:id="rId6"/>
    <sheet name="Datasheet1" sheetId="7" r:id="rId7"/>
    <sheet name="Datasheet2" sheetId="8" r:id="rId8"/>
    <sheet name="Datasheet3" sheetId="9" r:id="rId9"/>
    <sheet name="Datasheet4" sheetId="10" r:id="rId10"/>
  </sheets>
  <externalReferences>
    <externalReference r:id="rId13"/>
    <externalReference r:id="rId14"/>
  </externalReferences>
  <definedNames>
    <definedName name="Adur" localSheetId="6">'[1]DATA'!#REF!</definedName>
    <definedName name="Adur" localSheetId="9">'[1]DATA'!#REF!</definedName>
    <definedName name="Adur">'[1]DATA'!#REF!</definedName>
    <definedName name="BRprint1" localSheetId="6">#REF!</definedName>
    <definedName name="BRprint1" localSheetId="9">#REF!</definedName>
    <definedName name="BRprint1">#REF!</definedName>
    <definedName name="BRprint2" localSheetId="6">#REF!</definedName>
    <definedName name="BRprint2" localSheetId="9">#REF!</definedName>
    <definedName name="BRprint2">#REF!</definedName>
    <definedName name="CERDATA" localSheetId="6">'[2]Section A'!#REF!</definedName>
    <definedName name="CERDATA" localSheetId="9">'[2]Section A'!#REF!</definedName>
    <definedName name="CERDATA">'[2]Section A'!#REF!</definedName>
    <definedName name="CONTACT">#REF!</definedName>
    <definedName name="datar">'Data'!$A$8:$C$334</definedName>
    <definedName name="detruse" localSheetId="6">#REF!</definedName>
    <definedName name="detruse" localSheetId="9">#REF!</definedName>
    <definedName name="detruse">#REF!</definedName>
    <definedName name="dtlruse" localSheetId="6">#REF!</definedName>
    <definedName name="dtlruse" localSheetId="9">#REF!</definedName>
    <definedName name="dtlruse">#REF!</definedName>
    <definedName name="LAcodes" localSheetId="6">#REF!</definedName>
    <definedName name="LAcodes" localSheetId="9">#REF!</definedName>
    <definedName name="LAcodes">#REF!</definedName>
    <definedName name="LAlist" localSheetId="6">#REF!</definedName>
    <definedName name="LAlist" localSheetId="9">#REF!</definedName>
    <definedName name="LAlist">#REF!</definedName>
    <definedName name="NNDR1" localSheetId="4">'Sheet2'!$A$1:$X$29</definedName>
    <definedName name="NNDR1">#REF!</definedName>
    <definedName name="NNDR1S">#REF!</definedName>
    <definedName name="numberhered" localSheetId="6">#REF!</definedName>
    <definedName name="numberhered" localSheetId="9">#REF!</definedName>
    <definedName name="numberhered">#REF!</definedName>
    <definedName name="Part1">'Datasheet1'!$A$8:$CA$334</definedName>
    <definedName name="Part2" localSheetId="6">'Datasheet1'!$A$8:$BX$333</definedName>
    <definedName name="Part2" localSheetId="1">'Datasheet2'!$A$8:$FD$334</definedName>
    <definedName name="Part2">'Datasheet2'!$A$8:$FB$333</definedName>
    <definedName name="Part3" localSheetId="9">'Datasheet4'!$A$8:$T$334</definedName>
    <definedName name="Part3">'Datasheet3'!$A$8:$AD$334</definedName>
    <definedName name="Part4">'Datasheet4'!$A$8:$T$334</definedName>
    <definedName name="_xlnm.Print_Area" localSheetId="6">'D:\temp\[CER 13-14_Version 2.xls]Section A'!#REF!</definedName>
    <definedName name="_xlnm.Print_Area" localSheetId="9">'D:\temp\[CER 13-14_Version 2.xls]Section A'!#REF!</definedName>
    <definedName name="_xlnm.Print_Area" localSheetId="0">'Part 1'!$A$1:$Z$124</definedName>
    <definedName name="_xlnm.Print_Area" localSheetId="1">'Part 2'!$A$1:$Y$171</definedName>
    <definedName name="_xlnm.Print_Area" localSheetId="2">'Part 3'!$A$1:$S$43</definedName>
    <definedName name="_xlnm.Print_Area" localSheetId="3">'Part 4'!$A$1:$O$55</definedName>
    <definedName name="_xlnm.Print_Area">'D:\temp\[CER 13-14_Version 2.xls]Section A'!#REF!</definedName>
    <definedName name="_xlnm.Print_Titles" localSheetId="5">'Data'!$1:$7</definedName>
    <definedName name="_xlnm.Print_Titles" localSheetId="0">'Part 1'!$1:$6</definedName>
    <definedName name="_xlnm.Print_Titles" localSheetId="1">'Part 2'!$1:$12</definedName>
    <definedName name="Table" localSheetId="6">#REF!</definedName>
    <definedName name="Table" localSheetId="9">#REF!</definedName>
    <definedName name="Table">#REF!</definedName>
    <definedName name="table1" localSheetId="6">#REF!</definedName>
    <definedName name="table1" localSheetId="9">#REF!</definedName>
    <definedName name="table1">#REF!</definedName>
    <definedName name="tiersplit">#REF!</definedName>
    <definedName name="Validation" localSheetId="6">#REF!</definedName>
    <definedName name="Validation" localSheetId="9">#REF!</definedName>
    <definedName name="Validation">#REF!</definedName>
    <definedName name="zzz" localSheetId="6">#REF!</definedName>
    <definedName name="zzz" localSheetId="9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<sst xmlns="http://schemas.openxmlformats.org/spreadsheetml/2006/main" count="4974" uniqueCount="1058">
  <si>
    <t>E5010</t>
  </si>
  <si>
    <t>Colchester</t>
  </si>
  <si>
    <t>E1536</t>
  </si>
  <si>
    <t>Copeland</t>
  </si>
  <si>
    <t>E0934</t>
  </si>
  <si>
    <t>Corby</t>
  </si>
  <si>
    <t>E2831</t>
  </si>
  <si>
    <t>Cornwall UA</t>
  </si>
  <si>
    <t>E0801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</si>
  <si>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</si>
  <si>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</si>
  <si>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</si>
  <si>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</si>
  <si>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</si>
  <si>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</si>
  <si>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</si>
  <si>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</si>
  <si>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</si>
  <si>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</si>
  <si>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</si>
  <si>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1. Opening Balance (From Collection Fund Statement)</t>
  </si>
  <si>
    <t xml:space="preserve">2.  Total amount credited, or to be credited, to the Collection Fund in 2013-14 </t>
  </si>
  <si>
    <t xml:space="preserve">3.  Transitional protection payments received, or to be received in 2013-14 </t>
  </si>
  <si>
    <t xml:space="preserve">4.  Transfers/payments to the Collection Fund for end-year reconciliations </t>
  </si>
  <si>
    <t>5. Transfers/payments into the Collection Fund in 2013-14 in respect of a previous year's deficit</t>
  </si>
  <si>
    <t>6.  Total Credits</t>
  </si>
  <si>
    <t xml:space="preserve">7.  Total amount charged, or to be charged, to the Collection fund in 2013-14 </t>
  </si>
  <si>
    <t xml:space="preserve">8.  Transitional protection payments made, or to be made, in 2013-14 </t>
  </si>
  <si>
    <t xml:space="preserve">9. Payments made, or to be made, to the Secretary of State in respect of the central share
in 2013-14 </t>
  </si>
  <si>
    <t xml:space="preserve">10.  Payments made, or to be made to, major precepting authorities in respect of business </t>
  </si>
  <si>
    <t xml:space="preserve">11. Transfers made, or to be made, to the billing authority's General Fund in respect of business rates income in 2013-14 </t>
  </si>
  <si>
    <t xml:space="preserve">12.  Transfers made, or to be made, to the billing authority's General Fund; and payments made, </t>
  </si>
  <si>
    <t>14. Transfers/payments made from the Collection Fund in 2013-14 in respect of a previous year's surplus</t>
  </si>
  <si>
    <t>15.  Total Charges</t>
  </si>
  <si>
    <t>16. Adjustment for 5-Year Spread</t>
  </si>
  <si>
    <t>17.  Opening balance plus total credits, less total charges, plus adjustment for 5-year spread</t>
  </si>
  <si>
    <t>13. Transfers/payments from the Collection Fund for end-year reconciliations</t>
  </si>
  <si>
    <t>E1932</t>
  </si>
  <si>
    <t>Darlington</t>
  </si>
  <si>
    <t>E1301</t>
  </si>
  <si>
    <t>Dartford</t>
  </si>
  <si>
    <t>E2233</t>
  </si>
  <si>
    <t>Daventry</t>
  </si>
  <si>
    <t>E2832</t>
  </si>
  <si>
    <t>Derby</t>
  </si>
  <si>
    <t>E1001</t>
  </si>
  <si>
    <t>Derbyshire Dales</t>
  </si>
  <si>
    <t>E1035</t>
  </si>
  <si>
    <t>Doncaster</t>
  </si>
  <si>
    <t>E4402</t>
  </si>
  <si>
    <t>TOTAL
(All BA Area)</t>
  </si>
  <si>
    <t>BA Area
(exc. NDD &amp; EZ)</t>
  </si>
  <si>
    <t xml:space="preserve">PART 1A: NON-DOMESTIC RATING INCOME </t>
  </si>
  <si>
    <t>10.  Amounts retained in respect of Renewable Energy Schemes (See Note B)</t>
  </si>
  <si>
    <t xml:space="preserve"> rates income in 2013-14</t>
  </si>
  <si>
    <t xml:space="preserve">or to be made, to a precepting authority in respect of disregarded amounts in 2013-14 </t>
  </si>
  <si>
    <t>ESTIMATED SURPLUS/(DEFICIT) ON COLLECTION FUND IN RESPECT OF FINANCIAL YEAR 2013-14</t>
  </si>
  <si>
    <t>Central
Government</t>
  </si>
  <si>
    <t xml:space="preserve">18. add: amounts retained in respect of Enterprise Zones </t>
  </si>
  <si>
    <t xml:space="preserve">19. add: amounts retained in respect of NDD Area </t>
  </si>
  <si>
    <t>8.  Amounts retained in respect of Enterprise Zones</t>
  </si>
  <si>
    <t>Estimated Surplus/Deficit on Collection Fund</t>
  </si>
  <si>
    <t xml:space="preserve">of which: </t>
  </si>
  <si>
    <t>Dover</t>
  </si>
  <si>
    <t>E2234</t>
  </si>
  <si>
    <t>Dudley</t>
  </si>
  <si>
    <t>E4603</t>
  </si>
  <si>
    <t>Durham UA</t>
  </si>
  <si>
    <t>E1302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</si>
  <si>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</si>
  <si>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</si>
  <si>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</si>
  <si>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</si>
  <si>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</si>
  <si>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</si>
  <si>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</si>
  <si>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</si>
  <si>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</si>
  <si>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</si>
  <si>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</si>
  <si>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</si>
  <si>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</si>
  <si>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</si>
  <si>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</si>
  <si>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</si>
  <si>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East Riding of Yorkshire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</si>
  <si>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</si>
  <si>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</si>
  <si>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</si>
  <si>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</si>
  <si>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</si>
  <si>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</si>
  <si>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</si>
  <si>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</si>
  <si>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</si>
  <si>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</si>
  <si>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</si>
  <si>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</si>
  <si>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</si>
  <si>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</si>
  <si>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</si>
  <si>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</si>
  <si>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</si>
  <si>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</si>
  <si>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</si>
  <si>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</si>
  <si>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</si>
  <si>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</si>
  <si>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</si>
  <si>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</si>
  <si>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</si>
  <si>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</si>
  <si>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</si>
  <si>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</si>
  <si>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</si>
  <si>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</si>
  <si>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</si>
  <si>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</si>
  <si>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</si>
  <si>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</si>
  <si>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</si>
  <si>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</si>
  <si>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</si>
  <si>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</si>
  <si>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</si>
  <si>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</si>
  <si>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</si>
  <si>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</si>
  <si>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</si>
  <si>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</si>
  <si>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</si>
  <si>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</si>
  <si>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</si>
  <si>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</si>
  <si>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</si>
  <si>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Halton</t>
  </si>
  <si>
    <t>E0601</t>
  </si>
  <si>
    <t>Hambleton</t>
  </si>
  <si>
    <t>E2732</t>
  </si>
  <si>
    <t>Hammersmith and Fulham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</si>
  <si>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</si>
  <si>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</si>
  <si>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</si>
  <si>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</si>
  <si>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</si>
  <si>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</si>
  <si>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</si>
  <si>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</si>
  <si>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</si>
  <si>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</si>
  <si>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</si>
  <si>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</si>
  <si>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</si>
  <si>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Hartlepool</t>
  </si>
  <si>
    <t>E0701</t>
  </si>
  <si>
    <t>Hastings</t>
  </si>
  <si>
    <t>E1433</t>
  </si>
  <si>
    <t>Havant</t>
  </si>
  <si>
    <t>E1737</t>
  </si>
  <si>
    <t>Havering</t>
  </si>
  <si>
    <t>E5040</t>
  </si>
  <si>
    <t>Herefordshire</t>
  </si>
  <si>
    <t>E1801</t>
  </si>
  <si>
    <t>Hertsmere</t>
  </si>
  <si>
    <t>E1934</t>
  </si>
  <si>
    <t>High Peak</t>
  </si>
  <si>
    <t>E1037</t>
  </si>
  <si>
    <t>Hillingdon</t>
  </si>
  <si>
    <t>E5041</t>
  </si>
  <si>
    <t>Hinckley and Bosworth</t>
  </si>
  <si>
    <t>E2434</t>
  </si>
  <si>
    <t>Horsham</t>
  </si>
  <si>
    <t>E3835</t>
  </si>
  <si>
    <t>Hounslow</t>
  </si>
  <si>
    <t>E5042</t>
  </si>
  <si>
    <t>Huntingdonshire</t>
  </si>
  <si>
    <t>E0551</t>
  </si>
  <si>
    <t>Hyndburn</t>
  </si>
  <si>
    <t>E2336</t>
  </si>
  <si>
    <t>Ipswich</t>
  </si>
  <si>
    <t>E3533</t>
  </si>
  <si>
    <t>Isle of Wight Council</t>
  </si>
  <si>
    <t>E2101</t>
  </si>
  <si>
    <t>Isles of Scilly</t>
  </si>
  <si>
    <t>E4001</t>
  </si>
  <si>
    <t>Islington</t>
  </si>
  <si>
    <t>Estimated sums due from Government via Section 31 grant, to compensate authorities for the cost of changes to the business rates system announced 
in the 2013 Autumn Statement.</t>
  </si>
  <si>
    <t>E5015</t>
  </si>
  <si>
    <t>Kensington and Chelsea</t>
  </si>
  <si>
    <t>E5016</t>
  </si>
  <si>
    <t>Kettering</t>
  </si>
  <si>
    <t>E2834</t>
  </si>
  <si>
    <t>Kings Lynn and West Norfolk</t>
  </si>
  <si>
    <t>E2634</t>
  </si>
  <si>
    <t>Kingston upon Hull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</si>
  <si>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</si>
  <si>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</si>
  <si>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</si>
  <si>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</si>
  <si>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</si>
  <si>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</si>
  <si>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</si>
  <si>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</si>
  <si>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</si>
  <si>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</si>
  <si>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</si>
  <si>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</si>
  <si>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</si>
  <si>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Leicester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</si>
  <si>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</si>
  <si>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</si>
  <si>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</si>
  <si>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</si>
  <si>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</si>
  <si>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</si>
  <si>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</si>
  <si>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</si>
  <si>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</si>
  <si>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</si>
  <si>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</si>
  <si>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Luton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</si>
  <si>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</si>
  <si>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</si>
  <si>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</si>
  <si>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</si>
  <si>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</si>
  <si>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</si>
  <si>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</si>
  <si>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</si>
  <si>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</si>
  <si>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</si>
  <si>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</si>
  <si>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Medway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</si>
  <si>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</si>
  <si>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</si>
  <si>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</si>
  <si>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</si>
  <si>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</si>
  <si>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</si>
  <si>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</si>
  <si>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</si>
  <si>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</si>
  <si>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</si>
  <si>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</si>
  <si>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</si>
  <si>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</si>
  <si>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Middlesbrough</t>
  </si>
  <si>
    <t>E0702</t>
  </si>
  <si>
    <t>Milton Keynes</t>
  </si>
  <si>
    <t>E0401</t>
  </si>
  <si>
    <t>Mole Valley</t>
  </si>
  <si>
    <t>E3634</t>
  </si>
  <si>
    <t>New Forest</t>
  </si>
  <si>
    <t>E1738</t>
  </si>
  <si>
    <t>Newark and Sherwood</t>
  </si>
  <si>
    <t>E3036</t>
  </si>
  <si>
    <t>Newcastle-upon-Tyne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</si>
  <si>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</si>
  <si>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</si>
  <si>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</si>
  <si>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</si>
  <si>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</si>
  <si>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</si>
  <si>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</si>
  <si>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</si>
  <si>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</si>
  <si>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</si>
  <si>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</si>
  <si>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North East Lincolnshire</t>
  </si>
  <si>
    <t>E2003</t>
  </si>
  <si>
    <t>North Hertfordshire</t>
  </si>
  <si>
    <t>E1935</t>
  </si>
  <si>
    <t>North Kesteven</t>
  </si>
  <si>
    <t>E2534</t>
  </si>
  <si>
    <t>North Lincolnshire</t>
  </si>
  <si>
    <t>E2004</t>
  </si>
  <si>
    <t>North Norfolk</t>
  </si>
  <si>
    <t>E2635</t>
  </si>
  <si>
    <t>North Somerset</t>
  </si>
  <si>
    <t>E0104</t>
  </si>
  <si>
    <t>North Tyneside</t>
  </si>
  <si>
    <t>E4503</t>
  </si>
  <si>
    <t>North Warwickshire</t>
  </si>
  <si>
    <t>E3731</t>
  </si>
  <si>
    <t>5.  Renewable Energy</t>
  </si>
  <si>
    <t xml:space="preserve">6.  Transitional Protection Payment </t>
  </si>
  <si>
    <t xml:space="preserve">7.  Baseline </t>
  </si>
  <si>
    <t xml:space="preserve">OPENING BALANCE </t>
  </si>
  <si>
    <t xml:space="preserve">CREDITS </t>
  </si>
  <si>
    <t xml:space="preserve">CHARGES </t>
  </si>
  <si>
    <t>PART 1B: PAYMENTS</t>
  </si>
  <si>
    <t>MANDATORY RELIEFS</t>
  </si>
  <si>
    <t>DISCRETIONARY RELIEFS</t>
  </si>
  <si>
    <t>15. (less) qualifying relief in Enterprise Zones</t>
  </si>
  <si>
    <t>21. add: qualifying relief in Enterprise Zones</t>
  </si>
  <si>
    <t>31.  Total amount of Section 31 grant due to authorities</t>
  </si>
  <si>
    <t>PART 2: NET RATES PAYABLE</t>
  </si>
  <si>
    <r>
      <t>9</t>
    </r>
    <r>
      <rPr>
        <sz val="12"/>
        <color indexed="10"/>
        <rFont val="Arial"/>
        <family val="2"/>
      </rPr>
      <t xml:space="preserve">. </t>
    </r>
    <r>
      <rPr>
        <sz val="12"/>
        <rFont val="Arial"/>
        <family val="2"/>
      </rPr>
      <t>Changes to net cost of transitional arrangements as a result of estimated growth/decline</t>
    </r>
  </si>
  <si>
    <t>22. Forecast of 'relief' to be provided in 2014-15</t>
  </si>
  <si>
    <t>23. Forecast of 'relief' to be provided in 2014-15</t>
  </si>
  <si>
    <t>24.  Forecast of unoccupied property 'relief' to be provided in 2014-15 (Line 22 + line 23)</t>
  </si>
  <si>
    <t>25.  Changes as a result of estimated growth/decline in unoccupied property 'relief'</t>
  </si>
  <si>
    <t>26. Total forecast unoccupied property 'relief' to be provided in 2014-15</t>
  </si>
  <si>
    <t>DISRERGARDED AMOUNTS</t>
  </si>
  <si>
    <t>8. Total Disregarded Amounts</t>
  </si>
  <si>
    <t>North West Leicestershire</t>
  </si>
  <si>
    <t>E2437</t>
  </si>
  <si>
    <t>Northampton</t>
  </si>
  <si>
    <t>E2835</t>
  </si>
  <si>
    <t>Northumberland UA</t>
  </si>
  <si>
    <t>E2901</t>
  </si>
  <si>
    <t>Norwich</t>
  </si>
  <si>
    <t>E2636</t>
  </si>
  <si>
    <t>Nottingham</t>
  </si>
  <si>
    <t>E3001</t>
  </si>
  <si>
    <t>Nuneaton and Bedworth</t>
  </si>
  <si>
    <t>E3732</t>
  </si>
  <si>
    <t>Oadby and Wigston</t>
  </si>
  <si>
    <t>E2438</t>
  </si>
  <si>
    <t>Oldham</t>
  </si>
  <si>
    <t>E4204</t>
  </si>
  <si>
    <t>Oxford</t>
  </si>
  <si>
    <t>E3132</t>
  </si>
  <si>
    <t>Pendle</t>
  </si>
  <si>
    <t>E2338</t>
  </si>
  <si>
    <t>Peterborough</t>
  </si>
  <si>
    <t>E0501</t>
  </si>
  <si>
    <t>Plymouth</t>
  </si>
  <si>
    <t>E1101</t>
  </si>
  <si>
    <t>Poole</t>
  </si>
  <si>
    <t>E1201</t>
  </si>
  <si>
    <t>Portsmouth</t>
  </si>
  <si>
    <t>E1701</t>
  </si>
  <si>
    <t>Preston</t>
  </si>
  <si>
    <t>E2339</t>
  </si>
  <si>
    <t>Purbeck</t>
  </si>
  <si>
    <t>E1236</t>
  </si>
  <si>
    <t>Reading</t>
  </si>
  <si>
    <t>E0303</t>
  </si>
  <si>
    <t>Redbridge</t>
  </si>
  <si>
    <t>E5046</t>
  </si>
  <si>
    <t>Redcar and Cleveland</t>
  </si>
  <si>
    <t>E0703</t>
  </si>
  <si>
    <t>Redditch</t>
  </si>
  <si>
    <t>E1835</t>
  </si>
  <si>
    <t>Reigate and Banstead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</si>
  <si>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</si>
  <si>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</si>
  <si>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</si>
  <si>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</si>
  <si>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</si>
  <si>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</si>
  <si>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</si>
  <si>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</si>
  <si>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</si>
  <si>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</si>
  <si>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</si>
  <si>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</si>
  <si>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</si>
  <si>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</si>
  <si>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</si>
  <si>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</si>
  <si>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</si>
  <si>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</si>
  <si>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</si>
  <si>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</si>
  <si>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</si>
  <si>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</si>
  <si>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</si>
  <si>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</si>
  <si>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</si>
  <si>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Rutland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</si>
  <si>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</si>
  <si>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</si>
  <si>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</si>
  <si>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</si>
  <si>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</si>
  <si>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</si>
  <si>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</si>
  <si>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</si>
  <si>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</si>
  <si>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</si>
  <si>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24.  Total amount due to authorities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</si>
  <si>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</si>
  <si>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</si>
  <si>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</si>
  <si>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</si>
  <si>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</si>
  <si>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</si>
  <si>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</si>
  <si>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</si>
  <si>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</si>
  <si>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</si>
  <si>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</si>
  <si>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Shropshire UA</t>
  </si>
  <si>
    <t>E3202</t>
  </si>
  <si>
    <t>Slough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</si>
  <si>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</si>
  <si>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</si>
  <si>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</si>
  <si>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</si>
  <si>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</si>
  <si>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</si>
  <si>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</si>
  <si>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</si>
  <si>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</si>
  <si>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South Gloucestershire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</si>
  <si>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</si>
  <si>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</si>
  <si>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</si>
  <si>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</si>
  <si>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</si>
  <si>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</si>
  <si>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</si>
  <si>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</si>
  <si>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</si>
  <si>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</si>
  <si>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</si>
  <si>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</si>
  <si>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</si>
  <si>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</si>
  <si>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</si>
  <si>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</si>
  <si>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</si>
  <si>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</si>
  <si>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</si>
  <si>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</si>
  <si>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</si>
  <si>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</si>
  <si>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</si>
  <si>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Southampton</t>
  </si>
  <si>
    <t>E1702</t>
  </si>
  <si>
    <t>Southend-on-Sea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</si>
  <si>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</si>
  <si>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</si>
  <si>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</si>
  <si>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</si>
  <si>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</si>
  <si>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</si>
  <si>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</si>
  <si>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</si>
  <si>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</si>
  <si>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</si>
  <si>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</si>
  <si>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</si>
  <si>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</si>
  <si>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</si>
  <si>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</si>
  <si>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</si>
  <si>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</si>
  <si>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</si>
  <si>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</si>
  <si>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Stockton-on-Tees</t>
  </si>
  <si>
    <t>E0704</t>
  </si>
  <si>
    <t>Stoke-on-Trent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</si>
  <si>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</si>
  <si>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</si>
  <si>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</si>
  <si>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</si>
  <si>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</si>
  <si>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</si>
  <si>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</si>
  <si>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</si>
  <si>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</si>
  <si>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</si>
  <si>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</si>
  <si>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</si>
  <si>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</si>
  <si>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</si>
  <si>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</si>
  <si>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Swindon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</si>
  <si>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</si>
  <si>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</si>
  <si>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</si>
  <si>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</si>
  <si>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</si>
  <si>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</si>
  <si>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</si>
  <si>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</si>
  <si>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</si>
  <si>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</si>
  <si>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</si>
  <si>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Telford and the Wrekin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</si>
  <si>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</si>
  <si>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</si>
  <si>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</si>
  <si>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</si>
  <si>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</si>
  <si>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</si>
  <si>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</si>
  <si>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</si>
  <si>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</si>
  <si>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</si>
  <si>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</si>
  <si>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Thurrock</t>
  </si>
  <si>
    <t>E1502</t>
  </si>
  <si>
    <t>Tonbridge and Malling</t>
  </si>
  <si>
    <t>E2243</t>
  </si>
  <si>
    <t>Torbay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</si>
  <si>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</si>
  <si>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</si>
  <si>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</si>
  <si>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</si>
  <si>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</si>
  <si>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</si>
  <si>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</si>
  <si>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</si>
  <si>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</si>
  <si>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</si>
  <si>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</si>
  <si>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</si>
  <si>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</si>
  <si>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</si>
  <si>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</si>
  <si>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</si>
  <si>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</si>
  <si>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</si>
  <si>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</si>
  <si>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</si>
  <si>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</si>
  <si>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Warrington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</si>
  <si>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</si>
  <si>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</si>
  <si>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</si>
  <si>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</si>
  <si>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</si>
  <si>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</si>
  <si>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</si>
  <si>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</si>
  <si>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</si>
  <si>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</si>
  <si>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</si>
  <si>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</si>
  <si>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</si>
  <si>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</si>
  <si>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</si>
  <si>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West Berkshire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</si>
  <si>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</si>
  <si>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</si>
  <si>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</si>
  <si>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</si>
  <si>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</si>
  <si>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</si>
  <si>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</si>
  <si>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</si>
  <si>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</si>
  <si>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</si>
  <si>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</si>
  <si>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</si>
  <si>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</si>
  <si>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</si>
  <si>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</si>
  <si>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Weymouth and Portland</t>
  </si>
  <si>
    <t>E1238</t>
  </si>
  <si>
    <t>Wigan</t>
  </si>
  <si>
    <t>E4210</t>
  </si>
  <si>
    <t>Wiltshire UA</t>
  </si>
  <si>
    <t>E3902</t>
  </si>
  <si>
    <t>Winchester</t>
  </si>
  <si>
    <t>E1743</t>
  </si>
  <si>
    <t>Windsor and Maidenhead</t>
  </si>
  <si>
    <t>E0305</t>
  </si>
  <si>
    <t>Wirral</t>
  </si>
  <si>
    <t>E4305</t>
  </si>
  <si>
    <t>Woking</t>
  </si>
  <si>
    <t>E3641</t>
  </si>
  <si>
    <t>Wokingham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</si>
  <si>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</si>
  <si>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</si>
  <si>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</si>
  <si>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</si>
  <si>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</si>
  <si>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</si>
  <si>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</si>
  <si>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</si>
  <si>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</si>
  <si>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</si>
  <si>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</si>
  <si>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</si>
  <si>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</si>
  <si>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</si>
  <si>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</si>
  <si>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York</t>
  </si>
  <si>
    <t>E2701</t>
  </si>
  <si>
    <t>EZZZZ</t>
  </si>
  <si>
    <t xml:space="preserve">Select your local authority's name from this list: </t>
  </si>
  <si>
    <t>29. Relief on occupation of "long-term empty" property</t>
  </si>
  <si>
    <t>36. Relief given to Case A hereditaments</t>
  </si>
  <si>
    <t>37. Relief given to Case B hereditaments</t>
  </si>
  <si>
    <t>14. Additional yield from the small business supplement</t>
  </si>
  <si>
    <t>15.  Net cost of small business rate relief (line 12-line 14)</t>
  </si>
  <si>
    <t>19.  Forecast of mandatory reliefs to be provided in 2014-15 (Sum of lines 15 to 18)</t>
  </si>
  <si>
    <t>33.  Forecast of discretionary relief to be provided in 2014-15 (Sum of lines 27 to 32)</t>
  </si>
  <si>
    <t>41.  Forecast of discretionary reliefs funded through S31 grant to be provided in 2014-15
(Sum of lines 38 to 40)</t>
  </si>
  <si>
    <t>18. Forecast of relief to be provided in 2014-15</t>
  </si>
  <si>
    <t>20. Changes as a result of estimated growth/decline in mandatory relief</t>
  </si>
  <si>
    <t>21. Total forecast mandatory reliefs to be provided in 2014-15</t>
  </si>
  <si>
    <t>Partially occupied hereditaments</t>
  </si>
  <si>
    <t>Empty premises</t>
  </si>
  <si>
    <t>"New Empty" properties</t>
  </si>
  <si>
    <t>38. Forecast of relief to be provided in 2014-15</t>
  </si>
  <si>
    <t>39. Forecast of relief to be provided in 2014-15</t>
  </si>
  <si>
    <t>"Long term empty" properties</t>
  </si>
  <si>
    <t>Retail relief</t>
  </si>
  <si>
    <t>40. Forecast of relief to be provided in 2014-15</t>
  </si>
  <si>
    <t>25. Cost of 2% cap on 2014-15 small business rates multiplier</t>
  </si>
  <si>
    <t>44.  Forecast of net rates payable by rate payers after taking account of transitional adjustments, unoccupied property relief, mandatory and discretionary reliefs</t>
  </si>
  <si>
    <t>43.  Total forecast of discretionary reliefs funded through S31 grant to be provided in 2014-15</t>
  </si>
  <si>
    <t>000</t>
  </si>
  <si>
    <t>NDR114XXX</t>
  </si>
  <si>
    <t>,</t>
  </si>
  <si>
    <t>42.  Changes as a result of estimated growth/decline in Section 31 discretionary relief</t>
  </si>
  <si>
    <t>2. Small business rating multiplier for 2014-15 (pence)</t>
  </si>
  <si>
    <t xml:space="preserve">3. Estimated repayments in respect of 2014-15 rates payable </t>
  </si>
  <si>
    <t>2014-15 Multiplier Cap</t>
  </si>
  <si>
    <t>26. Cost to authorities of temporary doubling in 2014-15</t>
  </si>
  <si>
    <t>27. Cost to authorities of maintaining relief on "first" property</t>
  </si>
  <si>
    <t>"New Empty" Property Relief</t>
  </si>
  <si>
    <t>28. Cost to authorities of giving relief to newly-built empty property</t>
  </si>
  <si>
    <t>"Long Term Empty" Property Relief</t>
  </si>
  <si>
    <t>Retail Relief</t>
  </si>
  <si>
    <t>30. Relief provided to retail properties</t>
  </si>
  <si>
    <t>PART 3: COLLECTABLE RATES AND DISREGARDED AMOUNTS</t>
  </si>
  <si>
    <t xml:space="preserve">COLLECTABLE RATES </t>
  </si>
  <si>
    <t>£</t>
  </si>
  <si>
    <t>2.  Sums due to the authority</t>
  </si>
  <si>
    <t xml:space="preserve">3.  Sums due from the authority </t>
  </si>
  <si>
    <t xml:space="preserve"> 2014-15</t>
  </si>
  <si>
    <t>Column 1</t>
  </si>
  <si>
    <t>Column 2</t>
  </si>
  <si>
    <t>Column 3</t>
  </si>
  <si>
    <t>Column 4</t>
  </si>
  <si>
    <t>NDD Area</t>
  </si>
  <si>
    <t>Enterprise Zone</t>
  </si>
  <si>
    <t xml:space="preserve">Total Renewable Energy </t>
  </si>
  <si>
    <t>Small Business Rate Relief</t>
  </si>
  <si>
    <t>Community Amateur Sports Clubs (CASCs)</t>
  </si>
  <si>
    <t>Non-profit making bodies</t>
  </si>
  <si>
    <t>Small rural businesses</t>
  </si>
  <si>
    <t xml:space="preserve">The payments to be made, during the course of 2014-15 to: </t>
  </si>
  <si>
    <t>i)   the Secretary of State in accordance with Regulation 4 of the Non-Domestic Rating (Rates Retention) Regulations 2013;</t>
  </si>
  <si>
    <t>ii)  major precepting authorities in accordance with Regulations 5, 6 and 7; and to be</t>
  </si>
  <si>
    <t xml:space="preserve">iii) transferred by the billing authority from its Collection Fund to its General Fund, </t>
  </si>
  <si>
    <t>are set out below</t>
  </si>
  <si>
    <t>Total</t>
  </si>
  <si>
    <t xml:space="preserve"> </t>
  </si>
  <si>
    <t>Non-Domestic Rating Income for 2014-15</t>
  </si>
  <si>
    <t>TOTAL FOR THE YEAR</t>
  </si>
  <si>
    <t>Other Income for 2014-15</t>
  </si>
  <si>
    <t xml:space="preserve">NET RATES PAYABLE </t>
  </si>
  <si>
    <t>5.  Legal costs</t>
  </si>
  <si>
    <t>6.  Allowance for cost of collection</t>
  </si>
  <si>
    <t>4. Cost of collection formula</t>
  </si>
  <si>
    <t>SPECIAL AUTHORITY DEDUCTIONS</t>
  </si>
  <si>
    <t>9.  Amounts retained in respect of NDD areas</t>
  </si>
  <si>
    <t>7.  City of London Offset</t>
  </si>
  <si>
    <t>Column 5</t>
  </si>
  <si>
    <t>2. Estimated bad debts in respect of 2014-15 rates payable</t>
  </si>
  <si>
    <t>4.  Estimated growth/decline in gross rates</t>
  </si>
  <si>
    <t>Charitable occupation</t>
  </si>
  <si>
    <t>Rural shops etc</t>
  </si>
  <si>
    <t>Rural rate relief</t>
  </si>
  <si>
    <t>Other ratepayers</t>
  </si>
  <si>
    <t>30. Forecast of relief to be provided in 2014-15</t>
  </si>
  <si>
    <t>31. Forecast of relief to be provided in 2014-15</t>
  </si>
  <si>
    <t>32. Forecast of relief to be provided in 2014-15</t>
  </si>
  <si>
    <t>NATIONAL NON-DOMESTIC RATES RETURN - NNDR1</t>
  </si>
  <si>
    <t>of which:</t>
  </si>
  <si>
    <t>34.  Changes as a result of estimated growth/decline in discretionary relief</t>
  </si>
  <si>
    <t>35. Total forecast discretionary relief to be provided in 2014-15</t>
  </si>
  <si>
    <t>13. of which: relief on existing properties where a 2nd property is occupied</t>
  </si>
  <si>
    <t>1. Rateable Value at</t>
  </si>
  <si>
    <t>3.  Gross rates 2014-15 - (RV x multiplier)</t>
  </si>
  <si>
    <t>(LESS) LOSSES</t>
  </si>
  <si>
    <t>17. add: cost of collection allowance</t>
  </si>
  <si>
    <t xml:space="preserve">PART 4: ESTIMATED COLLECTION FUND BALANCE </t>
  </si>
  <si>
    <t>11. sums retained by billing authority</t>
  </si>
  <si>
    <t>12. sums retained by major precepting authority</t>
  </si>
  <si>
    <t>13.  Line 1 plus line 2, minus lines 3 and 6 - 10</t>
  </si>
  <si>
    <t xml:space="preserve">20. add: amounts retained in respect of renewable energy schemes </t>
  </si>
  <si>
    <t>22. add: City of London Offset</t>
  </si>
  <si>
    <t>23.  Estimated Surplus/Deficit at end of 2013-14</t>
  </si>
  <si>
    <t xml:space="preserve">COLLECTIBLE RATES </t>
  </si>
  <si>
    <t xml:space="preserve">TRANSITIONAL PROTECTION PAYMENTS </t>
  </si>
  <si>
    <t xml:space="preserve">NON-DOMESTIC RATING INCOME </t>
  </si>
  <si>
    <t xml:space="preserve">DISREGARDED AMOUNTS </t>
  </si>
  <si>
    <t>4.  Net Rates payable less losses</t>
  </si>
  <si>
    <t xml:space="preserve">5. Forecast gross rates payable in 2014-15 </t>
  </si>
  <si>
    <t xml:space="preserve">6.  Revenue foregone because increases in rates have been deferred </t>
  </si>
  <si>
    <t xml:space="preserve">7.  Additional income received because reductions in rates have been deferred </t>
  </si>
  <si>
    <t>8.  Net cost of transitional arrangements</t>
  </si>
  <si>
    <t>10. Forecast net cost of transitional arrangements</t>
  </si>
  <si>
    <t>11. Sum due to/(from) authority</t>
  </si>
  <si>
    <t>12. Forecast of relief to be provided in 2014-15</t>
  </si>
  <si>
    <t>16. Forecast of relief to be provided in 2014-15</t>
  </si>
  <si>
    <t>17. Forecast of relief to be provided in 2014-15</t>
  </si>
  <si>
    <t>27. Forecast of relief to be provided in 2014-15</t>
  </si>
  <si>
    <t>28. Forecast of relief to be provided in 2014-15</t>
  </si>
  <si>
    <t>29. Forecast of relief to be provided in 2014-15</t>
  </si>
  <si>
    <t xml:space="preserve">1.  Net amount receivable from rate payers after taking account of transitional adjustments, empty property rate, mandatory and discretionary reliefs and accounting adjustments </t>
  </si>
  <si>
    <t xml:space="preserve">14. Non-domestic rating income from rates retention scheme </t>
  </si>
  <si>
    <t xml:space="preserve">TOTAL:  </t>
  </si>
  <si>
    <t>1.  Sum payable by rate payers after taking account of transitional adjustments, empty property rate, mandatory and discretionary reliefs</t>
  </si>
  <si>
    <t>No.</t>
  </si>
  <si>
    <t>Local Authority</t>
  </si>
  <si>
    <t>Ecodes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</si>
  <si>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</si>
  <si>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</si>
  <si>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</si>
  <si>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</si>
  <si>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</si>
  <si>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</si>
  <si>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</si>
  <si>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</si>
  <si>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</si>
  <si>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</si>
  <si>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</si>
  <si>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</si>
  <si>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</si>
  <si>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</si>
  <si>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</si>
  <si>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</si>
  <si>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Barking and Dagenham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</si>
  <si>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</si>
  <si>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</si>
  <si>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</si>
  <si>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</si>
  <si>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</si>
  <si>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</si>
  <si>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</si>
  <si>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</si>
  <si>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</si>
  <si>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</si>
  <si>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</si>
  <si>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</si>
  <si>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</si>
  <si>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Bath &amp; North East Somerset</t>
  </si>
  <si>
    <t>E0101</t>
  </si>
  <si>
    <t>Bedford UA</t>
  </si>
  <si>
    <t>E0202</t>
  </si>
  <si>
    <t>Bexley</t>
  </si>
  <si>
    <t>E5032</t>
  </si>
  <si>
    <t>Birmingham</t>
  </si>
  <si>
    <t>E4601</t>
  </si>
  <si>
    <t>Blaby</t>
  </si>
  <si>
    <t>E2431</t>
  </si>
  <si>
    <t>Blackburn with Darwen</t>
  </si>
  <si>
    <t>E2301</t>
  </si>
  <si>
    <t>Blackpool</t>
  </si>
  <si>
    <t>E2302</t>
  </si>
  <si>
    <t>Bolsover</t>
  </si>
  <si>
    <t>E1032</t>
  </si>
  <si>
    <t>Bolton</t>
  </si>
  <si>
    <t>E4201</t>
  </si>
  <si>
    <t>Boston</t>
  </si>
  <si>
    <t>E2531</t>
  </si>
  <si>
    <t>Bournemouth</t>
  </si>
  <si>
    <t>E1202</t>
  </si>
  <si>
    <t>Bracknell Forest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</si>
  <si>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</si>
  <si>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</si>
  <si>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</si>
  <si>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</si>
  <si>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</si>
  <si>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</si>
  <si>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</si>
  <si>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</si>
  <si>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</si>
  <si>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</si>
  <si>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</si>
  <si>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Brighton &amp; Hove</t>
  </si>
  <si>
    <t>E1401</t>
  </si>
  <si>
    <t>Bristol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</si>
  <si>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</si>
  <si>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</si>
  <si>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</si>
  <si>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</si>
  <si>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</si>
  <si>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</si>
  <si>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</si>
  <si>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</si>
  <si>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</si>
  <si>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</si>
  <si>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</si>
  <si>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</si>
  <si>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</si>
  <si>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</si>
  <si>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</si>
  <si>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</si>
  <si>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</si>
  <si>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</si>
  <si>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</si>
  <si>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</si>
  <si>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</si>
  <si>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</si>
  <si>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</si>
  <si>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</si>
  <si>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</si>
  <si>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</si>
  <si>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</si>
  <si>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</si>
  <si>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</si>
  <si>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Central Bedfordshire UA</t>
  </si>
  <si>
    <t>E0203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</si>
  <si>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</si>
  <si>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</si>
  <si>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</si>
  <si>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</si>
  <si>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</si>
  <si>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</si>
  <si>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</si>
  <si>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</si>
  <si>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Cheshire East UA</t>
  </si>
  <si>
    <t>E0603</t>
  </si>
  <si>
    <t>Cheshire West &amp; Chester UA</t>
  </si>
  <si>
    <t>E0604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</si>
  <si>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</si>
  <si>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</si>
  <si>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</si>
  <si>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</si>
  <si>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</si>
  <si>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</si>
  <si>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</si>
  <si>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</si>
  <si>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</si>
  <si>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</si>
  <si>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</si>
  <si>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GROSS RATES PAYABLE</t>
  </si>
  <si>
    <t>TRANSITIONAL ARRANGEMENTS</t>
  </si>
  <si>
    <t>TRANSITIONAL PROTECTION PAYMENTS</t>
  </si>
  <si>
    <t>PART 1C: SECTION 31 GRANT</t>
  </si>
  <si>
    <t>COST OF COLLECTION</t>
  </si>
  <si>
    <t>UNOCCUPIED PROPERTY</t>
  </si>
  <si>
    <t>DISCRETIONARY RELIEFS FUNDED THROUGH SECTION 31 GRANT</t>
  </si>
  <si>
    <t>Gross rates 2014-15 - (RV x multiplier)</t>
  </si>
  <si>
    <t>Estimated growth/decline in gross rates</t>
  </si>
  <si>
    <t xml:space="preserve">Forecast gross rates payable in 2014-15 </t>
  </si>
  <si>
    <t xml:space="preserve">Revenue foregone because increases in rates have been deferred </t>
  </si>
  <si>
    <t xml:space="preserve">Additional income received because reductions in rates have been deferred </t>
  </si>
  <si>
    <t>Net cost of transitional arrangements</t>
  </si>
  <si>
    <t>Changes as a result of estimated growth/decline in transitional relief</t>
  </si>
  <si>
    <t>Forecast net cost of transitional arrangements</t>
  </si>
  <si>
    <t>Sum due to/(from) authority</t>
  </si>
  <si>
    <t>Forecast of relief to be provided in 2014-15</t>
  </si>
  <si>
    <t>of which: relief on existing properties where a 2nd property is occupied</t>
  </si>
  <si>
    <t>Additional yield from the small business supplement</t>
  </si>
  <si>
    <t>Net cost of small business rate relief (line 12-line 14)</t>
  </si>
  <si>
    <t>Total forecast of mandatory reliefs to be provided in 2014-15 (Sum of lines 15 to 18)</t>
  </si>
  <si>
    <t>Changes as a result of estimated growth/decline in mandatory relief</t>
  </si>
  <si>
    <t>Total forecast mandatory reliefs to be provided in 2014-15</t>
  </si>
  <si>
    <t>Changes as a result of estimated growth/decline in unoccupied property relief</t>
  </si>
  <si>
    <t>Total forecast unoccupied property relief to be provided in 2014-15</t>
  </si>
  <si>
    <t>Total forecast of discretionary relief to be provided in 2014-15 (Sum of lines 27 to 32)</t>
  </si>
  <si>
    <t>Changes as a result of estimated growth/decline in discretionary relief</t>
  </si>
  <si>
    <t>Total forecast discretionary relief to be provided in 2014-15</t>
  </si>
  <si>
    <t>Relief given to Case A hereditaments</t>
  </si>
  <si>
    <t>Relief given to Case B hereditaments</t>
  </si>
  <si>
    <t>Total forecast of discretionary reliefs funded through S31 grant to be provided in 2014-15</t>
  </si>
  <si>
    <t>Changes as a result of estimated growth/decline in Section 31 discretionary relief</t>
  </si>
  <si>
    <t>Net Rates Payable</t>
  </si>
  <si>
    <t>Date</t>
  </si>
  <si>
    <t>Charitable relief</t>
  </si>
  <si>
    <t>CASC</t>
  </si>
  <si>
    <t>Partly occupied</t>
  </si>
  <si>
    <t>Empty property</t>
  </si>
  <si>
    <t>Total unoccupied</t>
  </si>
  <si>
    <t>Disc: Charity</t>
  </si>
  <si>
    <t>Disc : Non-profit</t>
  </si>
  <si>
    <t>Disc : CASC</t>
  </si>
  <si>
    <t>Disc : Rural</t>
  </si>
  <si>
    <t>Disc : Small rural</t>
  </si>
  <si>
    <t>Disc : Other s47</t>
  </si>
  <si>
    <t>Rateable Value</t>
  </si>
  <si>
    <t>England</t>
  </si>
  <si>
    <t>Sum taking account of transitional adjustments</t>
  </si>
  <si>
    <t>Estimated bad debts in respect of 2014-15 rates payable</t>
  </si>
  <si>
    <t xml:space="preserve">Estimated repayments in respect of 2014-15 rates payable </t>
  </si>
  <si>
    <t>Net Rates payable less losses</t>
  </si>
  <si>
    <t>Renewable Energy</t>
  </si>
  <si>
    <t xml:space="preserve">Transitional Protection Payment </t>
  </si>
  <si>
    <t xml:space="preserve">Baseline </t>
  </si>
  <si>
    <t>Total Disregarded Amounts</t>
  </si>
  <si>
    <t>Barking &amp; Dagenham</t>
  </si>
  <si>
    <t>Blackburn with Darwen UA</t>
  </si>
  <si>
    <t>Blackpool UA</t>
  </si>
  <si>
    <t>Bournemouth UA</t>
  </si>
  <si>
    <t>Bracknell Forest UA</t>
  </si>
  <si>
    <t>Cheshire West and Chester UA</t>
  </si>
  <si>
    <t>Darlington UA</t>
  </si>
  <si>
    <t>Derby UA</t>
  </si>
  <si>
    <t>East Riding of Yorkshire UA</t>
  </si>
  <si>
    <t>Halton UA</t>
  </si>
  <si>
    <t>Hammersmith &amp; Fulham</t>
  </si>
  <si>
    <t>Hartlepool UA</t>
  </si>
  <si>
    <t>Herefordshire UA</t>
  </si>
  <si>
    <t>Hinckley &amp; Bosworth</t>
  </si>
  <si>
    <t>Kensington &amp; Chelsea</t>
  </si>
  <si>
    <t>Leicester UA</t>
  </si>
  <si>
    <t>Luton UA</t>
  </si>
  <si>
    <t>Medway UA</t>
  </si>
  <si>
    <t>Middlesbrough UA</t>
  </si>
  <si>
    <t>Milton Keynes UA</t>
  </si>
  <si>
    <t>Newark &amp; Sherwood</t>
  </si>
  <si>
    <t>North East Lincolnshire UA</t>
  </si>
  <si>
    <t>North Lincolnshire UA</t>
  </si>
  <si>
    <t>North Somerset UA</t>
  </si>
  <si>
    <t>Nottingham UA</t>
  </si>
  <si>
    <t>Nuneaton &amp; Bedworth</t>
  </si>
  <si>
    <t>Oadby &amp; Wigston</t>
  </si>
  <si>
    <t>Peterborough UA</t>
  </si>
  <si>
    <t>Plymouth UA</t>
  </si>
  <si>
    <t>Poole UA</t>
  </si>
  <si>
    <t>Portsmouth UA</t>
  </si>
  <si>
    <t>Reading UA</t>
  </si>
  <si>
    <t>Redcar &amp; Cleveland UA</t>
  </si>
  <si>
    <t>Reigate &amp; Banstead</t>
  </si>
  <si>
    <t>Rutland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</si>
  <si>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</si>
  <si>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</si>
  <si>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</si>
  <si>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</si>
  <si>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</si>
  <si>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</si>
  <si>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</si>
  <si>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</si>
  <si>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</si>
  <si>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Tonbridge &amp; Malling</t>
  </si>
  <si>
    <t>Torbay UA</t>
  </si>
  <si>
    <t>Warrington UA</t>
  </si>
  <si>
    <t>West Berkshire UA</t>
  </si>
  <si>
    <t>Weymouth &amp; Portland</t>
  </si>
  <si>
    <t>Windsor &amp; Maidenhead UA</t>
  </si>
  <si>
    <t>Wokingham UA</t>
  </si>
  <si>
    <t>York UA</t>
  </si>
  <si>
    <t>Opening Balance (From Collection Fund Statement)</t>
  </si>
  <si>
    <t xml:space="preserve">Total amount credited or to be credited to the Collection Fund in 2013-14 </t>
  </si>
  <si>
    <t xml:space="preserve">Transitional protection payments received or to be received in 2013-14 </t>
  </si>
  <si>
    <t xml:space="preserve">Transfers/payments to the Collection Fund for end-year reconciliations </t>
  </si>
  <si>
    <t>Transfers/payments into the Collection Fund in 2013-14 in respect of a previous years deficit</t>
  </si>
  <si>
    <t>Total Credits</t>
  </si>
  <si>
    <t>Total amount charged or to be charged to the Collection fund in 2013-14</t>
  </si>
  <si>
    <t xml:space="preserve">Transitional protection payments made or to be made in 2013-14 </t>
  </si>
  <si>
    <t>Payments made or to be made to the SofS in respect of the central share 13-14</t>
  </si>
  <si>
    <t>Payments made major precepting auths in respect of business 13-14</t>
  </si>
  <si>
    <t xml:space="preserve">Transfers made to billing auths General Fund in respect of BR income in 2013-14 </t>
  </si>
  <si>
    <t xml:space="preserve">Transfers made to billing auths General Fund to respect of disregarded amounts </t>
  </si>
  <si>
    <t>Transfers/payments from the Collection Fund for end-year reconciliations</t>
  </si>
  <si>
    <t>Transfers/payments made from the Collection Fund in 2013-14 irp years surplus</t>
  </si>
  <si>
    <t>Total Charges</t>
  </si>
  <si>
    <t>Adjustment for 5-Year Spread</t>
  </si>
  <si>
    <t>Opening balance plus total credits less total charges plus adjustment for 5-year spread</t>
  </si>
  <si>
    <t xml:space="preserve">Net amount receivable from rate payers </t>
  </si>
  <si>
    <t>Sums due to the authority</t>
  </si>
  <si>
    <t xml:space="preserve">Sums due from the authority </t>
  </si>
  <si>
    <t>Cost of collection formula</t>
  </si>
  <si>
    <t>Legal costs</t>
  </si>
  <si>
    <t>Allowance for cost of collection</t>
  </si>
  <si>
    <t>City of London Offset</t>
  </si>
  <si>
    <t>Amounts retained in respect of Enterprise Zones</t>
  </si>
  <si>
    <t>Amounts retained in respect of NDD areas</t>
  </si>
  <si>
    <t>Amounts retained in respect of Renewable Energy Schemes (See Note B)</t>
  </si>
  <si>
    <t xml:space="preserve">sums retained by billing authority </t>
  </si>
  <si>
    <t xml:space="preserve">sums retained by major precepting authority </t>
  </si>
  <si>
    <t>Line 1 plus line 2 minus lines 3 and 6 - 10</t>
  </si>
  <si>
    <t xml:space="preserve">Non-domestic rating income from rates retention scheme  </t>
  </si>
  <si>
    <t>(less) Enterprise Zone discounts</t>
  </si>
  <si>
    <t xml:space="preserve">TOTAL </t>
  </si>
  <si>
    <t>add: cost of collection allowance</t>
  </si>
  <si>
    <t xml:space="preserve">add: amounts retained in respect of Enterprise Zones </t>
  </si>
  <si>
    <t xml:space="preserve">add: amounts retained in respect of NDD Area </t>
  </si>
  <si>
    <t xml:space="preserve">add: amounts retained in respect of renewable energy schemes </t>
  </si>
  <si>
    <t>add: qualifying relief in Enterprise Zones</t>
  </si>
  <si>
    <t>add: City of London Offset</t>
  </si>
  <si>
    <t>Estimated Surplus/Deficit at end of 2013-14</t>
  </si>
  <si>
    <t>Total amount of non-domestic rates due to authorities</t>
  </si>
  <si>
    <t xml:space="preserve">Cost of 2% cap on 2014-15 small business rates multiplier </t>
  </si>
  <si>
    <t xml:space="preserve">Cost to authorities of temporary doubling in 2014-15 </t>
  </si>
  <si>
    <t xml:space="preserve">Cost to authorities of maintaining relief on "first" property </t>
  </si>
  <si>
    <t xml:space="preserve">Cost to authorities of giving relief to newly-built empty property </t>
  </si>
  <si>
    <t xml:space="preserve">Relief on occupation of "long-term" empty property </t>
  </si>
  <si>
    <t xml:space="preserve">Relief provided to retail properties </t>
  </si>
  <si>
    <t xml:space="preserve">Total amount of Section 31 grant due to authorities </t>
  </si>
  <si>
    <t>West Sussex</t>
  </si>
  <si>
    <t>NA</t>
  </si>
  <si>
    <t>County</t>
  </si>
  <si>
    <t>Cumbria</t>
  </si>
  <si>
    <t>Derbyshire</t>
  </si>
  <si>
    <t>Derbyshire Fire Authority</t>
  </si>
  <si>
    <t>Nottinghamshire</t>
  </si>
  <si>
    <t>Nottinghamshire Fire Authority</t>
  </si>
  <si>
    <t>Kent</t>
  </si>
  <si>
    <t>Kent Fire Authority</t>
  </si>
  <si>
    <t>Buckinghamshire</t>
  </si>
  <si>
    <t>Buckinghamshire Fire Authority</t>
  </si>
  <si>
    <t>Suffolk</t>
  </si>
  <si>
    <t>Greater London Authority</t>
  </si>
  <si>
    <t>MD</t>
  </si>
  <si>
    <t>South Yorkshire Fire</t>
  </si>
  <si>
    <t>Essex</t>
  </si>
  <si>
    <t>Essex Fire Authority</t>
  </si>
  <si>
    <t>Hampshire</t>
  </si>
  <si>
    <t>Hampshire Fire Authority</t>
  </si>
  <si>
    <t>Bath &amp; North East Somerset UA</t>
  </si>
  <si>
    <t>UA</t>
  </si>
  <si>
    <t>Avon Fire Authority</t>
  </si>
  <si>
    <t>Bedfordshire Fire Authority</t>
  </si>
  <si>
    <t>West Midlands Fire</t>
  </si>
  <si>
    <t>Leicestershire</t>
  </si>
  <si>
    <t>Leicestershire Fire Authority</t>
  </si>
  <si>
    <t>Lancashire Fire Authority</t>
  </si>
  <si>
    <t>Greater Manchester Fire</t>
  </si>
  <si>
    <t>Lincolnshire</t>
  </si>
  <si>
    <t>Dorset Fire Authority</t>
  </si>
  <si>
    <t>Berkshire Fire Authority</t>
  </si>
  <si>
    <t>West Yorkshire Fire</t>
  </si>
  <si>
    <t>Norfolk</t>
  </si>
  <si>
    <t>Brighton &amp; Hove UA</t>
  </si>
  <si>
    <t>East Sussex Fire Authority</t>
  </si>
  <si>
    <t>Bristol UA</t>
  </si>
  <si>
    <t>Worcestershire</t>
  </si>
  <si>
    <t>Hereford and Worcester Fire Authority</t>
  </si>
  <si>
    <t>Hertfordshire</t>
  </si>
  <si>
    <t>Lancashire</t>
  </si>
  <si>
    <t>Cambridgeshire</t>
  </si>
  <si>
    <t>Cambridgeshire Fire Authority</t>
  </si>
  <si>
    <t>Staffordshire</t>
  </si>
  <si>
    <t>Staffordshire Fire Authority</t>
  </si>
  <si>
    <t>Gloucestershire</t>
  </si>
  <si>
    <t>Oxfordshire</t>
  </si>
  <si>
    <t>Cheshire Fire Authority</t>
  </si>
  <si>
    <t>Dorset</t>
  </si>
  <si>
    <t>GLA - functions exc police</t>
  </si>
  <si>
    <t>Northamptonshire</t>
  </si>
  <si>
    <t>North Yorkshire</t>
  </si>
  <si>
    <t>North Yorkshire Fire Authority</t>
  </si>
  <si>
    <t>Durham Fire Authority</t>
  </si>
  <si>
    <t>Devon</t>
  </si>
  <si>
    <t>Devon and Somerset Fire Authority</t>
  </si>
  <si>
    <t>Humberside Fire Authority</t>
  </si>
  <si>
    <t>East Sussex</t>
  </si>
  <si>
    <t>Surrey</t>
  </si>
  <si>
    <t>Tyne and Wear Fire</t>
  </si>
  <si>
    <t>Cleveland Fire Authority</t>
  </si>
  <si>
    <t>Isle of Wight Council UA</t>
  </si>
  <si>
    <t>King's Lynn &amp; West Norfolk</t>
  </si>
  <si>
    <t>Kingston-upon-Hull UA</t>
  </si>
  <si>
    <t>Kingston-upon-Thames</t>
  </si>
  <si>
    <t>Merseyside Fire</t>
  </si>
  <si>
    <t>Somerset</t>
  </si>
  <si>
    <t>Warwickshire</t>
  </si>
  <si>
    <t>Richmond-upon-Thames</t>
  </si>
  <si>
    <t>Shropshire Fire Authority</t>
  </si>
  <si>
    <t>Wiltshire Fire Authority</t>
  </si>
  <si>
    <t>Local Authority name</t>
  </si>
  <si>
    <t>County Council</t>
  </si>
  <si>
    <t>Fire Authority</t>
  </si>
  <si>
    <t>Billing Authority</t>
  </si>
  <si>
    <t xml:space="preserve">  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</si>
</sst>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[$-809]dd\ mmmm\ yyyy"/>
    <numFmt numFmtId="169" formatCode="dd/mm/yyyy;@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0.000"/>
    <numFmt numFmtId="178" formatCode="0.0"/>
    <numFmt numFmtId="179" formatCode="&quot;£&quot;#,##0"/>
    <numFmt numFmtId="180" formatCode="0.0000"/>
    <numFmt numFmtId="181" formatCode="_-* #,##0_-;\-* #,##0_-;_-* &quot;-&quot;??_-;_-@_-"/>
    <numFmt numFmtId="182" formatCode="0.0%"/>
    <numFmt numFmtId="183" formatCode="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\(#,##0\)"/>
    <numFmt numFmtId="189" formatCode="&quot;£&quot;#,##0.000"/>
    <numFmt numFmtId="190" formatCode="_-* #,##0.0_-;\-* #,##0.0_-;_-* &quot;-&quot;??_-;_-@_-"/>
    <numFmt numFmtId="191" formatCode="#,##0.0000000000000"/>
    <numFmt numFmtId="192" formatCode="#,##0.00000000000000"/>
    <numFmt numFmtId="193" formatCode="#,##0.000000000000000"/>
    <numFmt numFmtId="194" formatCode="dd/mm/yy;@"/>
    <numFmt numFmtId="195" formatCode="d/m/yy;@"/>
    <numFmt numFmtId="196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44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>
        <color indexed="57"/>
      </left>
      <right/>
      <top style="medium">
        <color indexed="57"/>
      </top>
      <bottom/>
    </border>
    <border>
      <left/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/>
    </border>
    <border>
      <left/>
      <right style="medium">
        <color indexed="57"/>
      </right>
      <top/>
      <bottom/>
    </border>
    <border>
      <left/>
      <right style="medium">
        <color indexed="57"/>
      </right>
      <top/>
      <bottom style="medium">
        <color indexed="57"/>
      </bottom>
    </border>
    <border>
      <left style="medium">
        <color indexed="57"/>
      </left>
      <right/>
      <top/>
      <bottom style="medium">
        <color indexed="57"/>
      </bottom>
    </border>
    <border>
      <left style="medium">
        <color indexed="53"/>
      </left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/>
    </border>
    <border>
      <left/>
      <right style="medium">
        <color indexed="53"/>
      </right>
      <top/>
      <bottom/>
    </border>
    <border>
      <left style="medium">
        <color indexed="53"/>
      </left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53"/>
      </top>
      <bottom/>
    </border>
    <border>
      <left/>
      <right/>
      <top/>
      <bottom style="medium">
        <color indexed="5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31"/>
      </left>
      <right/>
      <top style="medium">
        <color indexed="31"/>
      </top>
      <bottom/>
    </border>
    <border>
      <left style="medium">
        <color indexed="31"/>
      </left>
      <right/>
      <top/>
      <bottom/>
    </border>
    <border>
      <left style="medium">
        <color indexed="31"/>
      </left>
      <right/>
      <top/>
      <bottom style="medium">
        <color indexed="31"/>
      </bottom>
    </border>
    <border>
      <left/>
      <right/>
      <top style="medium">
        <color indexed="57"/>
      </top>
      <bottom/>
    </border>
    <border>
      <left/>
      <right/>
      <top/>
      <bottom style="medium">
        <color indexed="57"/>
      </bottom>
    </border>
    <border>
      <left/>
      <right style="medium">
        <color indexed="31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44"/>
      </left>
      <right/>
      <top style="medium">
        <color indexed="44"/>
      </top>
      <bottom/>
    </border>
    <border>
      <left/>
      <right/>
      <top style="medium">
        <color indexed="44"/>
      </top>
      <bottom/>
    </border>
    <border>
      <left/>
      <right style="medium">
        <color indexed="44"/>
      </right>
      <top style="medium">
        <color indexed="44"/>
      </top>
      <bottom/>
    </border>
    <border>
      <left style="medium">
        <color indexed="44"/>
      </left>
      <right/>
      <top/>
      <bottom/>
    </border>
    <border>
      <left/>
      <right style="medium">
        <color indexed="44"/>
      </right>
      <top/>
      <bottom/>
    </border>
    <border>
      <left style="medium">
        <color indexed="44"/>
      </left>
      <right/>
      <top/>
      <bottom style="medium">
        <color indexed="44"/>
      </bottom>
    </border>
    <border>
      <left/>
      <right/>
      <top/>
      <bottom style="medium">
        <color indexed="44"/>
      </bottom>
    </border>
    <border>
      <left/>
      <right style="medium">
        <color indexed="44"/>
      </right>
      <top/>
      <bottom style="medium">
        <color indexed="44"/>
      </bottom>
    </border>
    <border>
      <left style="medium"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ck"/>
    </border>
    <border>
      <left/>
      <right/>
      <top style="medium">
        <color indexed="31"/>
      </top>
      <bottom/>
    </border>
    <border>
      <left/>
      <right style="medium">
        <color indexed="31"/>
      </right>
      <top style="medium">
        <color indexed="31"/>
      </top>
      <bottom/>
    </border>
    <border>
      <left/>
      <right/>
      <top/>
      <bottom style="medium">
        <color indexed="31"/>
      </bottom>
    </border>
    <border>
      <left/>
      <right style="medium">
        <color indexed="31"/>
      </right>
      <top/>
      <bottom style="medium">
        <color indexed="31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/>
      <right/>
      <top/>
      <bottom style="medium">
        <color indexed="17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3" fontId="0" fillId="16" borderId="2">
      <alignment horizontal="right"/>
      <protection/>
    </xf>
    <xf numFmtId="3" fontId="2" fillId="16" borderId="3">
      <alignment horizontal="right"/>
      <protection/>
    </xf>
    <xf numFmtId="3" fontId="0" fillId="16" borderId="3">
      <alignment horizontal="right"/>
      <protection/>
    </xf>
    <xf numFmtId="0" fontId="13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7" borderId="0" applyNumberFormat="0" applyBorder="0" applyAlignment="0" applyProtection="0"/>
    <xf numFmtId="1" fontId="31" fillId="0" borderId="0">
      <alignment/>
      <protection/>
    </xf>
    <xf numFmtId="0" fontId="0" fillId="4" borderId="9" applyNumberFormat="0" applyFont="0" applyAlignment="0" applyProtection="0"/>
    <xf numFmtId="0" fontId="22" fillId="16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4" fillId="16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4" fillId="16" borderId="29" xfId="0" applyFont="1" applyFill="1" applyBorder="1" applyAlignment="1">
      <alignment/>
    </xf>
    <xf numFmtId="0" fontId="4" fillId="16" borderId="19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4" fillId="16" borderId="30" xfId="0" applyFont="1" applyFill="1" applyBorder="1" applyAlignment="1">
      <alignment/>
    </xf>
    <xf numFmtId="0" fontId="4" fillId="16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6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4" fillId="16" borderId="29" xfId="0" applyFont="1" applyFill="1" applyBorder="1" applyAlignment="1">
      <alignment/>
    </xf>
    <xf numFmtId="0" fontId="4" fillId="16" borderId="19" xfId="0" applyFont="1" applyFill="1" applyBorder="1" applyAlignment="1">
      <alignment/>
    </xf>
    <xf numFmtId="0" fontId="0" fillId="16" borderId="20" xfId="0" applyFill="1" applyBorder="1" applyAlignment="1">
      <alignment/>
    </xf>
    <xf numFmtId="0" fontId="6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0" fillId="16" borderId="22" xfId="0" applyFill="1" applyBorder="1" applyAlignment="1">
      <alignment/>
    </xf>
    <xf numFmtId="0" fontId="4" fillId="16" borderId="30" xfId="0" applyFont="1" applyFill="1" applyBorder="1" applyAlignment="1">
      <alignment/>
    </xf>
    <xf numFmtId="0" fontId="4" fillId="16" borderId="2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16" borderId="18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6" fillId="4" borderId="24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1" fontId="0" fillId="2" borderId="26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2" borderId="24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33" xfId="0" applyFill="1" applyBorder="1" applyAlignment="1">
      <alignment/>
    </xf>
    <xf numFmtId="0" fontId="4" fillId="4" borderId="34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5" borderId="29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6" fillId="5" borderId="30" xfId="0" applyFont="1" applyFill="1" applyBorder="1" applyAlignment="1">
      <alignment/>
    </xf>
    <xf numFmtId="0" fontId="4" fillId="5" borderId="30" xfId="0" applyFont="1" applyFill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38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6" fillId="1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top"/>
    </xf>
    <xf numFmtId="0" fontId="0" fillId="16" borderId="19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23" xfId="0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 vertical="center" indent="1"/>
    </xf>
    <xf numFmtId="3" fontId="6" fillId="4" borderId="0" xfId="0" applyNumberFormat="1" applyFont="1" applyFill="1" applyBorder="1" applyAlignment="1">
      <alignment horizontal="right" vertical="center" indent="1"/>
    </xf>
    <xf numFmtId="3" fontId="4" fillId="4" borderId="39" xfId="0" applyNumberFormat="1" applyFont="1" applyFill="1" applyBorder="1" applyAlignment="1">
      <alignment horizontal="right" vertical="center" indent="1"/>
    </xf>
    <xf numFmtId="3" fontId="4" fillId="4" borderId="35" xfId="0" applyNumberFormat="1" applyFont="1" applyFill="1" applyBorder="1" applyAlignment="1">
      <alignment horizontal="right" vertical="center" indent="1"/>
    </xf>
    <xf numFmtId="3" fontId="4" fillId="16" borderId="29" xfId="0" applyNumberFormat="1" applyFont="1" applyFill="1" applyBorder="1" applyAlignment="1">
      <alignment horizontal="right" vertical="center" indent="1"/>
    </xf>
    <xf numFmtId="3" fontId="4" fillId="16" borderId="0" xfId="0" applyNumberFormat="1" applyFont="1" applyFill="1" applyBorder="1" applyAlignment="1">
      <alignment horizontal="right" vertical="center" indent="1"/>
    </xf>
    <xf numFmtId="3" fontId="6" fillId="16" borderId="0" xfId="0" applyNumberFormat="1" applyFont="1" applyFill="1" applyBorder="1" applyAlignment="1">
      <alignment horizontal="right" vertical="center" indent="1"/>
    </xf>
    <xf numFmtId="0" fontId="27" fillId="5" borderId="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3" fontId="4" fillId="4" borderId="24" xfId="0" applyNumberFormat="1" applyFont="1" applyFill="1" applyBorder="1" applyAlignment="1">
      <alignment horizontal="right" vertical="center" indent="1"/>
    </xf>
    <xf numFmtId="3" fontId="4" fillId="16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 indent="1"/>
    </xf>
    <xf numFmtId="3" fontId="7" fillId="4" borderId="0" xfId="0" applyNumberFormat="1" applyFont="1" applyFill="1" applyBorder="1" applyAlignment="1">
      <alignment horizontal="right" vertical="center" indent="1"/>
    </xf>
    <xf numFmtId="3" fontId="8" fillId="4" borderId="0" xfId="0" applyNumberFormat="1" applyFont="1" applyFill="1" applyBorder="1" applyAlignment="1">
      <alignment horizontal="right" vertical="center" indent="1"/>
    </xf>
    <xf numFmtId="3" fontId="4" fillId="16" borderId="29" xfId="0" applyNumberFormat="1" applyFont="1" applyFill="1" applyBorder="1" applyAlignment="1">
      <alignment horizontal="right" vertical="center" indent="1"/>
    </xf>
    <xf numFmtId="3" fontId="7" fillId="4" borderId="0" xfId="0" applyNumberFormat="1" applyFont="1" applyFill="1" applyBorder="1" applyAlignment="1">
      <alignment horizontal="left" vertical="center" indent="1"/>
    </xf>
    <xf numFmtId="3" fontId="4" fillId="4" borderId="0" xfId="0" applyNumberFormat="1" applyFont="1" applyFill="1" applyBorder="1" applyAlignment="1">
      <alignment horizontal="left" vertical="center" indent="1"/>
    </xf>
    <xf numFmtId="3" fontId="4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0" borderId="0" xfId="0" applyFont="1" applyBorder="1" applyAlignment="1">
      <alignment/>
    </xf>
    <xf numFmtId="0" fontId="28" fillId="2" borderId="27" xfId="0" applyFont="1" applyFill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27" fillId="4" borderId="0" xfId="0" applyNumberFormat="1" applyFont="1" applyFill="1" applyBorder="1" applyAlignment="1">
      <alignment horizontal="left" vertical="center" indent="1"/>
    </xf>
    <xf numFmtId="3" fontId="6" fillId="4" borderId="0" xfId="0" applyNumberFormat="1" applyFont="1" applyFill="1" applyBorder="1" applyAlignment="1">
      <alignment horizontal="right" vertical="center" indent="1"/>
    </xf>
    <xf numFmtId="3" fontId="4" fillId="16" borderId="0" xfId="0" applyNumberFormat="1" applyFont="1" applyFill="1" applyBorder="1" applyAlignment="1">
      <alignment horizontal="right" vertical="center" indent="1"/>
    </xf>
    <xf numFmtId="3" fontId="6" fillId="16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1" fontId="0" fillId="2" borderId="24" xfId="0" applyNumberFormat="1" applyFont="1" applyFill="1" applyBorder="1" applyAlignment="1">
      <alignment/>
    </xf>
    <xf numFmtId="1" fontId="0" fillId="7" borderId="40" xfId="0" applyNumberFormat="1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7" borderId="42" xfId="0" applyFont="1" applyFill="1" applyBorder="1" applyAlignment="1">
      <alignment horizontal="center"/>
    </xf>
    <xf numFmtId="4" fontId="0" fillId="7" borderId="26" xfId="0" applyNumberFormat="1" applyFont="1" applyFill="1" applyBorder="1" applyAlignment="1">
      <alignment horizontal="center"/>
    </xf>
    <xf numFmtId="4" fontId="0" fillId="7" borderId="24" xfId="0" applyNumberFormat="1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4" fontId="0" fillId="7" borderId="31" xfId="0" applyNumberFormat="1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" fontId="0" fillId="2" borderId="31" xfId="0" applyNumberFormat="1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 horizontal="center"/>
    </xf>
    <xf numFmtId="1" fontId="0" fillId="7" borderId="24" xfId="0" applyNumberFormat="1" applyFont="1" applyFill="1" applyBorder="1" applyAlignment="1">
      <alignment horizontal="center"/>
    </xf>
    <xf numFmtId="1" fontId="0" fillId="7" borderId="44" xfId="0" applyNumberFormat="1" applyFont="1" applyFill="1" applyBorder="1" applyAlignment="1">
      <alignment horizontal="center"/>
    </xf>
    <xf numFmtId="4" fontId="0" fillId="7" borderId="45" xfId="0" applyNumberFormat="1" applyFont="1" applyFill="1" applyBorder="1" applyAlignment="1">
      <alignment/>
    </xf>
    <xf numFmtId="4" fontId="0" fillId="7" borderId="46" xfId="0" applyNumberFormat="1" applyFont="1" applyFill="1" applyBorder="1" applyAlignment="1">
      <alignment/>
    </xf>
    <xf numFmtId="0" fontId="0" fillId="7" borderId="46" xfId="0" applyFont="1" applyFill="1" applyBorder="1" applyAlignment="1">
      <alignment/>
    </xf>
    <xf numFmtId="4" fontId="0" fillId="7" borderId="47" xfId="0" applyNumberFormat="1" applyFont="1" applyFill="1" applyBorder="1" applyAlignment="1">
      <alignment/>
    </xf>
    <xf numFmtId="1" fontId="2" fillId="7" borderId="40" xfId="0" applyNumberFormat="1" applyFont="1" applyFill="1" applyBorder="1" applyAlignment="1">
      <alignment horizontal="center"/>
    </xf>
    <xf numFmtId="0" fontId="0" fillId="16" borderId="48" xfId="0" applyFill="1" applyBorder="1" applyAlignment="1">
      <alignment/>
    </xf>
    <xf numFmtId="0" fontId="6" fillId="16" borderId="49" xfId="0" applyFont="1" applyFill="1" applyBorder="1" applyAlignment="1">
      <alignment/>
    </xf>
    <xf numFmtId="0" fontId="4" fillId="16" borderId="49" xfId="0" applyFont="1" applyFill="1" applyBorder="1" applyAlignment="1">
      <alignment/>
    </xf>
    <xf numFmtId="3" fontId="4" fillId="16" borderId="49" xfId="0" applyNumberFormat="1" applyFont="1" applyFill="1" applyBorder="1" applyAlignment="1">
      <alignment horizontal="right" vertical="center" indent="1"/>
    </xf>
    <xf numFmtId="0" fontId="4" fillId="16" borderId="50" xfId="0" applyFont="1" applyFill="1" applyBorder="1" applyAlignment="1">
      <alignment/>
    </xf>
    <xf numFmtId="0" fontId="0" fillId="16" borderId="51" xfId="0" applyFill="1" applyBorder="1" applyAlignment="1">
      <alignment/>
    </xf>
    <xf numFmtId="0" fontId="4" fillId="16" borderId="52" xfId="0" applyFont="1" applyFill="1" applyBorder="1" applyAlignment="1">
      <alignment/>
    </xf>
    <xf numFmtId="0" fontId="4" fillId="16" borderId="52" xfId="0" applyFont="1" applyFill="1" applyBorder="1" applyAlignment="1">
      <alignment horizontal="center"/>
    </xf>
    <xf numFmtId="0" fontId="0" fillId="16" borderId="53" xfId="0" applyFill="1" applyBorder="1" applyAlignment="1">
      <alignment/>
    </xf>
    <xf numFmtId="0" fontId="6" fillId="16" borderId="54" xfId="0" applyFont="1" applyFill="1" applyBorder="1" applyAlignment="1">
      <alignment/>
    </xf>
    <xf numFmtId="0" fontId="4" fillId="16" borderId="54" xfId="0" applyFont="1" applyFill="1" applyBorder="1" applyAlignment="1">
      <alignment/>
    </xf>
    <xf numFmtId="0" fontId="4" fillId="16" borderId="55" xfId="0" applyFont="1" applyFill="1" applyBorder="1" applyAlignment="1">
      <alignment/>
    </xf>
    <xf numFmtId="49" fontId="31" fillId="0" borderId="0" xfId="60" applyNumberFormat="1" applyFill="1" applyProtection="1" quotePrefix="1">
      <alignment/>
      <protection/>
    </xf>
    <xf numFmtId="49" fontId="31" fillId="0" borderId="0" xfId="60" applyNumberFormat="1" applyFill="1" applyProtection="1">
      <alignment/>
      <protection/>
    </xf>
    <xf numFmtId="49" fontId="31" fillId="0" borderId="0" xfId="60" applyNumberFormat="1" applyFont="1" applyFill="1" applyProtection="1">
      <alignment/>
      <protection/>
    </xf>
    <xf numFmtId="1" fontId="31" fillId="0" borderId="0" xfId="60" applyNumberFormat="1" applyFill="1">
      <alignment/>
      <protection/>
    </xf>
    <xf numFmtId="2" fontId="31" fillId="0" borderId="0" xfId="60" applyNumberFormat="1" applyFill="1" applyProtection="1" quotePrefix="1">
      <alignment/>
      <protection/>
    </xf>
    <xf numFmtId="2" fontId="31" fillId="0" borderId="0" xfId="60" applyNumberFormat="1" applyFill="1" applyProtection="1">
      <alignment/>
      <protection/>
    </xf>
    <xf numFmtId="2" fontId="31" fillId="0" borderId="0" xfId="60" applyNumberFormat="1" applyFill="1">
      <alignment/>
      <protection/>
    </xf>
    <xf numFmtId="1" fontId="30" fillId="2" borderId="24" xfId="0" applyNumberFormat="1" applyFont="1" applyFill="1" applyBorder="1" applyAlignment="1">
      <alignment horizontal="center" vertical="top"/>
    </xf>
    <xf numFmtId="0" fontId="30" fillId="2" borderId="0" xfId="0" applyFont="1" applyFill="1" applyBorder="1" applyAlignment="1">
      <alignment vertical="top"/>
    </xf>
    <xf numFmtId="0" fontId="30" fillId="2" borderId="25" xfId="0" applyFont="1" applyFill="1" applyBorder="1" applyAlignment="1">
      <alignment horizontal="center" vertical="top"/>
    </xf>
    <xf numFmtId="2" fontId="31" fillId="2" borderId="0" xfId="60" applyNumberFormat="1" applyFill="1" applyProtection="1">
      <alignment/>
      <protection/>
    </xf>
    <xf numFmtId="2" fontId="31" fillId="2" borderId="0" xfId="60" applyNumberFormat="1" applyFont="1" applyFill="1" applyProtection="1">
      <alignment/>
      <protection/>
    </xf>
    <xf numFmtId="2" fontId="31" fillId="7" borderId="0" xfId="60" applyNumberFormat="1" applyFill="1" applyProtection="1">
      <alignment/>
      <protection/>
    </xf>
    <xf numFmtId="2" fontId="31" fillId="18" borderId="0" xfId="60" applyNumberFormat="1" applyFill="1" applyProtection="1">
      <alignment/>
      <protection/>
    </xf>
    <xf numFmtId="2" fontId="31" fillId="15" borderId="0" xfId="60" applyNumberFormat="1" applyFill="1" applyProtection="1">
      <alignment/>
      <protection/>
    </xf>
    <xf numFmtId="3" fontId="2" fillId="7" borderId="42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 applyProtection="1">
      <alignment vertical="top"/>
      <protection/>
    </xf>
    <xf numFmtId="3" fontId="0" fillId="0" borderId="0" xfId="0" applyNumberFormat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0" fillId="2" borderId="32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32" xfId="0" applyFont="1" applyFill="1" applyBorder="1" applyAlignment="1">
      <alignment/>
    </xf>
    <xf numFmtId="0" fontId="0" fillId="2" borderId="32" xfId="0" applyFont="1" applyFill="1" applyBorder="1" applyAlignment="1">
      <alignment horizontal="right"/>
    </xf>
    <xf numFmtId="0" fontId="31" fillId="0" borderId="0" xfId="60" applyNumberFormat="1" applyFill="1" applyProtection="1">
      <alignment/>
      <protection/>
    </xf>
    <xf numFmtId="0" fontId="4" fillId="4" borderId="18" xfId="0" applyFont="1" applyFill="1" applyBorder="1" applyAlignment="1">
      <alignment/>
    </xf>
    <xf numFmtId="0" fontId="4" fillId="4" borderId="29" xfId="0" applyFont="1" applyFill="1" applyBorder="1" applyAlignment="1">
      <alignment wrapText="1"/>
    </xf>
    <xf numFmtId="0" fontId="4" fillId="4" borderId="29" xfId="0" applyFont="1" applyFill="1" applyBorder="1" applyAlignment="1">
      <alignment/>
    </xf>
    <xf numFmtId="3" fontId="6" fillId="4" borderId="29" xfId="0" applyNumberFormat="1" applyFont="1" applyFill="1" applyBorder="1" applyAlignment="1">
      <alignment horizontal="right" vertical="center" indent="1"/>
    </xf>
    <xf numFmtId="3" fontId="4" fillId="4" borderId="29" xfId="0" applyNumberFormat="1" applyFont="1" applyFill="1" applyBorder="1" applyAlignment="1">
      <alignment horizontal="right" vertical="center" indent="1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3" fontId="4" fillId="4" borderId="30" xfId="0" applyNumberFormat="1" applyFont="1" applyFill="1" applyBorder="1" applyAlignment="1">
      <alignment horizontal="right" vertical="center" indent="1"/>
    </xf>
    <xf numFmtId="0" fontId="4" fillId="4" borderId="23" xfId="0" applyFont="1" applyFill="1" applyBorder="1" applyAlignment="1">
      <alignment/>
    </xf>
    <xf numFmtId="0" fontId="0" fillId="4" borderId="0" xfId="0" applyFill="1" applyAlignment="1">
      <alignment/>
    </xf>
    <xf numFmtId="0" fontId="28" fillId="2" borderId="0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0" fillId="0" borderId="0" xfId="45" applyNumberFormat="1" applyFont="1" applyAlignment="1">
      <alignment/>
    </xf>
    <xf numFmtId="0" fontId="30" fillId="2" borderId="0" xfId="0" applyFont="1" applyFill="1" applyBorder="1" applyAlignment="1">
      <alignment horizontal="center" vertical="top"/>
    </xf>
    <xf numFmtId="0" fontId="0" fillId="2" borderId="32" xfId="0" applyFont="1" applyFill="1" applyBorder="1" applyAlignment="1">
      <alignment horizontal="center"/>
    </xf>
    <xf numFmtId="194" fontId="2" fillId="2" borderId="46" xfId="0" applyNumberFormat="1" applyFont="1" applyFill="1" applyBorder="1" applyAlignment="1" applyProtection="1">
      <alignment/>
      <protection/>
    </xf>
    <xf numFmtId="0" fontId="2" fillId="2" borderId="46" xfId="0" applyFont="1" applyFill="1" applyBorder="1" applyAlignment="1" applyProtection="1">
      <alignment/>
      <protection/>
    </xf>
    <xf numFmtId="0" fontId="0" fillId="2" borderId="46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46" xfId="0" applyFill="1" applyBorder="1" applyAlignment="1">
      <alignment vertical="top" wrapText="1"/>
    </xf>
    <xf numFmtId="194" fontId="0" fillId="7" borderId="47" xfId="0" applyNumberFormat="1" applyFont="1" applyFill="1" applyBorder="1" applyAlignment="1">
      <alignment/>
    </xf>
    <xf numFmtId="0" fontId="0" fillId="7" borderId="47" xfId="0" applyFont="1" applyFill="1" applyBorder="1" applyAlignment="1">
      <alignment horizontal="right"/>
    </xf>
    <xf numFmtId="3" fontId="0" fillId="7" borderId="47" xfId="0" applyNumberFormat="1" applyFill="1" applyBorder="1" applyAlignment="1">
      <alignment/>
    </xf>
    <xf numFmtId="3" fontId="0" fillId="7" borderId="33" xfId="0" applyNumberFormat="1" applyFill="1" applyBorder="1" applyAlignment="1">
      <alignment/>
    </xf>
    <xf numFmtId="0" fontId="0" fillId="7" borderId="47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0" fontId="2" fillId="7" borderId="42" xfId="0" applyFont="1" applyFill="1" applyBorder="1" applyAlignment="1">
      <alignment/>
    </xf>
    <xf numFmtId="0" fontId="28" fillId="2" borderId="27" xfId="0" applyFont="1" applyFill="1" applyBorder="1" applyAlignment="1">
      <alignment/>
    </xf>
    <xf numFmtId="0" fontId="4" fillId="16" borderId="4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0" fillId="7" borderId="45" xfId="0" applyNumberFormat="1" applyFont="1" applyFill="1" applyBorder="1" applyAlignment="1">
      <alignment horizontal="center"/>
    </xf>
    <xf numFmtId="4" fontId="0" fillId="7" borderId="46" xfId="0" applyNumberFormat="1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4" fontId="0" fillId="7" borderId="47" xfId="0" applyNumberFormat="1" applyFont="1" applyFill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8" fillId="2" borderId="27" xfId="0" applyFont="1" applyFill="1" applyBorder="1" applyAlignment="1">
      <alignment/>
    </xf>
    <xf numFmtId="0" fontId="0" fillId="0" borderId="0" xfId="0" applyAlignment="1">
      <alignment/>
    </xf>
    <xf numFmtId="1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 wrapText="1"/>
    </xf>
    <xf numFmtId="44" fontId="0" fillId="0" borderId="59" xfId="47" applyFont="1" applyBorder="1" applyAlignment="1">
      <alignment wrapText="1"/>
    </xf>
    <xf numFmtId="0" fontId="0" fillId="0" borderId="59" xfId="0" applyBorder="1" applyAlignment="1">
      <alignment horizontal="center" wrapText="1"/>
    </xf>
    <xf numFmtId="3" fontId="0" fillId="0" borderId="0" xfId="45" applyNumberFormat="1" applyFont="1" applyAlignment="1">
      <alignment/>
    </xf>
    <xf numFmtId="0" fontId="0" fillId="16" borderId="0" xfId="0" applyFont="1" applyFill="1" applyBorder="1" applyAlignment="1" applyProtection="1">
      <alignment horizontal="left"/>
      <protection/>
    </xf>
    <xf numFmtId="0" fontId="0" fillId="16" borderId="0" xfId="0" applyFont="1" applyFill="1" applyBorder="1" applyAlignment="1">
      <alignment/>
    </xf>
    <xf numFmtId="0" fontId="0" fillId="16" borderId="0" xfId="0" applyFont="1" applyFill="1" applyBorder="1" applyAlignment="1">
      <alignment horizontal="left"/>
    </xf>
    <xf numFmtId="0" fontId="0" fillId="16" borderId="0" xfId="0" applyFont="1" applyFill="1" applyBorder="1" applyAlignment="1" applyProtection="1" quotePrefix="1">
      <alignment horizontal="left"/>
      <protection/>
    </xf>
    <xf numFmtId="0" fontId="0" fillId="16" borderId="0" xfId="0" applyFont="1" applyFill="1" applyBorder="1" applyAlignment="1" quotePrefix="1">
      <alignment horizontal="left"/>
    </xf>
    <xf numFmtId="3" fontId="6" fillId="4" borderId="0" xfId="0" applyNumberFormat="1" applyFont="1" applyFill="1" applyBorder="1" applyAlignment="1">
      <alignment horizontal="center" wrapText="1"/>
    </xf>
    <xf numFmtId="3" fontId="4" fillId="4" borderId="0" xfId="0" applyNumberFormat="1" applyFont="1" applyFill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7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3" fontId="2" fillId="7" borderId="42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194" fontId="2" fillId="7" borderId="4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3" fontId="4" fillId="16" borderId="27" xfId="0" applyNumberFormat="1" applyFont="1" applyFill="1" applyBorder="1" applyAlignment="1">
      <alignment/>
    </xf>
    <xf numFmtId="3" fontId="4" fillId="16" borderId="32" xfId="0" applyNumberFormat="1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3" fontId="4" fillId="4" borderId="0" xfId="0" applyNumberFormat="1" applyFont="1" applyFill="1" applyBorder="1" applyAlignment="1">
      <alignment vertical="center"/>
    </xf>
    <xf numFmtId="3" fontId="4" fillId="4" borderId="68" xfId="0" applyNumberFormat="1" applyFont="1" applyFill="1" applyBorder="1" applyAlignment="1">
      <alignment vertical="center"/>
    </xf>
    <xf numFmtId="3" fontId="4" fillId="4" borderId="69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39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vertical="center"/>
    </xf>
    <xf numFmtId="3" fontId="4" fillId="4" borderId="70" xfId="0" applyNumberFormat="1" applyFont="1" applyFill="1" applyBorder="1" applyAlignment="1">
      <alignment vertical="center"/>
    </xf>
    <xf numFmtId="3" fontId="4" fillId="4" borderId="71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" fontId="6" fillId="5" borderId="29" xfId="0" applyNumberFormat="1" applyFont="1" applyFill="1" applyBorder="1" applyAlignment="1">
      <alignment vertical="center"/>
    </xf>
    <xf numFmtId="3" fontId="4" fillId="5" borderId="29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3" fontId="6" fillId="5" borderId="30" xfId="0" applyNumberFormat="1" applyFont="1" applyFill="1" applyBorder="1" applyAlignment="1">
      <alignment vertical="center"/>
    </xf>
    <xf numFmtId="3" fontId="4" fillId="5" borderId="3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4" fillId="4" borderId="37" xfId="0" applyNumberFormat="1" applyFont="1" applyFill="1" applyBorder="1" applyAlignment="1">
      <alignment vertical="center"/>
    </xf>
    <xf numFmtId="3" fontId="6" fillId="4" borderId="68" xfId="0" applyNumberFormat="1" applyFont="1" applyFill="1" applyBorder="1" applyAlignment="1">
      <alignment vertical="center"/>
    </xf>
    <xf numFmtId="3" fontId="4" fillId="4" borderId="72" xfId="0" applyNumberFormat="1" applyFont="1" applyFill="1" applyBorder="1" applyAlignment="1">
      <alignment vertical="center"/>
    </xf>
    <xf numFmtId="3" fontId="6" fillId="4" borderId="73" xfId="0" applyNumberFormat="1" applyFont="1" applyFill="1" applyBorder="1" applyAlignment="1">
      <alignment vertical="center"/>
    </xf>
    <xf numFmtId="3" fontId="4" fillId="4" borderId="73" xfId="0" applyNumberFormat="1" applyFont="1" applyFill="1" applyBorder="1" applyAlignment="1">
      <alignment vertical="center"/>
    </xf>
    <xf numFmtId="3" fontId="4" fillId="4" borderId="74" xfId="0" applyNumberFormat="1" applyFont="1" applyFill="1" applyBorder="1" applyAlignment="1">
      <alignment vertical="center"/>
    </xf>
    <xf numFmtId="3" fontId="4" fillId="4" borderId="75" xfId="0" applyNumberFormat="1" applyFont="1" applyFill="1" applyBorder="1" applyAlignment="1">
      <alignment vertical="center"/>
    </xf>
    <xf numFmtId="3" fontId="4" fillId="4" borderId="76" xfId="0" applyNumberFormat="1" applyFont="1" applyFill="1" applyBorder="1" applyAlignment="1">
      <alignment vertical="center"/>
    </xf>
    <xf numFmtId="3" fontId="4" fillId="4" borderId="77" xfId="0" applyNumberFormat="1" applyFont="1" applyFill="1" applyBorder="1" applyAlignment="1">
      <alignment vertical="center"/>
    </xf>
    <xf numFmtId="3" fontId="6" fillId="4" borderId="78" xfId="0" applyNumberFormat="1" applyFont="1" applyFill="1" applyBorder="1" applyAlignment="1">
      <alignment vertical="center"/>
    </xf>
    <xf numFmtId="3" fontId="4" fillId="4" borderId="78" xfId="0" applyNumberFormat="1" applyFont="1" applyFill="1" applyBorder="1" applyAlignment="1">
      <alignment vertical="center"/>
    </xf>
    <xf numFmtId="3" fontId="4" fillId="4" borderId="79" xfId="0" applyNumberFormat="1" applyFont="1" applyFill="1" applyBorder="1" applyAlignment="1">
      <alignment vertical="center"/>
    </xf>
    <xf numFmtId="3" fontId="6" fillId="4" borderId="38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4" fillId="4" borderId="32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3" fontId="4" fillId="4" borderId="39" xfId="0" applyNumberFormat="1" applyFont="1" applyFill="1" applyBorder="1" applyAlignment="1" applyProtection="1">
      <alignment vertical="center"/>
      <protection locked="0"/>
    </xf>
    <xf numFmtId="3" fontId="4" fillId="4" borderId="35" xfId="0" applyNumberFormat="1" applyFont="1" applyFill="1" applyBorder="1" applyAlignment="1" applyProtection="1">
      <alignment vertical="center"/>
      <protection locked="0"/>
    </xf>
    <xf numFmtId="3" fontId="4" fillId="4" borderId="27" xfId="0" applyNumberFormat="1" applyFont="1" applyFill="1" applyBorder="1" applyAlignment="1">
      <alignment vertical="center"/>
    </xf>
    <xf numFmtId="3" fontId="4" fillId="16" borderId="29" xfId="0" applyNumberFormat="1" applyFont="1" applyFill="1" applyBorder="1" applyAlignment="1">
      <alignment vertical="center"/>
    </xf>
    <xf numFmtId="3" fontId="4" fillId="16" borderId="0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81" fontId="0" fillId="0" borderId="0" xfId="45" applyNumberFormat="1" applyFont="1" applyAlignment="1">
      <alignment/>
    </xf>
    <xf numFmtId="3" fontId="38" fillId="16" borderId="0" xfId="0" applyNumberFormat="1" applyFont="1" applyFill="1" applyBorder="1" applyAlignment="1">
      <alignment vertical="center"/>
    </xf>
    <xf numFmtId="3" fontId="37" fillId="16" borderId="0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6" fillId="16" borderId="40" xfId="0" applyNumberFormat="1" applyFont="1" applyFill="1" applyBorder="1" applyAlignment="1">
      <alignment vertical="center"/>
    </xf>
    <xf numFmtId="3" fontId="4" fillId="16" borderId="43" xfId="0" applyNumberFormat="1" applyFont="1" applyFill="1" applyBorder="1" applyAlignment="1">
      <alignment vertical="center"/>
    </xf>
    <xf numFmtId="3" fontId="6" fillId="16" borderId="0" xfId="0" applyNumberFormat="1" applyFont="1" applyFill="1" applyBorder="1" applyAlignment="1">
      <alignment horizontal="center" vertical="center"/>
    </xf>
    <xf numFmtId="193" fontId="7" fillId="4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6" fillId="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4" borderId="0" xfId="0" applyFont="1" applyFill="1" applyBorder="1" applyAlignment="1">
      <alignment vertical="top" wrapText="1"/>
    </xf>
    <xf numFmtId="3" fontId="26" fillId="4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7" fillId="4" borderId="0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2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4" borderId="0" xfId="0" applyFont="1" applyFill="1" applyBorder="1" applyAlignment="1">
      <alignment vertical="top"/>
    </xf>
    <xf numFmtId="176" fontId="27" fillId="4" borderId="0" xfId="0" applyNumberFormat="1" applyFont="1" applyFill="1" applyBorder="1" applyAlignment="1">
      <alignment horizontal="right" vertical="center"/>
    </xf>
    <xf numFmtId="3" fontId="6" fillId="16" borderId="40" xfId="0" applyNumberFormat="1" applyFont="1" applyFill="1" applyBorder="1" applyAlignment="1" applyProtection="1">
      <alignment vertical="center"/>
      <protection locked="0"/>
    </xf>
    <xf numFmtId="3" fontId="6" fillId="16" borderId="43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8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7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195" fontId="6" fillId="16" borderId="40" xfId="0" applyNumberFormat="1" applyFont="1" applyFill="1" applyBorder="1" applyAlignment="1">
      <alignment horizontal="center" vertical="center"/>
    </xf>
    <xf numFmtId="195" fontId="4" fillId="16" borderId="4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3" fontId="6" fillId="16" borderId="0" xfId="0" applyNumberFormat="1" applyFont="1" applyFill="1" applyBorder="1" applyAlignment="1">
      <alignment vertical="center"/>
    </xf>
    <xf numFmtId="3" fontId="6" fillId="16" borderId="80" xfId="0" applyNumberFormat="1" applyFont="1" applyFill="1" applyBorder="1" applyAlignment="1">
      <alignment vertical="center"/>
    </xf>
    <xf numFmtId="0" fontId="35" fillId="2" borderId="24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6" fillId="4" borderId="0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16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6" fillId="16" borderId="0" xfId="0" applyNumberFormat="1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3" fontId="6" fillId="16" borderId="40" xfId="0" applyNumberFormat="1" applyFont="1" applyFill="1" applyBorder="1" applyAlignment="1" applyProtection="1">
      <alignment horizontal="right" vertical="center"/>
      <protection locked="0"/>
    </xf>
    <xf numFmtId="3" fontId="6" fillId="16" borderId="43" xfId="0" applyNumberFormat="1" applyFont="1" applyFill="1" applyBorder="1" applyAlignment="1" applyProtection="1">
      <alignment horizontal="right" vertical="center"/>
      <protection locked="0"/>
    </xf>
    <xf numFmtId="3" fontId="6" fillId="16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3" fontId="6" fillId="16" borderId="40" xfId="0" applyNumberFormat="1" applyFont="1" applyFill="1" applyBorder="1" applyAlignment="1" applyProtection="1">
      <alignment horizontal="right" vertical="center" indent="1"/>
      <protection locked="0"/>
    </xf>
    <xf numFmtId="3" fontId="6" fillId="16" borderId="43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6" fillId="16" borderId="32" xfId="0" applyFont="1" applyFill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Value" xfId="41"/>
    <cellStyle name="CellNationValue" xfId="42"/>
    <cellStyle name="CellUAValue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CER 13-14_Versio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4</xdr:col>
      <xdr:colOff>333375</xdr:colOff>
      <xdr:row>5</xdr:row>
      <xdr:rowOff>38100</xdr:rowOff>
    </xdr:to>
    <xdr:pic>
      <xdr:nvPicPr>
        <xdr:cNvPr id="1" name="Picture 1" descr="DC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171450</xdr:rowOff>
    </xdr:from>
    <xdr:to>
      <xdr:col>4</xdr:col>
      <xdr:colOff>571500</xdr:colOff>
      <xdr:row>5</xdr:row>
      <xdr:rowOff>66675</xdr:rowOff>
    </xdr:to>
    <xdr:pic>
      <xdr:nvPicPr>
        <xdr:cNvPr id="1" name="Picture 1" descr="DC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33</xdr:row>
      <xdr:rowOff>114300</xdr:rowOff>
    </xdr:from>
    <xdr:to>
      <xdr:col>16</xdr:col>
      <xdr:colOff>0</xdr:colOff>
      <xdr:row>39</xdr:row>
      <xdr:rowOff>66675</xdr:rowOff>
    </xdr:to>
    <xdr:sp>
      <xdr:nvSpPr>
        <xdr:cNvPr id="1" name="Line 1"/>
        <xdr:cNvSpPr>
          <a:spLocks/>
        </xdr:cNvSpPr>
      </xdr:nvSpPr>
      <xdr:spPr>
        <a:xfrm>
          <a:off x="9439275" y="68294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171450</xdr:rowOff>
    </xdr:from>
    <xdr:to>
      <xdr:col>3</xdr:col>
      <xdr:colOff>361950</xdr:colOff>
      <xdr:row>5</xdr:row>
      <xdr:rowOff>66675</xdr:rowOff>
    </xdr:to>
    <xdr:pic>
      <xdr:nvPicPr>
        <xdr:cNvPr id="2" name="Picture 1" descr="DC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3</xdr:col>
      <xdr:colOff>838200</xdr:colOff>
      <xdr:row>5</xdr:row>
      <xdr:rowOff>28575</xdr:rowOff>
    </xdr:to>
    <xdr:pic>
      <xdr:nvPicPr>
        <xdr:cNvPr id="1" name="Picture 1" descr="DC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CER%2013-14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1.7109375" style="18" customWidth="1"/>
    <col min="3" max="3" width="13.28125" style="18" bestFit="1" customWidth="1"/>
    <col min="4" max="8" width="9.140625" style="18" customWidth="1"/>
    <col min="9" max="9" width="13.00390625" style="18" bestFit="1" customWidth="1"/>
    <col min="10" max="10" width="3.7109375" style="18" customWidth="1"/>
    <col min="11" max="12" width="11.7109375" style="18" customWidth="1"/>
    <col min="13" max="13" width="3.7109375" style="18" customWidth="1"/>
    <col min="14" max="15" width="9.140625" style="18" customWidth="1"/>
    <col min="16" max="16" width="3.7109375" style="18" customWidth="1"/>
    <col min="17" max="18" width="9.140625" style="18" customWidth="1"/>
    <col min="19" max="19" width="3.7109375" style="18" customWidth="1"/>
    <col min="20" max="21" width="9.140625" style="18" customWidth="1"/>
    <col min="22" max="22" width="3.7109375" style="18" customWidth="1"/>
    <col min="23" max="24" width="9.140625" style="18" customWidth="1"/>
    <col min="25" max="25" width="1.57421875" style="18" customWidth="1"/>
    <col min="26" max="26" width="1.7109375" style="18" customWidth="1"/>
    <col min="27" max="27" width="16.28125" style="18" bestFit="1" customWidth="1"/>
    <col min="28" max="16384" width="9.140625" style="18" customWidth="1"/>
  </cols>
  <sheetData>
    <row r="1" spans="1:26" ht="18.75" customHeight="1">
      <c r="A1" s="28"/>
      <c r="B1" s="29"/>
      <c r="C1" s="29"/>
      <c r="D1" s="29"/>
      <c r="E1" s="29"/>
      <c r="F1" s="142">
        <v>327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7"/>
      <c r="S1" s="377"/>
      <c r="T1" s="29"/>
      <c r="U1" s="29"/>
      <c r="V1" s="29"/>
      <c r="W1" s="29"/>
      <c r="X1" s="29"/>
      <c r="Y1" s="29"/>
      <c r="Z1" s="30"/>
    </row>
    <row r="2" spans="1:26" ht="18.75" customHeight="1">
      <c r="A2" s="81"/>
      <c r="B2" s="79"/>
      <c r="C2" s="79"/>
      <c r="D2" s="79"/>
      <c r="E2" s="79"/>
      <c r="F2" s="22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06"/>
      <c r="S2" s="206"/>
      <c r="T2" s="79"/>
      <c r="U2" s="79"/>
      <c r="V2" s="79"/>
      <c r="W2" s="79"/>
      <c r="X2" s="79"/>
      <c r="Y2" s="79"/>
      <c r="Z2" s="80"/>
    </row>
    <row r="3" spans="1:26" ht="18.75" customHeight="1">
      <c r="A3" s="379" t="s">
        <v>666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1"/>
    </row>
    <row r="4" spans="1:26" ht="18.75" customHeight="1">
      <c r="A4" s="379" t="s">
        <v>627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1"/>
    </row>
    <row r="5" spans="1:26" ht="18.75" customHeight="1">
      <c r="A5" s="383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5"/>
    </row>
    <row r="6" spans="1:26" ht="18.75" customHeight="1" thickBot="1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9"/>
    </row>
    <row r="7" spans="1:27" ht="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  <c r="AA7" s="141"/>
    </row>
    <row r="8" spans="1:27" ht="15">
      <c r="A8" s="81"/>
      <c r="B8" s="79"/>
      <c r="C8" s="79"/>
      <c r="D8" s="79"/>
      <c r="E8" s="386" t="s">
        <v>585</v>
      </c>
      <c r="F8" s="386"/>
      <c r="G8" s="386"/>
      <c r="H8" s="386"/>
      <c r="I8" s="386"/>
      <c r="J8" s="386"/>
      <c r="K8" s="79"/>
      <c r="L8" s="75"/>
      <c r="M8" s="75"/>
      <c r="N8" s="75"/>
      <c r="O8" s="76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141"/>
    </row>
    <row r="9" spans="1:27" ht="15">
      <c r="A9" s="81"/>
      <c r="B9" s="79"/>
      <c r="C9" s="79"/>
      <c r="D9" s="79"/>
      <c r="E9" s="79"/>
      <c r="F9" s="76"/>
      <c r="G9" s="76"/>
      <c r="H9" s="76"/>
      <c r="I9" s="76"/>
      <c r="J9" s="76"/>
      <c r="K9" s="76"/>
      <c r="L9" s="75"/>
      <c r="M9" s="75"/>
      <c r="N9" s="75"/>
      <c r="O9" s="76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  <c r="AA9" s="141"/>
    </row>
    <row r="10" spans="1:27" ht="15">
      <c r="A10" s="81"/>
      <c r="B10" s="79"/>
      <c r="C10" s="79"/>
      <c r="D10" s="79"/>
      <c r="E10" s="79"/>
      <c r="F10" s="77"/>
      <c r="G10" s="77"/>
      <c r="H10" s="77"/>
      <c r="I10" s="77"/>
      <c r="J10" s="77"/>
      <c r="K10" s="77"/>
      <c r="L10" s="78"/>
      <c r="M10" s="78"/>
      <c r="N10" s="78"/>
      <c r="O10" s="77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207"/>
    </row>
    <row r="11" spans="1:27" ht="15.75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139"/>
      <c r="X11" s="212"/>
      <c r="Y11" s="83"/>
      <c r="Z11" s="84"/>
      <c r="AA11" s="207"/>
    </row>
    <row r="12" spans="1:27" ht="1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1"/>
      <c r="AA12" s="207"/>
    </row>
    <row r="13" spans="1:27" ht="15">
      <c r="A13" s="20"/>
      <c r="B13" s="19"/>
      <c r="C13" s="382" t="s">
        <v>52</v>
      </c>
      <c r="D13" s="382"/>
      <c r="E13" s="382"/>
      <c r="F13" s="382"/>
      <c r="G13" s="38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/>
      <c r="AA13" s="207"/>
    </row>
    <row r="14" spans="1:27" ht="15.75" thickBot="1">
      <c r="A14" s="20"/>
      <c r="B14" s="19"/>
      <c r="C14" s="145" t="s">
        <v>682</v>
      </c>
      <c r="D14" s="146"/>
      <c r="E14" s="146"/>
      <c r="F14" s="146"/>
      <c r="G14" s="146"/>
      <c r="H14" s="146"/>
      <c r="I14" s="146"/>
      <c r="J14" s="19"/>
      <c r="K14" s="378" t="s">
        <v>624</v>
      </c>
      <c r="L14" s="378"/>
      <c r="M14" s="19"/>
      <c r="N14" s="19"/>
      <c r="O14" s="19"/>
      <c r="P14" s="19"/>
      <c r="Q14" s="19"/>
      <c r="R14" s="24"/>
      <c r="S14" s="19"/>
      <c r="T14" s="19"/>
      <c r="U14" s="19"/>
      <c r="V14" s="19"/>
      <c r="W14" s="19"/>
      <c r="X14" s="19"/>
      <c r="Y14" s="19"/>
      <c r="Z14" s="21"/>
      <c r="AA14" s="141"/>
    </row>
    <row r="15" spans="1:27" ht="15.75" thickBot="1">
      <c r="A15" s="20"/>
      <c r="B15" s="19"/>
      <c r="C15" s="373" t="s">
        <v>699</v>
      </c>
      <c r="D15" s="390"/>
      <c r="E15" s="390"/>
      <c r="F15" s="390"/>
      <c r="G15" s="390"/>
      <c r="H15" s="390"/>
      <c r="I15" s="390"/>
      <c r="J15" s="19"/>
      <c r="K15" s="362">
        <f>VLOOKUP($F$1,Part1,4,FALSE)</f>
        <v>22435144785.450005</v>
      </c>
      <c r="L15" s="363"/>
      <c r="M15" s="131"/>
      <c r="N15" s="131"/>
      <c r="O15" s="135"/>
      <c r="P15" s="132"/>
      <c r="Q15" s="132"/>
      <c r="R15" s="133"/>
      <c r="S15" s="131"/>
      <c r="T15" s="131"/>
      <c r="U15" s="131"/>
      <c r="V15" s="131"/>
      <c r="W15" s="131"/>
      <c r="X15" s="131"/>
      <c r="Y15" s="19"/>
      <c r="Z15" s="21"/>
      <c r="AA15" s="141"/>
    </row>
    <row r="16" spans="1:26" ht="15">
      <c r="A16" s="20"/>
      <c r="B16" s="19"/>
      <c r="C16" s="373"/>
      <c r="D16" s="390"/>
      <c r="E16" s="390"/>
      <c r="F16" s="390"/>
      <c r="G16" s="390"/>
      <c r="H16" s="390"/>
      <c r="I16" s="390"/>
      <c r="J16" s="131"/>
      <c r="K16" s="131"/>
      <c r="L16" s="131"/>
      <c r="M16" s="131"/>
      <c r="N16" s="131"/>
      <c r="O16" s="135"/>
      <c r="P16" s="132"/>
      <c r="Q16" s="132"/>
      <c r="R16" s="133"/>
      <c r="S16" s="131"/>
      <c r="T16" s="131"/>
      <c r="U16" s="131"/>
      <c r="V16" s="131"/>
      <c r="W16" s="131"/>
      <c r="X16" s="131"/>
      <c r="Y16" s="19"/>
      <c r="Z16" s="21"/>
    </row>
    <row r="17" spans="1:26" ht="15">
      <c r="A17" s="20"/>
      <c r="B17" s="19"/>
      <c r="C17" s="390"/>
      <c r="D17" s="390"/>
      <c r="E17" s="390"/>
      <c r="F17" s="390"/>
      <c r="G17" s="390"/>
      <c r="H17" s="390"/>
      <c r="I17" s="390"/>
      <c r="J17" s="19"/>
      <c r="K17" s="131"/>
      <c r="L17" s="131"/>
      <c r="M17" s="131"/>
      <c r="N17" s="131"/>
      <c r="O17" s="135"/>
      <c r="P17" s="132"/>
      <c r="Q17" s="132"/>
      <c r="R17" s="132"/>
      <c r="S17" s="131"/>
      <c r="T17" s="131"/>
      <c r="U17" s="131"/>
      <c r="V17" s="131"/>
      <c r="W17" s="131"/>
      <c r="X17" s="131"/>
      <c r="Y17" s="19"/>
      <c r="Z17" s="21"/>
    </row>
    <row r="18" spans="1:26" ht="15">
      <c r="A18" s="20"/>
      <c r="B18" s="19"/>
      <c r="C18" s="390"/>
      <c r="D18" s="390"/>
      <c r="E18" s="390"/>
      <c r="F18" s="390"/>
      <c r="G18" s="390"/>
      <c r="H18" s="390"/>
      <c r="I18" s="390"/>
      <c r="J18" s="19"/>
      <c r="K18" s="131"/>
      <c r="L18" s="131"/>
      <c r="M18" s="131"/>
      <c r="N18" s="131"/>
      <c r="O18" s="135"/>
      <c r="P18" s="132"/>
      <c r="Q18" s="132"/>
      <c r="R18" s="132"/>
      <c r="S18" s="131"/>
      <c r="T18" s="131"/>
      <c r="U18" s="131"/>
      <c r="V18" s="131"/>
      <c r="W18" s="131"/>
      <c r="X18" s="131"/>
      <c r="Y18" s="19"/>
      <c r="Z18" s="21"/>
    </row>
    <row r="19" spans="1:26" ht="15">
      <c r="A19" s="20"/>
      <c r="B19" s="19"/>
      <c r="C19" s="146"/>
      <c r="D19" s="146"/>
      <c r="E19" s="146"/>
      <c r="F19" s="146"/>
      <c r="G19" s="146"/>
      <c r="H19" s="146"/>
      <c r="I19" s="146"/>
      <c r="J19" s="25"/>
      <c r="K19" s="131"/>
      <c r="L19" s="131"/>
      <c r="M19" s="131"/>
      <c r="N19" s="131"/>
      <c r="O19" s="135"/>
      <c r="P19" s="132"/>
      <c r="Q19" s="132"/>
      <c r="R19" s="132"/>
      <c r="S19" s="131"/>
      <c r="T19" s="131"/>
      <c r="U19" s="131"/>
      <c r="V19" s="131"/>
      <c r="W19" s="131"/>
      <c r="X19" s="131"/>
      <c r="Y19" s="19"/>
      <c r="Z19" s="21"/>
    </row>
    <row r="20" spans="1:26" ht="15.75" thickBot="1">
      <c r="A20" s="20"/>
      <c r="B20" s="19"/>
      <c r="C20" s="391" t="s">
        <v>683</v>
      </c>
      <c r="D20" s="391"/>
      <c r="E20" s="391"/>
      <c r="F20" s="391"/>
      <c r="G20" s="391"/>
      <c r="H20" s="391"/>
      <c r="I20" s="391"/>
      <c r="J20" s="19"/>
      <c r="K20" s="131"/>
      <c r="L20" s="131"/>
      <c r="M20" s="131"/>
      <c r="N20" s="131"/>
      <c r="O20" s="135"/>
      <c r="P20" s="132"/>
      <c r="Q20" s="132"/>
      <c r="R20" s="132"/>
      <c r="S20" s="131"/>
      <c r="T20" s="131"/>
      <c r="U20" s="131"/>
      <c r="V20" s="131"/>
      <c r="W20" s="131"/>
      <c r="X20" s="131"/>
      <c r="Y20" s="19"/>
      <c r="Z20" s="21"/>
    </row>
    <row r="21" spans="1:26" ht="15.75" thickBot="1">
      <c r="A21" s="20"/>
      <c r="B21" s="19"/>
      <c r="C21" s="146" t="s">
        <v>625</v>
      </c>
      <c r="D21" s="146"/>
      <c r="E21" s="146"/>
      <c r="F21" s="146"/>
      <c r="G21" s="146"/>
      <c r="H21" s="146"/>
      <c r="I21" s="146"/>
      <c r="J21" s="19"/>
      <c r="K21" s="362">
        <f>VLOOKUP($F$1,Part1,5,FALSE)</f>
        <v>82920308.56</v>
      </c>
      <c r="L21" s="363"/>
      <c r="M21" s="131"/>
      <c r="N21" s="131"/>
      <c r="O21" s="135"/>
      <c r="P21" s="132"/>
      <c r="Q21" s="132"/>
      <c r="R21" s="132"/>
      <c r="S21" s="131"/>
      <c r="T21" s="131"/>
      <c r="U21" s="131"/>
      <c r="V21" s="131"/>
      <c r="W21" s="131"/>
      <c r="X21" s="131"/>
      <c r="Y21" s="19"/>
      <c r="Z21" s="21"/>
    </row>
    <row r="22" spans="1:26" ht="15" thickBot="1">
      <c r="A22" s="20"/>
      <c r="B22" s="19"/>
      <c r="C22" s="146"/>
      <c r="D22" s="146"/>
      <c r="E22" s="146"/>
      <c r="F22" s="146"/>
      <c r="G22" s="146"/>
      <c r="H22" s="146"/>
      <c r="I22" s="146"/>
      <c r="J22" s="19"/>
      <c r="K22" s="131"/>
      <c r="L22" s="131"/>
      <c r="M22" s="131"/>
      <c r="N22" s="131"/>
      <c r="O22" s="135"/>
      <c r="P22" s="132"/>
      <c r="Q22" s="132"/>
      <c r="R22" s="132"/>
      <c r="S22" s="131"/>
      <c r="T22" s="131"/>
      <c r="U22" s="131"/>
      <c r="V22" s="131"/>
      <c r="W22" s="131"/>
      <c r="X22" s="131"/>
      <c r="Y22" s="19"/>
      <c r="Z22" s="21"/>
    </row>
    <row r="23" spans="1:26" ht="15.75" thickBot="1">
      <c r="A23" s="20"/>
      <c r="B23" s="19"/>
      <c r="C23" s="146" t="s">
        <v>626</v>
      </c>
      <c r="D23" s="146"/>
      <c r="E23" s="146"/>
      <c r="F23" s="146"/>
      <c r="G23" s="146"/>
      <c r="H23" s="146"/>
      <c r="I23" s="146"/>
      <c r="J23" s="19"/>
      <c r="K23" s="362">
        <f>VLOOKUP($F$1,Part1,6,FALSE)</f>
        <v>9045578.240000002</v>
      </c>
      <c r="L23" s="363"/>
      <c r="M23" s="131"/>
      <c r="N23" s="131"/>
      <c r="O23" s="135"/>
      <c r="P23" s="132"/>
      <c r="Q23" s="132"/>
      <c r="R23" s="132"/>
      <c r="S23" s="131"/>
      <c r="T23" s="131"/>
      <c r="U23" s="131"/>
      <c r="V23" s="131"/>
      <c r="W23" s="131"/>
      <c r="X23" s="131"/>
      <c r="Y23" s="19"/>
      <c r="Z23" s="21"/>
    </row>
    <row r="24" spans="1:26" ht="15">
      <c r="A24" s="20"/>
      <c r="B24" s="19"/>
      <c r="C24" s="146"/>
      <c r="D24" s="146"/>
      <c r="E24" s="146"/>
      <c r="F24" s="146"/>
      <c r="G24" s="146"/>
      <c r="H24" s="146"/>
      <c r="I24" s="146"/>
      <c r="J24" s="19"/>
      <c r="K24" s="131"/>
      <c r="L24" s="131"/>
      <c r="M24" s="131"/>
      <c r="N24" s="131"/>
      <c r="O24" s="135"/>
      <c r="P24" s="132"/>
      <c r="Q24" s="132"/>
      <c r="R24" s="132"/>
      <c r="S24" s="131"/>
      <c r="T24" s="131"/>
      <c r="U24" s="131"/>
      <c r="V24" s="131"/>
      <c r="W24" s="131"/>
      <c r="X24" s="131"/>
      <c r="Y24" s="19"/>
      <c r="Z24" s="21"/>
    </row>
    <row r="25" spans="1:26" ht="15.75" thickBot="1">
      <c r="A25" s="20"/>
      <c r="B25" s="19"/>
      <c r="C25" s="145" t="s">
        <v>831</v>
      </c>
      <c r="D25" s="145"/>
      <c r="E25" s="145"/>
      <c r="F25" s="145"/>
      <c r="G25" s="146"/>
      <c r="H25" s="146"/>
      <c r="I25" s="146"/>
      <c r="J25" s="19"/>
      <c r="K25" s="131"/>
      <c r="L25" s="131"/>
      <c r="M25" s="131"/>
      <c r="N25" s="131"/>
      <c r="O25" s="135"/>
      <c r="P25" s="132"/>
      <c r="Q25" s="132"/>
      <c r="R25" s="132"/>
      <c r="S25" s="131"/>
      <c r="T25" s="131"/>
      <c r="U25" s="131"/>
      <c r="V25" s="131"/>
      <c r="W25" s="131"/>
      <c r="X25" s="131"/>
      <c r="Y25" s="19"/>
      <c r="Z25" s="21"/>
    </row>
    <row r="26" spans="1:26" ht="15.75" thickBot="1">
      <c r="A26" s="20"/>
      <c r="B26" s="19"/>
      <c r="C26" s="146" t="s">
        <v>652</v>
      </c>
      <c r="D26" s="146"/>
      <c r="E26" s="146"/>
      <c r="F26" s="146"/>
      <c r="G26" s="146"/>
      <c r="H26" s="146"/>
      <c r="I26" s="146"/>
      <c r="J26" s="19"/>
      <c r="K26" s="362">
        <f>VLOOKUP($F$1,Part1,7,FALSE)</f>
        <v>83999996</v>
      </c>
      <c r="L26" s="363"/>
      <c r="M26" s="131"/>
      <c r="N26" s="131"/>
      <c r="O26" s="147"/>
      <c r="P26" s="132"/>
      <c r="Q26" s="132"/>
      <c r="R26" s="132"/>
      <c r="S26" s="131"/>
      <c r="T26" s="131"/>
      <c r="U26" s="131"/>
      <c r="V26" s="131"/>
      <c r="W26" s="131"/>
      <c r="X26" s="131"/>
      <c r="Y26" s="19"/>
      <c r="Z26" s="21"/>
    </row>
    <row r="27" spans="1:26" ht="15.75" thickBot="1">
      <c r="A27" s="20"/>
      <c r="B27" s="19"/>
      <c r="C27" s="146"/>
      <c r="D27" s="146"/>
      <c r="E27" s="146"/>
      <c r="F27" s="146"/>
      <c r="G27" s="146"/>
      <c r="H27" s="146"/>
      <c r="I27" s="146"/>
      <c r="J27" s="19"/>
      <c r="K27" s="148"/>
      <c r="L27" s="131"/>
      <c r="M27" s="131"/>
      <c r="N27" s="131"/>
      <c r="O27" s="135"/>
      <c r="P27" s="132"/>
      <c r="Q27" s="132"/>
      <c r="R27" s="132"/>
      <c r="S27" s="131"/>
      <c r="T27" s="131"/>
      <c r="U27" s="131"/>
      <c r="V27" s="131"/>
      <c r="W27" s="131"/>
      <c r="X27" s="131"/>
      <c r="Y27" s="19"/>
      <c r="Z27" s="21"/>
    </row>
    <row r="28" spans="1:26" ht="15.75" thickBot="1">
      <c r="A28" s="20"/>
      <c r="B28" s="19"/>
      <c r="C28" s="146" t="s">
        <v>650</v>
      </c>
      <c r="D28" s="146"/>
      <c r="E28" s="146"/>
      <c r="F28" s="146"/>
      <c r="G28" s="146"/>
      <c r="H28" s="146"/>
      <c r="I28" s="146"/>
      <c r="J28" s="19"/>
      <c r="K28" s="362">
        <f>VLOOKUP($F$1,Part1,8,FALSE)</f>
        <v>99198</v>
      </c>
      <c r="L28" s="363"/>
      <c r="M28" s="131"/>
      <c r="N28" s="131"/>
      <c r="O28" s="135"/>
      <c r="P28" s="132"/>
      <c r="Q28" s="132"/>
      <c r="R28" s="132"/>
      <c r="S28" s="131"/>
      <c r="T28" s="131"/>
      <c r="U28" s="131"/>
      <c r="V28" s="131"/>
      <c r="W28" s="131"/>
      <c r="X28" s="131"/>
      <c r="Y28" s="19"/>
      <c r="Z28" s="21"/>
    </row>
    <row r="29" spans="1:26" ht="15.75" thickBot="1">
      <c r="A29" s="20"/>
      <c r="B29" s="19"/>
      <c r="C29" s="146"/>
      <c r="D29" s="146"/>
      <c r="E29" s="146"/>
      <c r="F29" s="146"/>
      <c r="G29" s="146"/>
      <c r="H29" s="146"/>
      <c r="I29" s="146"/>
      <c r="J29" s="19"/>
      <c r="K29" s="148"/>
      <c r="L29" s="131"/>
      <c r="M29" s="131"/>
      <c r="N29" s="131"/>
      <c r="O29" s="135"/>
      <c r="P29" s="132"/>
      <c r="Q29" s="132"/>
      <c r="R29" s="132"/>
      <c r="S29" s="131"/>
      <c r="T29" s="131"/>
      <c r="U29" s="131"/>
      <c r="V29" s="131"/>
      <c r="W29" s="131"/>
      <c r="X29" s="131"/>
      <c r="Y29" s="19"/>
      <c r="Z29" s="21"/>
    </row>
    <row r="30" spans="1:26" ht="15.75" thickBot="1">
      <c r="A30" s="20"/>
      <c r="B30" s="19"/>
      <c r="C30" s="146" t="s">
        <v>651</v>
      </c>
      <c r="D30" s="146"/>
      <c r="E30" s="146"/>
      <c r="F30" s="146"/>
      <c r="G30" s="146"/>
      <c r="H30" s="146"/>
      <c r="I30" s="146"/>
      <c r="J30" s="19"/>
      <c r="K30" s="362">
        <f>VLOOKUP($F$1,Part1,9,FALSE)</f>
        <v>84099194</v>
      </c>
      <c r="L30" s="363"/>
      <c r="M30" s="131"/>
      <c r="N30" s="131"/>
      <c r="O30" s="135"/>
      <c r="P30" s="132"/>
      <c r="Q30" s="132"/>
      <c r="R30" s="132"/>
      <c r="S30" s="131"/>
      <c r="T30" s="131"/>
      <c r="U30" s="131"/>
      <c r="V30" s="131"/>
      <c r="W30" s="131"/>
      <c r="X30" s="131"/>
      <c r="Y30" s="19"/>
      <c r="Z30" s="21"/>
    </row>
    <row r="31" spans="1:26" ht="15">
      <c r="A31" s="20"/>
      <c r="B31" s="19"/>
      <c r="C31" s="146"/>
      <c r="D31" s="146"/>
      <c r="E31" s="146"/>
      <c r="F31" s="146"/>
      <c r="G31" s="146"/>
      <c r="H31" s="146"/>
      <c r="I31" s="146"/>
      <c r="J31" s="19"/>
      <c r="K31" s="148"/>
      <c r="L31" s="131"/>
      <c r="M31" s="131"/>
      <c r="N31" s="131"/>
      <c r="O31" s="135"/>
      <c r="P31" s="132"/>
      <c r="Q31" s="132"/>
      <c r="R31" s="132"/>
      <c r="S31" s="131"/>
      <c r="T31" s="131"/>
      <c r="U31" s="131"/>
      <c r="V31" s="131"/>
      <c r="W31" s="131"/>
      <c r="X31" s="131"/>
      <c r="Y31" s="19"/>
      <c r="Z31" s="21"/>
    </row>
    <row r="32" spans="1:26" ht="15.75" thickBot="1">
      <c r="A32" s="20"/>
      <c r="B32" s="19"/>
      <c r="C32" s="145" t="s">
        <v>653</v>
      </c>
      <c r="D32" s="146"/>
      <c r="E32" s="146"/>
      <c r="F32" s="146"/>
      <c r="G32" s="146"/>
      <c r="H32" s="146"/>
      <c r="I32" s="146"/>
      <c r="J32" s="19"/>
      <c r="K32" s="148"/>
      <c r="L32" s="131"/>
      <c r="M32" s="131"/>
      <c r="N32" s="131"/>
      <c r="O32" s="135"/>
      <c r="P32" s="132"/>
      <c r="Q32" s="132"/>
      <c r="R32" s="132"/>
      <c r="S32" s="131"/>
      <c r="T32" s="131"/>
      <c r="U32" s="131"/>
      <c r="V32" s="131"/>
      <c r="W32" s="131"/>
      <c r="X32" s="131"/>
      <c r="Y32" s="19"/>
      <c r="Z32" s="21"/>
    </row>
    <row r="33" spans="1:26" ht="15.75" thickBot="1">
      <c r="A33" s="20"/>
      <c r="B33" s="19"/>
      <c r="C33" s="146" t="s">
        <v>655</v>
      </c>
      <c r="D33" s="146"/>
      <c r="E33" s="146"/>
      <c r="F33" s="146"/>
      <c r="G33" s="146"/>
      <c r="H33" s="146"/>
      <c r="I33" s="146"/>
      <c r="J33" s="19"/>
      <c r="K33" s="362">
        <f>VLOOKUP($F$1,Part1,10,FALSE)</f>
        <v>10743000</v>
      </c>
      <c r="L33" s="363"/>
      <c r="M33" s="131"/>
      <c r="N33" s="131"/>
      <c r="O33" s="135"/>
      <c r="P33" s="132"/>
      <c r="Q33" s="132"/>
      <c r="R33" s="132"/>
      <c r="S33" s="131"/>
      <c r="T33" s="131"/>
      <c r="U33" s="131"/>
      <c r="V33" s="131"/>
      <c r="W33" s="131"/>
      <c r="X33" s="131"/>
      <c r="Y33" s="19"/>
      <c r="Z33" s="21"/>
    </row>
    <row r="34" spans="1:26" ht="15">
      <c r="A34" s="20"/>
      <c r="B34" s="19"/>
      <c r="C34" s="146"/>
      <c r="D34" s="146"/>
      <c r="E34" s="146"/>
      <c r="F34" s="146"/>
      <c r="G34" s="146"/>
      <c r="H34" s="146"/>
      <c r="I34" s="146"/>
      <c r="J34" s="19"/>
      <c r="K34" s="148"/>
      <c r="L34" s="131"/>
      <c r="M34" s="131"/>
      <c r="N34" s="131"/>
      <c r="O34" s="135"/>
      <c r="P34" s="132"/>
      <c r="Q34" s="132"/>
      <c r="R34" s="132"/>
      <c r="S34" s="131"/>
      <c r="T34" s="131"/>
      <c r="U34" s="131"/>
      <c r="V34" s="131"/>
      <c r="W34" s="131"/>
      <c r="X34" s="131"/>
      <c r="Y34" s="19"/>
      <c r="Z34" s="21"/>
    </row>
    <row r="35" spans="1:26" ht="15.75" thickBot="1">
      <c r="A35" s="20"/>
      <c r="B35" s="19"/>
      <c r="C35" s="145" t="s">
        <v>685</v>
      </c>
      <c r="D35" s="146"/>
      <c r="E35" s="146"/>
      <c r="F35" s="146"/>
      <c r="G35" s="146"/>
      <c r="H35" s="146"/>
      <c r="I35" s="146"/>
      <c r="J35" s="19"/>
      <c r="K35" s="131"/>
      <c r="L35" s="131"/>
      <c r="M35" s="131"/>
      <c r="N35" s="131"/>
      <c r="O35" s="135"/>
      <c r="P35" s="132"/>
      <c r="Q35" s="132"/>
      <c r="R35" s="132"/>
      <c r="S35" s="131"/>
      <c r="T35" s="131"/>
      <c r="U35" s="131"/>
      <c r="V35" s="131"/>
      <c r="W35" s="131"/>
      <c r="X35" s="131"/>
      <c r="Y35" s="19"/>
      <c r="Z35" s="21"/>
    </row>
    <row r="36" spans="1:26" ht="15.75" thickBot="1">
      <c r="A36" s="20"/>
      <c r="B36" s="19"/>
      <c r="C36" s="146" t="s">
        <v>60</v>
      </c>
      <c r="D36" s="146"/>
      <c r="E36" s="146"/>
      <c r="F36" s="146"/>
      <c r="G36" s="146"/>
      <c r="H36" s="146"/>
      <c r="I36" s="146"/>
      <c r="J36" s="19"/>
      <c r="K36" s="362">
        <f>VLOOKUP($F$1,Part1,11,FALSE)</f>
        <v>8986747.5</v>
      </c>
      <c r="L36" s="363"/>
      <c r="M36" s="131"/>
      <c r="N36" s="131"/>
      <c r="O36" s="135"/>
      <c r="P36" s="132"/>
      <c r="Q36" s="132"/>
      <c r="R36" s="132"/>
      <c r="S36" s="131"/>
      <c r="T36" s="131"/>
      <c r="U36" s="131"/>
      <c r="V36" s="131"/>
      <c r="W36" s="131"/>
      <c r="X36" s="131"/>
      <c r="Y36" s="19"/>
      <c r="Z36" s="21"/>
    </row>
    <row r="37" spans="1:26" ht="15" thickBot="1">
      <c r="A37" s="20"/>
      <c r="B37" s="19"/>
      <c r="C37" s="146"/>
      <c r="D37" s="146"/>
      <c r="E37" s="146"/>
      <c r="F37" s="146"/>
      <c r="G37" s="146"/>
      <c r="H37" s="146"/>
      <c r="I37" s="146"/>
      <c r="J37" s="19"/>
      <c r="K37" s="131"/>
      <c r="L37" s="131"/>
      <c r="M37" s="131"/>
      <c r="N37" s="131"/>
      <c r="O37" s="135"/>
      <c r="P37" s="132"/>
      <c r="Q37" s="365"/>
      <c r="R37" s="365"/>
      <c r="S37" s="365"/>
      <c r="T37" s="365"/>
      <c r="U37" s="365"/>
      <c r="V37" s="365"/>
      <c r="W37" s="365"/>
      <c r="X37" s="131"/>
      <c r="Y37" s="19"/>
      <c r="Z37" s="21"/>
    </row>
    <row r="38" spans="1:26" ht="15.75" thickBot="1">
      <c r="A38" s="20"/>
      <c r="B38" s="19"/>
      <c r="C38" s="146" t="s">
        <v>654</v>
      </c>
      <c r="D38" s="146"/>
      <c r="E38" s="146"/>
      <c r="F38" s="146"/>
      <c r="G38" s="146"/>
      <c r="H38" s="146"/>
      <c r="I38" s="146"/>
      <c r="J38" s="19"/>
      <c r="K38" s="362">
        <f>VLOOKUP($F$1,Part1,12,FALSE)</f>
        <v>10261844</v>
      </c>
      <c r="L38" s="363"/>
      <c r="M38" s="131"/>
      <c r="N38" s="131"/>
      <c r="O38" s="135"/>
      <c r="P38" s="132"/>
      <c r="Q38" s="132"/>
      <c r="R38" s="132"/>
      <c r="S38" s="131"/>
      <c r="T38" s="131"/>
      <c r="U38" s="131"/>
      <c r="V38" s="131"/>
      <c r="W38" s="131"/>
      <c r="X38" s="131"/>
      <c r="Y38" s="19"/>
      <c r="Z38" s="21"/>
    </row>
    <row r="39" spans="1:26" ht="15" thickBot="1">
      <c r="A39" s="20"/>
      <c r="B39" s="19"/>
      <c r="C39" s="146"/>
      <c r="D39" s="146"/>
      <c r="E39" s="146"/>
      <c r="F39" s="146"/>
      <c r="G39" s="146"/>
      <c r="H39" s="146"/>
      <c r="I39" s="146"/>
      <c r="J39" s="19"/>
      <c r="K39" s="131"/>
      <c r="L39" s="131"/>
      <c r="M39" s="131"/>
      <c r="N39" s="131"/>
      <c r="O39" s="135"/>
      <c r="P39" s="132"/>
      <c r="Q39" s="132"/>
      <c r="R39" s="132"/>
      <c r="S39" s="131"/>
      <c r="T39" s="131"/>
      <c r="U39" s="131"/>
      <c r="V39" s="131"/>
      <c r="W39" s="131"/>
      <c r="X39" s="131"/>
      <c r="Y39" s="19"/>
      <c r="Z39" s="21"/>
    </row>
    <row r="40" spans="1:26" ht="15.75" thickBot="1">
      <c r="A40" s="20"/>
      <c r="B40" s="19"/>
      <c r="C40" s="373" t="s">
        <v>53</v>
      </c>
      <c r="D40" s="373"/>
      <c r="E40" s="373"/>
      <c r="F40" s="373"/>
      <c r="G40" s="373"/>
      <c r="H40" s="373"/>
      <c r="I40" s="373"/>
      <c r="J40" s="19"/>
      <c r="K40" s="362">
        <f>VLOOKUP($F$1,Part1,13,FALSE)</f>
        <v>8680749</v>
      </c>
      <c r="L40" s="363"/>
      <c r="M40" s="131"/>
      <c r="N40" s="131"/>
      <c r="O40" s="135"/>
      <c r="P40" s="132"/>
      <c r="Q40" s="132"/>
      <c r="R40" s="132"/>
      <c r="S40" s="131"/>
      <c r="T40" s="131"/>
      <c r="U40" s="131"/>
      <c r="V40" s="131"/>
      <c r="W40" s="131"/>
      <c r="X40" s="131"/>
      <c r="Y40" s="19"/>
      <c r="Z40" s="21"/>
    </row>
    <row r="41" spans="1:26" ht="15">
      <c r="A41" s="20"/>
      <c r="B41" s="19"/>
      <c r="C41" s="373"/>
      <c r="D41" s="373"/>
      <c r="E41" s="373"/>
      <c r="F41" s="373"/>
      <c r="G41" s="373"/>
      <c r="H41" s="373"/>
      <c r="I41" s="373"/>
      <c r="J41" s="19"/>
      <c r="K41" s="131"/>
      <c r="L41" s="131"/>
      <c r="M41" s="131"/>
      <c r="N41" s="131"/>
      <c r="O41" s="135"/>
      <c r="P41" s="132"/>
      <c r="Q41" s="132"/>
      <c r="R41" s="132"/>
      <c r="S41" s="131"/>
      <c r="T41" s="131"/>
      <c r="U41" s="131"/>
      <c r="V41" s="131"/>
      <c r="W41" s="131"/>
      <c r="X41" s="131"/>
      <c r="Y41" s="19"/>
      <c r="Z41" s="21"/>
    </row>
    <row r="42" spans="1:26" ht="15" thickBot="1">
      <c r="A42" s="20"/>
      <c r="B42" s="19"/>
      <c r="C42" s="19" t="s">
        <v>62</v>
      </c>
      <c r="D42" s="19"/>
      <c r="E42" s="19"/>
      <c r="F42" s="19"/>
      <c r="G42" s="19"/>
      <c r="H42" s="19"/>
      <c r="I42" s="19"/>
      <c r="J42" s="19"/>
      <c r="K42" s="131"/>
      <c r="L42" s="131"/>
      <c r="M42" s="131"/>
      <c r="N42" s="131"/>
      <c r="O42" s="135"/>
      <c r="P42" s="132"/>
      <c r="Q42" s="132"/>
      <c r="R42" s="132"/>
      <c r="S42" s="131"/>
      <c r="T42" s="131"/>
      <c r="U42" s="131"/>
      <c r="V42" s="131"/>
      <c r="W42" s="131"/>
      <c r="X42" s="131"/>
      <c r="Y42" s="19"/>
      <c r="Z42" s="21"/>
    </row>
    <row r="43" spans="1:26" ht="15.75" thickBot="1">
      <c r="A43" s="20"/>
      <c r="B43" s="19"/>
      <c r="C43" s="19" t="s">
        <v>676</v>
      </c>
      <c r="D43" s="19"/>
      <c r="E43" s="19"/>
      <c r="F43" s="19"/>
      <c r="G43" s="19"/>
      <c r="H43" s="19"/>
      <c r="I43" s="19"/>
      <c r="J43" s="19"/>
      <c r="K43" s="362">
        <f>VLOOKUP($F$1,Part1,14,FALSE)</f>
        <v>8087962</v>
      </c>
      <c r="L43" s="363"/>
      <c r="M43" s="131"/>
      <c r="N43" s="131"/>
      <c r="O43" s="135"/>
      <c r="P43" s="132"/>
      <c r="Q43" s="132"/>
      <c r="R43" s="132"/>
      <c r="S43" s="131"/>
      <c r="T43" s="131"/>
      <c r="U43" s="131"/>
      <c r="V43" s="131"/>
      <c r="W43" s="131"/>
      <c r="X43" s="131"/>
      <c r="Y43" s="19"/>
      <c r="Z43" s="21"/>
    </row>
    <row r="44" spans="1:26" ht="15" thickBo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31"/>
      <c r="L44" s="131"/>
      <c r="M44" s="131"/>
      <c r="N44" s="131"/>
      <c r="O44" s="135"/>
      <c r="P44" s="132"/>
      <c r="Q44" s="132"/>
      <c r="R44" s="132"/>
      <c r="S44" s="131"/>
      <c r="T44" s="131"/>
      <c r="U44" s="131"/>
      <c r="V44" s="131"/>
      <c r="W44" s="131"/>
      <c r="X44" s="131"/>
      <c r="Y44" s="19"/>
      <c r="Z44" s="21"/>
    </row>
    <row r="45" spans="1:26" ht="15.75" thickBot="1">
      <c r="A45" s="20"/>
      <c r="B45" s="19"/>
      <c r="C45" s="19" t="s">
        <v>677</v>
      </c>
      <c r="D45" s="19"/>
      <c r="E45" s="19"/>
      <c r="F45" s="19"/>
      <c r="G45" s="19"/>
      <c r="H45" s="19"/>
      <c r="I45" s="19"/>
      <c r="J45" s="19"/>
      <c r="K45" s="362">
        <f>VLOOKUP($F$1,Part1,15,FALSE)</f>
        <v>592787</v>
      </c>
      <c r="L45" s="363"/>
      <c r="M45" s="131"/>
      <c r="N45" s="131"/>
      <c r="O45" s="135"/>
      <c r="P45" s="132"/>
      <c r="Q45" s="132"/>
      <c r="R45" s="132"/>
      <c r="S45" s="131"/>
      <c r="T45" s="131"/>
      <c r="U45" s="131"/>
      <c r="V45" s="131"/>
      <c r="W45" s="131"/>
      <c r="X45" s="131"/>
      <c r="Y45" s="19"/>
      <c r="Z45" s="21"/>
    </row>
    <row r="46" spans="1:26" ht="1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374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131"/>
      <c r="Y46" s="19"/>
      <c r="Z46" s="21"/>
    </row>
    <row r="47" spans="1:26" ht="15.75" thickBot="1">
      <c r="A47" s="20"/>
      <c r="B47" s="19"/>
      <c r="C47" s="26" t="s">
        <v>684</v>
      </c>
      <c r="D47" s="26"/>
      <c r="E47" s="26"/>
      <c r="F47" s="26"/>
      <c r="G47" s="26"/>
      <c r="H47" s="19"/>
      <c r="I47" s="19"/>
      <c r="J47" s="19"/>
      <c r="K47" s="131"/>
      <c r="L47" s="131"/>
      <c r="M47" s="131"/>
      <c r="N47" s="131"/>
      <c r="O47" s="135"/>
      <c r="P47" s="132"/>
      <c r="Q47" s="132"/>
      <c r="R47" s="132"/>
      <c r="S47" s="131"/>
      <c r="T47" s="131"/>
      <c r="U47" s="131"/>
      <c r="V47" s="131"/>
      <c r="W47" s="131"/>
      <c r="X47" s="131"/>
      <c r="Y47" s="19"/>
      <c r="Z47" s="21"/>
    </row>
    <row r="48" spans="1:26" ht="15.75" thickBot="1">
      <c r="A48" s="20"/>
      <c r="B48" s="19"/>
      <c r="C48" s="19" t="s">
        <v>678</v>
      </c>
      <c r="D48" s="19"/>
      <c r="E48" s="19"/>
      <c r="F48" s="19"/>
      <c r="G48" s="19"/>
      <c r="H48" s="19"/>
      <c r="I48" s="19"/>
      <c r="J48" s="19"/>
      <c r="K48" s="362">
        <f>VLOOKUP($F$1,Part1,16,FALSE)</f>
        <v>22386247983.950012</v>
      </c>
      <c r="L48" s="363"/>
      <c r="M48" s="131"/>
      <c r="N48" s="392"/>
      <c r="O48" s="392"/>
      <c r="P48" s="376"/>
      <c r="Q48" s="376"/>
      <c r="R48" s="376"/>
      <c r="S48" s="147"/>
      <c r="T48" s="136"/>
      <c r="U48" s="136"/>
      <c r="V48" s="136"/>
      <c r="W48" s="136"/>
      <c r="X48" s="131"/>
      <c r="Y48" s="19"/>
      <c r="Z48" s="21"/>
    </row>
    <row r="49" spans="1:26" ht="50.25" customHeight="1">
      <c r="A49" s="20"/>
      <c r="B49" s="19"/>
      <c r="C49" s="22"/>
      <c r="D49" s="19"/>
      <c r="E49" s="19"/>
      <c r="F49" s="19"/>
      <c r="G49" s="19"/>
      <c r="H49" s="19"/>
      <c r="I49" s="19"/>
      <c r="J49" s="19"/>
      <c r="K49" s="131"/>
      <c r="L49" s="131"/>
      <c r="M49" s="131"/>
      <c r="N49" s="131"/>
      <c r="O49" s="136"/>
      <c r="P49" s="131"/>
      <c r="Q49" s="131"/>
      <c r="R49" s="131"/>
      <c r="S49" s="147"/>
      <c r="T49" s="131"/>
      <c r="U49" s="131"/>
      <c r="V49" s="131"/>
      <c r="W49" s="131"/>
      <c r="X49" s="131"/>
      <c r="Y49" s="19"/>
      <c r="Z49" s="21"/>
    </row>
    <row r="50" spans="1:26" ht="15">
      <c r="A50" s="20"/>
      <c r="B50" s="19"/>
      <c r="C50" s="23" t="s">
        <v>290</v>
      </c>
      <c r="D50" s="23"/>
      <c r="E50" s="23"/>
      <c r="F50" s="23"/>
      <c r="G50" s="19"/>
      <c r="H50" s="19"/>
      <c r="I50" s="19"/>
      <c r="J50" s="19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9"/>
      <c r="Z50" s="21"/>
    </row>
    <row r="51" spans="1:26" ht="15">
      <c r="A51" s="20"/>
      <c r="B51" s="19"/>
      <c r="C51" s="19" t="s">
        <v>639</v>
      </c>
      <c r="D51" s="19"/>
      <c r="E51" s="19"/>
      <c r="F51" s="19"/>
      <c r="G51" s="19"/>
      <c r="H51" s="19"/>
      <c r="I51" s="19"/>
      <c r="J51" s="19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9"/>
      <c r="Z51" s="21"/>
    </row>
    <row r="52" spans="1:26" ht="15">
      <c r="A52" s="20"/>
      <c r="B52" s="19"/>
      <c r="C52" s="19"/>
      <c r="D52" s="19" t="s">
        <v>640</v>
      </c>
      <c r="E52" s="19"/>
      <c r="F52" s="19"/>
      <c r="G52" s="19"/>
      <c r="H52" s="19"/>
      <c r="I52" s="19"/>
      <c r="J52" s="19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9"/>
      <c r="Z52" s="21"/>
    </row>
    <row r="53" spans="1:26" ht="15">
      <c r="A53" s="20"/>
      <c r="B53" s="19"/>
      <c r="C53" s="19"/>
      <c r="D53" s="19" t="s">
        <v>641</v>
      </c>
      <c r="E53" s="19"/>
      <c r="F53" s="19"/>
      <c r="G53" s="19"/>
      <c r="H53" s="19"/>
      <c r="I53" s="19"/>
      <c r="J53" s="19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9"/>
      <c r="Z53" s="21"/>
    </row>
    <row r="54" spans="1:26" ht="15">
      <c r="A54" s="20"/>
      <c r="B54" s="19"/>
      <c r="C54" s="19"/>
      <c r="D54" s="19" t="s">
        <v>642</v>
      </c>
      <c r="E54" s="19"/>
      <c r="F54" s="19"/>
      <c r="G54" s="19"/>
      <c r="H54" s="19"/>
      <c r="I54" s="19"/>
      <c r="J54" s="19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9"/>
      <c r="Z54" s="21"/>
    </row>
    <row r="55" spans="1:26" ht="15">
      <c r="A55" s="20"/>
      <c r="B55" s="19"/>
      <c r="C55" s="19" t="s">
        <v>643</v>
      </c>
      <c r="D55" s="19"/>
      <c r="E55" s="19"/>
      <c r="F55" s="19"/>
      <c r="G55" s="19"/>
      <c r="H55" s="19"/>
      <c r="I55" s="19"/>
      <c r="J55" s="19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9"/>
      <c r="Z55" s="21"/>
    </row>
    <row r="56" spans="1:26" ht="15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9"/>
      <c r="Z56" s="21"/>
    </row>
    <row r="57" spans="1:26" ht="15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366" t="s">
        <v>628</v>
      </c>
      <c r="L57" s="366"/>
      <c r="M57" s="131"/>
      <c r="N57" s="366" t="s">
        <v>629</v>
      </c>
      <c r="O57" s="366"/>
      <c r="P57" s="137"/>
      <c r="Q57" s="366" t="s">
        <v>630</v>
      </c>
      <c r="R57" s="366"/>
      <c r="S57" s="137"/>
      <c r="T57" s="366" t="s">
        <v>631</v>
      </c>
      <c r="U57" s="366"/>
      <c r="V57" s="137"/>
      <c r="W57" s="366" t="s">
        <v>656</v>
      </c>
      <c r="X57" s="366"/>
      <c r="Y57" s="19"/>
      <c r="Z57" s="21"/>
    </row>
    <row r="58" spans="1:26" ht="1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360" t="s">
        <v>57</v>
      </c>
      <c r="L58" s="372"/>
      <c r="M58" s="283"/>
      <c r="N58" s="360" t="str">
        <f>+N127</f>
        <v>Billing Authority</v>
      </c>
      <c r="O58" s="372"/>
      <c r="P58" s="284"/>
      <c r="Q58" s="360" t="str">
        <f>+IF(Q127="UA","",IF(Q127="MD","",CONCATENATE(Q127," County Council")))</f>
        <v>  County Council</v>
      </c>
      <c r="R58" s="372"/>
      <c r="S58" s="284"/>
      <c r="T58" s="360" t="str">
        <f>+IF(T127="County","",IF(T127="NA","",T127))</f>
        <v>Fire Authority</v>
      </c>
      <c r="U58" s="372"/>
      <c r="V58" s="283"/>
      <c r="W58" s="360" t="s">
        <v>644</v>
      </c>
      <c r="X58" s="360"/>
      <c r="Y58" s="19"/>
      <c r="Z58" s="21"/>
    </row>
    <row r="59" spans="1:26" ht="15.75" customHeight="1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360"/>
      <c r="L59" s="372"/>
      <c r="M59" s="283"/>
      <c r="N59" s="360"/>
      <c r="O59" s="372"/>
      <c r="P59" s="284"/>
      <c r="Q59" s="360"/>
      <c r="R59" s="372"/>
      <c r="S59" s="284"/>
      <c r="T59" s="360"/>
      <c r="U59" s="372"/>
      <c r="V59" s="283"/>
      <c r="W59" s="361"/>
      <c r="X59" s="361"/>
      <c r="Y59" s="19"/>
      <c r="Z59" s="21"/>
    </row>
    <row r="60" spans="1:26" ht="1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372"/>
      <c r="L60" s="372"/>
      <c r="M60" s="283"/>
      <c r="N60" s="372"/>
      <c r="O60" s="372"/>
      <c r="P60" s="284"/>
      <c r="Q60" s="372"/>
      <c r="R60" s="372"/>
      <c r="S60" s="284"/>
      <c r="T60" s="372"/>
      <c r="U60" s="372"/>
      <c r="V60" s="284"/>
      <c r="W60" s="361"/>
      <c r="X60" s="361"/>
      <c r="Y60" s="19"/>
      <c r="Z60" s="21"/>
    </row>
    <row r="61" spans="1:26" ht="15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370" t="s">
        <v>624</v>
      </c>
      <c r="L61" s="370"/>
      <c r="M61" s="138"/>
      <c r="N61" s="370" t="s">
        <v>624</v>
      </c>
      <c r="O61" s="370"/>
      <c r="P61" s="131"/>
      <c r="Q61" s="370" t="s">
        <v>624</v>
      </c>
      <c r="R61" s="370"/>
      <c r="S61" s="131"/>
      <c r="T61" s="370" t="s">
        <v>624</v>
      </c>
      <c r="U61" s="370"/>
      <c r="V61" s="138"/>
      <c r="W61" s="370" t="s">
        <v>624</v>
      </c>
      <c r="X61" s="370"/>
      <c r="Y61" s="19"/>
      <c r="Z61" s="21"/>
    </row>
    <row r="62" spans="1:26" ht="15.75" thickBot="1">
      <c r="A62" s="20"/>
      <c r="B62" s="19"/>
      <c r="C62" s="23" t="s">
        <v>646</v>
      </c>
      <c r="D62" s="19"/>
      <c r="E62" s="19"/>
      <c r="F62" s="19"/>
      <c r="G62" s="19"/>
      <c r="H62" s="19"/>
      <c r="I62" s="19"/>
      <c r="J62" s="19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9"/>
      <c r="Z62" s="21"/>
    </row>
    <row r="63" spans="1:27" ht="15.75" thickBot="1">
      <c r="A63" s="20"/>
      <c r="B63" s="19"/>
      <c r="C63" s="19"/>
      <c r="D63" s="369" t="s">
        <v>700</v>
      </c>
      <c r="E63" s="369"/>
      <c r="F63" s="369"/>
      <c r="G63" s="369"/>
      <c r="H63" s="369"/>
      <c r="I63" s="369"/>
      <c r="J63" s="19"/>
      <c r="K63" s="362">
        <f>VLOOKUP($F$1,Part1,17,FALSE)</f>
        <v>11193123997.879993</v>
      </c>
      <c r="L63" s="363"/>
      <c r="M63" s="131"/>
      <c r="N63" s="362">
        <f>VLOOKUP($F$1,Part1,18,FALSE)</f>
        <v>9067595229.5</v>
      </c>
      <c r="O63" s="363"/>
      <c r="P63" s="131"/>
      <c r="Q63" s="362">
        <f>VLOOKUP($F$1,Part1,19,FALSE)</f>
        <v>2001298668.3</v>
      </c>
      <c r="R63" s="363"/>
      <c r="S63" s="131"/>
      <c r="T63" s="362">
        <f>VLOOKUP($F$1,Part1,20,FALSE)</f>
        <v>124230088</v>
      </c>
      <c r="U63" s="363"/>
      <c r="V63" s="131"/>
      <c r="W63" s="362">
        <f>VLOOKUP($F$1,Part1,21,FALSE)</f>
        <v>22386247983.4</v>
      </c>
      <c r="X63" s="363"/>
      <c r="Y63" s="19"/>
      <c r="Z63" s="21"/>
      <c r="AA63" s="144"/>
    </row>
    <row r="64" spans="1:27" ht="15">
      <c r="A64" s="20"/>
      <c r="B64" s="19"/>
      <c r="C64" s="19"/>
      <c r="D64" s="369"/>
      <c r="E64" s="369"/>
      <c r="F64" s="369"/>
      <c r="G64" s="369"/>
      <c r="H64" s="369"/>
      <c r="I64" s="369"/>
      <c r="J64" s="19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9"/>
      <c r="Z64" s="21"/>
      <c r="AA64" s="144"/>
    </row>
    <row r="65" spans="1:27" ht="15" thickBot="1">
      <c r="A65" s="20"/>
      <c r="B65" s="19"/>
      <c r="C65" s="19"/>
      <c r="D65" s="19"/>
      <c r="E65" s="19"/>
      <c r="F65" s="19"/>
      <c r="G65" s="19"/>
      <c r="H65" s="19"/>
      <c r="I65" s="19"/>
      <c r="J65" s="19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9"/>
      <c r="Z65" s="21"/>
      <c r="AA65" s="144"/>
    </row>
    <row r="66" spans="1:27" ht="15.75" thickBot="1">
      <c r="A66" s="20"/>
      <c r="B66" s="19"/>
      <c r="C66" s="19"/>
      <c r="D66" s="19" t="s">
        <v>293</v>
      </c>
      <c r="E66" s="19"/>
      <c r="F66" s="19"/>
      <c r="G66" s="19"/>
      <c r="H66" s="19"/>
      <c r="I66" s="19"/>
      <c r="J66" s="19"/>
      <c r="K66" s="362">
        <f>VLOOKUP($F$1,Part1,22,FALSE)</f>
        <v>5969159</v>
      </c>
      <c r="L66" s="363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362">
        <f>+K66</f>
        <v>5969159</v>
      </c>
      <c r="X66" s="363"/>
      <c r="Y66" s="19"/>
      <c r="Z66" s="21"/>
      <c r="AA66" s="144"/>
    </row>
    <row r="67" spans="1:27" ht="15" thickBot="1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9"/>
      <c r="Z67" s="21"/>
      <c r="AA67" s="144"/>
    </row>
    <row r="68" spans="1:27" ht="15.75" thickBot="1">
      <c r="A68" s="20"/>
      <c r="B68" s="19"/>
      <c r="C68" s="19"/>
      <c r="D68" s="25">
        <v>16</v>
      </c>
      <c r="E68" s="19"/>
      <c r="F68" s="19"/>
      <c r="G68" s="19"/>
      <c r="H68" s="19"/>
      <c r="I68" s="19"/>
      <c r="J68" s="27" t="s">
        <v>701</v>
      </c>
      <c r="K68" s="362">
        <f>VLOOKUP($F$1,Part1,23,FALSE)</f>
        <v>11187154839.379993</v>
      </c>
      <c r="L68" s="363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362">
        <f>+W63-W66</f>
        <v>22380278824.4</v>
      </c>
      <c r="X68" s="363"/>
      <c r="Y68" s="19"/>
      <c r="Z68" s="21"/>
      <c r="AA68" s="144"/>
    </row>
    <row r="69" spans="1:27" ht="15">
      <c r="A69" s="20"/>
      <c r="B69" s="19"/>
      <c r="C69" s="19"/>
      <c r="D69" s="19"/>
      <c r="E69" s="19"/>
      <c r="F69" s="19"/>
      <c r="G69" s="19"/>
      <c r="H69" s="19"/>
      <c r="I69" s="19"/>
      <c r="J69" s="19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9"/>
      <c r="Z69" s="21"/>
      <c r="AA69" s="144"/>
    </row>
    <row r="70" spans="1:27" ht="15.75" thickBot="1">
      <c r="A70" s="20"/>
      <c r="B70" s="19"/>
      <c r="C70" s="23" t="s">
        <v>648</v>
      </c>
      <c r="D70" s="19"/>
      <c r="E70" s="19"/>
      <c r="F70" s="19"/>
      <c r="G70" s="19"/>
      <c r="H70" s="19"/>
      <c r="I70" s="19"/>
      <c r="J70" s="19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9"/>
      <c r="Z70" s="21"/>
      <c r="AA70" s="144"/>
    </row>
    <row r="71" spans="1:27" ht="15.75" thickBot="1">
      <c r="A71" s="20"/>
      <c r="B71" s="19"/>
      <c r="C71" s="19"/>
      <c r="D71" s="19" t="s">
        <v>674</v>
      </c>
      <c r="E71" s="19"/>
      <c r="F71" s="19"/>
      <c r="G71" s="19"/>
      <c r="H71" s="19"/>
      <c r="I71" s="19"/>
      <c r="J71" s="19"/>
      <c r="K71" s="131"/>
      <c r="L71" s="131"/>
      <c r="M71" s="131"/>
      <c r="N71" s="362">
        <f>VLOOKUP($F$1,Part1,24,FALSE)</f>
        <v>84099194</v>
      </c>
      <c r="O71" s="363"/>
      <c r="P71" s="131"/>
      <c r="Q71" s="131"/>
      <c r="R71" s="131"/>
      <c r="S71" s="131"/>
      <c r="T71" s="131"/>
      <c r="U71" s="131"/>
      <c r="V71" s="131"/>
      <c r="W71" s="362">
        <f>VLOOKUP($F$1,Part1,25,FALSE)</f>
        <v>84099194</v>
      </c>
      <c r="X71" s="363"/>
      <c r="Y71" s="19"/>
      <c r="Z71" s="21"/>
      <c r="AA71" s="144"/>
    </row>
    <row r="72" spans="1:27" ht="15" thickBot="1">
      <c r="A72" s="20"/>
      <c r="B72" s="19"/>
      <c r="C72" s="19"/>
      <c r="D72" s="19"/>
      <c r="E72" s="19"/>
      <c r="F72" s="19"/>
      <c r="G72" s="19"/>
      <c r="H72" s="19"/>
      <c r="I72" s="19"/>
      <c r="J72" s="19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9"/>
      <c r="Z72" s="21"/>
      <c r="AA72" s="144"/>
    </row>
    <row r="73" spans="1:27" ht="15.75" thickBot="1">
      <c r="A73" s="20"/>
      <c r="B73" s="19"/>
      <c r="C73" s="19"/>
      <c r="D73" s="19" t="s">
        <v>58</v>
      </c>
      <c r="E73" s="19"/>
      <c r="F73" s="19"/>
      <c r="G73" s="19"/>
      <c r="H73" s="19"/>
      <c r="I73" s="19"/>
      <c r="J73" s="19"/>
      <c r="K73" s="131"/>
      <c r="L73" s="131"/>
      <c r="M73" s="131"/>
      <c r="N73" s="362">
        <f>VLOOKUP($F$1,Part1,26,FALSE)</f>
        <v>8986747.5</v>
      </c>
      <c r="O73" s="363"/>
      <c r="P73" s="131"/>
      <c r="Q73" s="131"/>
      <c r="R73" s="131"/>
      <c r="S73" s="131"/>
      <c r="T73" s="131"/>
      <c r="U73" s="131"/>
      <c r="V73" s="131"/>
      <c r="W73" s="362">
        <f>VLOOKUP($F$1,Part1,27,FALSE)</f>
        <v>8986747.5</v>
      </c>
      <c r="X73" s="363"/>
      <c r="Y73" s="19"/>
      <c r="Z73" s="21"/>
      <c r="AA73" s="144"/>
    </row>
    <row r="74" spans="1:27" ht="15" thickBot="1">
      <c r="A74" s="20"/>
      <c r="B74" s="19"/>
      <c r="C74" s="19"/>
      <c r="D74" s="19"/>
      <c r="E74" s="19"/>
      <c r="F74" s="19"/>
      <c r="G74" s="19"/>
      <c r="H74" s="19"/>
      <c r="I74" s="19"/>
      <c r="J74" s="19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9"/>
      <c r="Z74" s="21"/>
      <c r="AA74" s="144"/>
    </row>
    <row r="75" spans="1:27" ht="15.75" thickBot="1">
      <c r="A75" s="20"/>
      <c r="B75" s="19"/>
      <c r="C75" s="19"/>
      <c r="D75" s="19" t="s">
        <v>59</v>
      </c>
      <c r="E75" s="19"/>
      <c r="F75" s="19"/>
      <c r="G75" s="19"/>
      <c r="H75" s="19"/>
      <c r="I75" s="19"/>
      <c r="J75" s="19"/>
      <c r="K75" s="131"/>
      <c r="L75" s="131"/>
      <c r="M75" s="131"/>
      <c r="N75" s="362">
        <f>VLOOKUP($F$1,Part1,28,FALSE)</f>
        <v>10261844</v>
      </c>
      <c r="O75" s="363"/>
      <c r="P75" s="131"/>
      <c r="Q75" s="131"/>
      <c r="R75" s="131"/>
      <c r="S75" s="131"/>
      <c r="T75" s="131"/>
      <c r="U75" s="131"/>
      <c r="V75" s="131"/>
      <c r="W75" s="362">
        <f>VLOOKUP($F$1,Part1,29,FALSE)</f>
        <v>10261844</v>
      </c>
      <c r="X75" s="363"/>
      <c r="Y75" s="19"/>
      <c r="Z75" s="21"/>
      <c r="AA75" s="144"/>
    </row>
    <row r="76" spans="1:27" ht="15" thickBot="1">
      <c r="A76" s="20"/>
      <c r="B76" s="19"/>
      <c r="C76" s="19"/>
      <c r="D76" s="19"/>
      <c r="E76" s="19"/>
      <c r="F76" s="19"/>
      <c r="G76" s="19"/>
      <c r="H76" s="19"/>
      <c r="I76" s="19"/>
      <c r="J76" s="19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9"/>
      <c r="Z76" s="21"/>
      <c r="AA76" s="144"/>
    </row>
    <row r="77" spans="1:27" ht="15.75" thickBot="1">
      <c r="A77" s="20"/>
      <c r="B77" s="19"/>
      <c r="C77" s="19"/>
      <c r="D77" s="19" t="s">
        <v>679</v>
      </c>
      <c r="E77" s="19"/>
      <c r="F77" s="19"/>
      <c r="G77" s="19"/>
      <c r="H77" s="19"/>
      <c r="I77" s="19"/>
      <c r="J77" s="19"/>
      <c r="K77" s="131"/>
      <c r="L77" s="131"/>
      <c r="M77" s="131"/>
      <c r="N77" s="362">
        <f>VLOOKUP($F$1,Part1,30,FALSE)</f>
        <v>8087962</v>
      </c>
      <c r="O77" s="363"/>
      <c r="P77" s="131"/>
      <c r="Q77" s="362">
        <f>VLOOKUP($F$1,Part1,31,FALSE)</f>
        <v>592787</v>
      </c>
      <c r="R77" s="363"/>
      <c r="S77" s="131"/>
      <c r="T77" s="131"/>
      <c r="U77" s="131"/>
      <c r="V77" s="131"/>
      <c r="W77" s="362">
        <f>VLOOKUP($F$1,Part1,32,FALSE)</f>
        <v>8680749</v>
      </c>
      <c r="X77" s="363"/>
      <c r="Y77" s="19"/>
      <c r="Z77" s="21"/>
      <c r="AA77" s="144"/>
    </row>
    <row r="78" spans="1:27" ht="15" thickBot="1">
      <c r="A78" s="20"/>
      <c r="B78" s="19"/>
      <c r="C78" s="19"/>
      <c r="D78" s="19"/>
      <c r="E78" s="19"/>
      <c r="F78" s="19"/>
      <c r="G78" s="19"/>
      <c r="H78" s="19"/>
      <c r="I78" s="19"/>
      <c r="J78" s="19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9"/>
      <c r="Z78" s="21"/>
      <c r="AA78" s="144"/>
    </row>
    <row r="79" spans="1:27" ht="15.75" thickBot="1">
      <c r="A79" s="20"/>
      <c r="B79" s="19"/>
      <c r="C79" s="19"/>
      <c r="D79" s="19" t="s">
        <v>294</v>
      </c>
      <c r="E79" s="19"/>
      <c r="F79" s="19"/>
      <c r="G79" s="19"/>
      <c r="H79" s="19"/>
      <c r="I79" s="19"/>
      <c r="J79" s="19"/>
      <c r="K79" s="131"/>
      <c r="L79" s="131"/>
      <c r="M79" s="131"/>
      <c r="N79" s="362">
        <f>VLOOKUP($F$1,Part1,33,FALSE)</f>
        <v>5909279</v>
      </c>
      <c r="O79" s="363"/>
      <c r="P79" s="131"/>
      <c r="Q79" s="362">
        <f>VLOOKUP($F$1,Part1,34,FALSE)</f>
        <v>50344</v>
      </c>
      <c r="R79" s="363"/>
      <c r="S79" s="131"/>
      <c r="T79" s="362">
        <f>VLOOKUP($F$1,Part1,35,FALSE)</f>
        <v>9536</v>
      </c>
      <c r="U79" s="363"/>
      <c r="V79" s="131"/>
      <c r="W79" s="362">
        <f>VLOOKUP($F$1,Part1,36,FALSE)</f>
        <v>5969159</v>
      </c>
      <c r="X79" s="363"/>
      <c r="Y79" s="19"/>
      <c r="Z79" s="21"/>
      <c r="AA79" s="144"/>
    </row>
    <row r="80" spans="1:27" ht="15.75" thickBot="1">
      <c r="A80" s="20"/>
      <c r="B80" s="19"/>
      <c r="C80" s="19"/>
      <c r="D80" s="19"/>
      <c r="E80" s="19"/>
      <c r="F80" s="19"/>
      <c r="G80" s="19"/>
      <c r="H80" s="19"/>
      <c r="I80" s="19"/>
      <c r="J80" s="19"/>
      <c r="K80" s="131"/>
      <c r="L80" s="131"/>
      <c r="M80" s="131"/>
      <c r="N80" s="148"/>
      <c r="O80" s="131"/>
      <c r="P80" s="131"/>
      <c r="Q80" s="148"/>
      <c r="R80" s="131"/>
      <c r="S80" s="131"/>
      <c r="T80" s="148"/>
      <c r="U80" s="131"/>
      <c r="V80" s="131"/>
      <c r="W80" s="131"/>
      <c r="X80" s="131"/>
      <c r="Y80" s="19"/>
      <c r="Z80" s="21"/>
      <c r="AA80" s="144"/>
    </row>
    <row r="81" spans="1:27" ht="15.75" thickBot="1">
      <c r="A81" s="20"/>
      <c r="B81" s="19"/>
      <c r="C81" s="19"/>
      <c r="D81" s="19" t="s">
        <v>680</v>
      </c>
      <c r="E81" s="19"/>
      <c r="F81" s="19"/>
      <c r="G81" s="19"/>
      <c r="H81" s="19"/>
      <c r="I81" s="19"/>
      <c r="J81" s="19"/>
      <c r="K81" s="131"/>
      <c r="L81" s="131"/>
      <c r="M81" s="131"/>
      <c r="N81" s="362">
        <f>VLOOKUP($F$1,Part1,37,FALSE)</f>
        <v>10743000</v>
      </c>
      <c r="O81" s="363"/>
      <c r="P81" s="131"/>
      <c r="Q81" s="131"/>
      <c r="R81" s="131"/>
      <c r="S81" s="131"/>
      <c r="T81" s="131"/>
      <c r="U81" s="131"/>
      <c r="V81" s="131"/>
      <c r="W81" s="362">
        <f>VLOOKUP($F$1,Part1,38,FALSE)</f>
        <v>10743000</v>
      </c>
      <c r="X81" s="363"/>
      <c r="Y81" s="19"/>
      <c r="Z81" s="21"/>
      <c r="AA81" s="144"/>
    </row>
    <row r="82" spans="1:27" ht="15">
      <c r="A82" s="20"/>
      <c r="B82" s="19"/>
      <c r="C82" s="19"/>
      <c r="D82" s="19"/>
      <c r="E82" s="19"/>
      <c r="F82" s="19"/>
      <c r="G82" s="19"/>
      <c r="H82" s="19"/>
      <c r="I82" s="19"/>
      <c r="J82" s="19"/>
      <c r="K82" s="131"/>
      <c r="L82" s="131"/>
      <c r="M82" s="131"/>
      <c r="N82" s="148"/>
      <c r="O82" s="131"/>
      <c r="P82" s="131"/>
      <c r="Q82" s="148"/>
      <c r="R82" s="131"/>
      <c r="S82" s="131"/>
      <c r="T82" s="148"/>
      <c r="U82" s="131"/>
      <c r="V82" s="131"/>
      <c r="W82" s="148"/>
      <c r="X82" s="131"/>
      <c r="Y82" s="19"/>
      <c r="Z82" s="21"/>
      <c r="AA82" s="144"/>
    </row>
    <row r="83" spans="1:27" ht="15.75" thickBot="1">
      <c r="A83" s="20"/>
      <c r="B83" s="19"/>
      <c r="C83" s="23" t="s">
        <v>61</v>
      </c>
      <c r="D83" s="19"/>
      <c r="E83" s="19"/>
      <c r="F83" s="19"/>
      <c r="G83" s="19"/>
      <c r="H83" s="19"/>
      <c r="I83" s="19"/>
      <c r="J83" s="19"/>
      <c r="K83" s="370" t="s">
        <v>624</v>
      </c>
      <c r="L83" s="370"/>
      <c r="M83" s="138"/>
      <c r="N83" s="370" t="s">
        <v>624</v>
      </c>
      <c r="O83" s="370"/>
      <c r="P83" s="131"/>
      <c r="Q83" s="370" t="s">
        <v>624</v>
      </c>
      <c r="R83" s="370"/>
      <c r="S83" s="131"/>
      <c r="T83" s="370" t="s">
        <v>624</v>
      </c>
      <c r="U83" s="370"/>
      <c r="V83" s="138"/>
      <c r="W83" s="370" t="s">
        <v>624</v>
      </c>
      <c r="X83" s="370"/>
      <c r="Y83" s="19"/>
      <c r="Z83" s="21"/>
      <c r="AA83" s="144"/>
    </row>
    <row r="84" spans="1:27" ht="15.75" thickBot="1">
      <c r="A84" s="20"/>
      <c r="B84" s="19"/>
      <c r="C84" s="19"/>
      <c r="D84" s="19" t="s">
        <v>681</v>
      </c>
      <c r="E84" s="19"/>
      <c r="F84" s="19"/>
      <c r="G84" s="19"/>
      <c r="H84" s="19"/>
      <c r="I84" s="19"/>
      <c r="J84" s="19"/>
      <c r="K84" s="362">
        <f>VLOOKUP($F$1,Part1,39,FALSE)</f>
        <v>-259374093.51999995</v>
      </c>
      <c r="L84" s="363"/>
      <c r="M84" s="131"/>
      <c r="N84" s="362">
        <f>VLOOKUP($F$1,Part1,40,FALSE)</f>
        <v>-219837331.46999988</v>
      </c>
      <c r="O84" s="363"/>
      <c r="P84" s="131"/>
      <c r="Q84" s="362">
        <f>VLOOKUP($F$1,Part1,41,FALSE)</f>
        <v>-36106046.10000001</v>
      </c>
      <c r="R84" s="363"/>
      <c r="S84" s="131"/>
      <c r="T84" s="362">
        <f>VLOOKUP($F$1,Part1,42,FALSE)</f>
        <v>-3430714.9300000006</v>
      </c>
      <c r="U84" s="363"/>
      <c r="V84" s="131"/>
      <c r="W84" s="362">
        <f>VLOOKUP($F$1,Part1,43,FALSE)</f>
        <v>-518748186.98999995</v>
      </c>
      <c r="X84" s="363"/>
      <c r="Y84" s="19"/>
      <c r="Z84" s="21"/>
      <c r="AA84" s="144"/>
    </row>
    <row r="85" spans="1:27" ht="15" thickBot="1">
      <c r="A85" s="20"/>
      <c r="B85" s="19"/>
      <c r="C85" s="19"/>
      <c r="D85" s="19"/>
      <c r="E85" s="19"/>
      <c r="F85" s="19"/>
      <c r="G85" s="19"/>
      <c r="H85" s="19"/>
      <c r="I85" s="19"/>
      <c r="J85" s="19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9"/>
      <c r="Z85" s="21"/>
      <c r="AA85" s="144"/>
    </row>
    <row r="86" spans="1:27" ht="15">
      <c r="A86" s="20"/>
      <c r="B86" s="31"/>
      <c r="C86" s="32"/>
      <c r="D86" s="32"/>
      <c r="E86" s="32"/>
      <c r="F86" s="32"/>
      <c r="G86" s="32"/>
      <c r="H86" s="32"/>
      <c r="I86" s="32"/>
      <c r="J86" s="32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33"/>
      <c r="Z86" s="21"/>
      <c r="AA86" s="144"/>
    </row>
    <row r="87" spans="1:27" ht="15.75" thickBot="1">
      <c r="A87" s="20"/>
      <c r="B87" s="34"/>
      <c r="C87" s="35" t="s">
        <v>647</v>
      </c>
      <c r="D87" s="17"/>
      <c r="E87" s="17"/>
      <c r="F87" s="17"/>
      <c r="G87" s="17"/>
      <c r="H87" s="17"/>
      <c r="I87" s="17"/>
      <c r="J87" s="17"/>
      <c r="K87" s="364" t="s">
        <v>624</v>
      </c>
      <c r="L87" s="364"/>
      <c r="M87" s="149"/>
      <c r="N87" s="364" t="s">
        <v>624</v>
      </c>
      <c r="O87" s="364"/>
      <c r="P87" s="149"/>
      <c r="Q87" s="364" t="s">
        <v>624</v>
      </c>
      <c r="R87" s="364"/>
      <c r="S87" s="149"/>
      <c r="T87" s="364" t="s">
        <v>624</v>
      </c>
      <c r="U87" s="364"/>
      <c r="V87" s="149"/>
      <c r="W87" s="364" t="s">
        <v>624</v>
      </c>
      <c r="X87" s="364"/>
      <c r="Y87" s="36"/>
      <c r="Z87" s="21"/>
      <c r="AA87" s="144"/>
    </row>
    <row r="88" spans="1:27" ht="15.75" thickBot="1">
      <c r="A88" s="20"/>
      <c r="B88" s="34"/>
      <c r="C88" s="17" t="s">
        <v>382</v>
      </c>
      <c r="D88" s="17"/>
      <c r="E88" s="17"/>
      <c r="F88" s="17"/>
      <c r="G88" s="17"/>
      <c r="H88" s="17"/>
      <c r="I88" s="17"/>
      <c r="J88" s="17"/>
      <c r="K88" s="362">
        <f>VLOOKUP($F$1,Part1,44,FALSE)</f>
        <v>10927780772.7</v>
      </c>
      <c r="L88" s="363"/>
      <c r="M88" s="149"/>
      <c r="N88" s="362">
        <f>VLOOKUP($F$1,Part1,45,FALSE)</f>
        <v>8975845924.2</v>
      </c>
      <c r="O88" s="363"/>
      <c r="P88" s="149"/>
      <c r="Q88" s="362">
        <f>VLOOKUP($F$1,Part1,46,FALSE)</f>
        <v>1965835747.49</v>
      </c>
      <c r="R88" s="363"/>
      <c r="S88" s="149"/>
      <c r="T88" s="362">
        <f>VLOOKUP($F$1,Part1,47,FALSE)</f>
        <v>120808911.06</v>
      </c>
      <c r="U88" s="363"/>
      <c r="V88" s="149"/>
      <c r="W88" s="362">
        <f>VLOOKUP($F$1,Part1,48,FALSE)</f>
        <v>21990271333.5</v>
      </c>
      <c r="X88" s="363"/>
      <c r="Y88" s="36"/>
      <c r="Z88" s="21"/>
      <c r="AA88" s="144"/>
    </row>
    <row r="89" spans="1:27" ht="15" thickBot="1">
      <c r="A89" s="20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21"/>
      <c r="AA89" s="143"/>
    </row>
    <row r="90" spans="1:27" ht="15" thickBot="1">
      <c r="A90" s="20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1"/>
      <c r="AA90" s="143"/>
    </row>
    <row r="91" spans="1:27" ht="15">
      <c r="A91" s="30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143"/>
    </row>
    <row r="92" spans="1:27" ht="15" thickBot="1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143"/>
    </row>
    <row r="93" spans="1:27" ht="15">
      <c r="A93" s="2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1"/>
      <c r="AA93" s="143"/>
    </row>
    <row r="94" spans="1:27" ht="15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1"/>
      <c r="AA94" s="143"/>
    </row>
    <row r="95" spans="1:26" ht="15">
      <c r="A95" s="40"/>
      <c r="B95" s="2"/>
      <c r="C95" s="23" t="s">
        <v>830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1"/>
    </row>
    <row r="96" spans="1:26" ht="15">
      <c r="A96" s="40"/>
      <c r="B96" s="2"/>
      <c r="C96" s="367" t="s">
        <v>186</v>
      </c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2"/>
      <c r="Z96" s="21"/>
    </row>
    <row r="97" spans="1:26" ht="15">
      <c r="A97" s="40"/>
      <c r="B97" s="2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2"/>
      <c r="Z97" s="21"/>
    </row>
    <row r="98" spans="1:26" ht="15">
      <c r="A98" s="4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66" t="s">
        <v>629</v>
      </c>
      <c r="O98" s="366"/>
      <c r="P98" s="137"/>
      <c r="Q98" s="366" t="s">
        <v>630</v>
      </c>
      <c r="R98" s="366"/>
      <c r="S98" s="137"/>
      <c r="T98" s="366" t="s">
        <v>631</v>
      </c>
      <c r="U98" s="366"/>
      <c r="V98" s="137"/>
      <c r="W98" s="366" t="s">
        <v>656</v>
      </c>
      <c r="X98" s="366"/>
      <c r="Y98" s="2"/>
      <c r="Z98" s="21"/>
    </row>
    <row r="99" spans="1:26" ht="15.75" customHeight="1">
      <c r="A99" s="4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60" t="str">
        <f>+N58</f>
        <v>Billing Authority</v>
      </c>
      <c r="O99" s="371"/>
      <c r="P99" s="284"/>
      <c r="Q99" s="360" t="str">
        <f>+Q58</f>
        <v>  County Council</v>
      </c>
      <c r="R99" s="371"/>
      <c r="S99" s="284"/>
      <c r="T99" s="360" t="str">
        <f>+T58</f>
        <v>Fire Authority</v>
      </c>
      <c r="U99" s="371"/>
      <c r="V99" s="283"/>
      <c r="W99" s="360" t="s">
        <v>644</v>
      </c>
      <c r="X99" s="360"/>
      <c r="Y99" s="2"/>
      <c r="Z99" s="21"/>
    </row>
    <row r="100" spans="1:26" ht="15.75" customHeight="1">
      <c r="A100" s="4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60"/>
      <c r="O100" s="371"/>
      <c r="P100" s="284"/>
      <c r="Q100" s="360"/>
      <c r="R100" s="371"/>
      <c r="S100" s="284"/>
      <c r="T100" s="360"/>
      <c r="U100" s="371"/>
      <c r="V100" s="283"/>
      <c r="W100" s="361"/>
      <c r="X100" s="361"/>
      <c r="Y100" s="2"/>
      <c r="Z100" s="21"/>
    </row>
    <row r="101" spans="1:26" ht="15" customHeight="1">
      <c r="A101" s="4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71"/>
      <c r="O101" s="371"/>
      <c r="P101" s="284"/>
      <c r="Q101" s="371"/>
      <c r="R101" s="371"/>
      <c r="S101" s="284"/>
      <c r="T101" s="371"/>
      <c r="U101" s="371"/>
      <c r="V101" s="284"/>
      <c r="W101" s="361"/>
      <c r="X101" s="361"/>
      <c r="Y101" s="2"/>
      <c r="Z101" s="21"/>
    </row>
    <row r="102" spans="1:26" ht="15">
      <c r="A102" s="4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70" t="s">
        <v>624</v>
      </c>
      <c r="O102" s="370"/>
      <c r="P102" s="131"/>
      <c r="Q102" s="370" t="s">
        <v>624</v>
      </c>
      <c r="R102" s="370"/>
      <c r="S102" s="131"/>
      <c r="T102" s="370" t="s">
        <v>624</v>
      </c>
      <c r="U102" s="370"/>
      <c r="V102" s="138"/>
      <c r="W102" s="370" t="s">
        <v>624</v>
      </c>
      <c r="X102" s="370"/>
      <c r="Y102" s="2"/>
      <c r="Z102" s="21"/>
    </row>
    <row r="103" spans="1:26" ht="15.75" thickBot="1">
      <c r="A103" s="40"/>
      <c r="B103" s="2"/>
      <c r="C103" s="43" t="s">
        <v>614</v>
      </c>
      <c r="D103" s="44"/>
      <c r="E103" s="2"/>
      <c r="F103" s="2"/>
      <c r="G103" s="2"/>
      <c r="H103" s="2"/>
      <c r="I103" s="2"/>
      <c r="J103" s="2"/>
      <c r="K103" s="2"/>
      <c r="L103" s="2"/>
      <c r="M103" s="2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2"/>
      <c r="Z103" s="21"/>
    </row>
    <row r="104" spans="1:26" ht="15.75" thickBot="1">
      <c r="A104" s="40"/>
      <c r="B104" s="2"/>
      <c r="C104" s="44"/>
      <c r="D104" s="44" t="s">
        <v>605</v>
      </c>
      <c r="E104" s="2"/>
      <c r="F104" s="2"/>
      <c r="G104" s="2"/>
      <c r="H104" s="2"/>
      <c r="I104" s="2"/>
      <c r="J104" s="2"/>
      <c r="K104" s="2"/>
      <c r="L104" s="2"/>
      <c r="M104" s="2"/>
      <c r="N104" s="362">
        <f>VLOOKUP($F$1,Part1,49,FALSE)</f>
        <v>97618724</v>
      </c>
      <c r="O104" s="363"/>
      <c r="P104" s="131"/>
      <c r="Q104" s="362">
        <f>VLOOKUP($F$1,Part1,50,FALSE)</f>
        <v>21252036</v>
      </c>
      <c r="R104" s="363"/>
      <c r="S104" s="131"/>
      <c r="T104" s="362">
        <f>VLOOKUP($F$1,Part1,51,FALSE)</f>
        <v>1318893</v>
      </c>
      <c r="U104" s="363"/>
      <c r="V104" s="131"/>
      <c r="W104" s="362">
        <f>VLOOKUP($F$1,Part1,52,FALSE)</f>
        <v>120189653</v>
      </c>
      <c r="X104" s="363"/>
      <c r="Y104" s="2"/>
      <c r="Z104" s="21"/>
    </row>
    <row r="105" spans="1:26" ht="15">
      <c r="A105" s="40"/>
      <c r="B105" s="2"/>
      <c r="C105" s="44"/>
      <c r="D105" s="4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1"/>
    </row>
    <row r="106" spans="1:26" ht="15.75" thickBot="1">
      <c r="A106" s="40"/>
      <c r="B106" s="2"/>
      <c r="C106" s="43" t="s">
        <v>635</v>
      </c>
      <c r="D106" s="4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1"/>
    </row>
    <row r="107" spans="1:26" ht="15.75" thickBot="1">
      <c r="A107" s="40"/>
      <c r="B107" s="2"/>
      <c r="C107" s="44"/>
      <c r="D107" s="44" t="s">
        <v>615</v>
      </c>
      <c r="E107" s="2"/>
      <c r="F107" s="2"/>
      <c r="G107" s="2"/>
      <c r="H107" s="2"/>
      <c r="I107" s="2"/>
      <c r="J107" s="2"/>
      <c r="K107" s="2"/>
      <c r="L107" s="2"/>
      <c r="M107" s="2"/>
      <c r="N107" s="362">
        <f>VLOOKUP($F$1,Part1,53,FALSE)</f>
        <v>213984760</v>
      </c>
      <c r="O107" s="363"/>
      <c r="P107" s="131"/>
      <c r="Q107" s="362">
        <f>VLOOKUP($F$1,Part1,54,FALSE)</f>
        <v>31041015</v>
      </c>
      <c r="R107" s="363"/>
      <c r="S107" s="131"/>
      <c r="T107" s="362">
        <f>VLOOKUP($F$1,Part1,55,FALSE)</f>
        <v>3461108</v>
      </c>
      <c r="U107" s="363"/>
      <c r="V107" s="131"/>
      <c r="W107" s="362">
        <f>VLOOKUP($F$1,Part1,56,FALSE)</f>
        <v>248486883</v>
      </c>
      <c r="X107" s="363"/>
      <c r="Y107" s="2"/>
      <c r="Z107" s="21"/>
    </row>
    <row r="108" spans="1:26" ht="15" thickBot="1">
      <c r="A108" s="40"/>
      <c r="B108" s="2"/>
      <c r="C108" s="44"/>
      <c r="D108" s="4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1"/>
    </row>
    <row r="109" spans="1:26" ht="15.75" thickBot="1">
      <c r="A109" s="40"/>
      <c r="B109" s="2"/>
      <c r="C109" s="44"/>
      <c r="D109" s="44" t="s">
        <v>616</v>
      </c>
      <c r="E109" s="2"/>
      <c r="F109" s="2"/>
      <c r="G109" s="2"/>
      <c r="H109" s="2"/>
      <c r="I109" s="2"/>
      <c r="J109" s="2"/>
      <c r="K109" s="2"/>
      <c r="L109" s="2"/>
      <c r="M109" s="2"/>
      <c r="N109" s="362">
        <f>VLOOKUP($F$1,Part1,57,FALSE)</f>
        <v>3488405</v>
      </c>
      <c r="O109" s="363"/>
      <c r="P109" s="131"/>
      <c r="Q109" s="362">
        <f>VLOOKUP($F$1,Part1,58,FALSE)</f>
        <v>547167</v>
      </c>
      <c r="R109" s="363"/>
      <c r="S109" s="131"/>
      <c r="T109" s="362">
        <f>VLOOKUP($F$1,Part1,59,FALSE)</f>
        <v>57107</v>
      </c>
      <c r="U109" s="363"/>
      <c r="V109" s="131"/>
      <c r="W109" s="362">
        <f>VLOOKUP($F$1,Part1,60,FALSE)</f>
        <v>4092679</v>
      </c>
      <c r="X109" s="363"/>
      <c r="Y109" s="2"/>
      <c r="Z109" s="21"/>
    </row>
    <row r="110" spans="1:26" ht="15">
      <c r="A110" s="40"/>
      <c r="B110" s="2"/>
      <c r="C110" s="44"/>
      <c r="D110" s="4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1"/>
    </row>
    <row r="111" spans="1:26" ht="15.75" thickBot="1">
      <c r="A111" s="40"/>
      <c r="B111" s="2"/>
      <c r="C111" s="43" t="s">
        <v>617</v>
      </c>
      <c r="D111" s="4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1"/>
    </row>
    <row r="112" spans="1:26" ht="15.75" thickBot="1">
      <c r="A112" s="40"/>
      <c r="B112" s="2"/>
      <c r="C112" s="44"/>
      <c r="D112" s="44" t="s">
        <v>618</v>
      </c>
      <c r="E112" s="2"/>
      <c r="F112" s="2"/>
      <c r="G112" s="2"/>
      <c r="H112" s="2"/>
      <c r="I112" s="2"/>
      <c r="J112" s="2"/>
      <c r="K112" s="2"/>
      <c r="L112" s="2"/>
      <c r="M112" s="2"/>
      <c r="N112" s="362">
        <f>VLOOKUP($F$1,Part1,61,FALSE)</f>
        <v>8876359</v>
      </c>
      <c r="O112" s="363"/>
      <c r="P112" s="131"/>
      <c r="Q112" s="362">
        <f>VLOOKUP($F$1,Part1,62,FALSE)</f>
        <v>2662676</v>
      </c>
      <c r="R112" s="363"/>
      <c r="S112" s="131"/>
      <c r="T112" s="362">
        <f>VLOOKUP($F$1,Part1,63,FALSE)</f>
        <v>93206</v>
      </c>
      <c r="U112" s="363"/>
      <c r="V112" s="131"/>
      <c r="W112" s="362">
        <f>VLOOKUP($F$1,Part1,64,FALSE)</f>
        <v>11632241</v>
      </c>
      <c r="X112" s="363"/>
      <c r="Y112" s="2"/>
      <c r="Z112" s="21"/>
    </row>
    <row r="113" spans="1:26" ht="15">
      <c r="A113" s="40"/>
      <c r="B113" s="2"/>
      <c r="C113" s="44"/>
      <c r="D113" s="4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1"/>
    </row>
    <row r="114" spans="1:26" ht="15.75" thickBot="1">
      <c r="A114" s="40"/>
      <c r="B114" s="2"/>
      <c r="C114" s="43" t="s">
        <v>619</v>
      </c>
      <c r="D114" s="4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1"/>
    </row>
    <row r="115" spans="1:26" ht="15.75" thickBot="1">
      <c r="A115" s="40"/>
      <c r="B115" s="2"/>
      <c r="C115" s="44"/>
      <c r="D115" s="44" t="s">
        <v>586</v>
      </c>
      <c r="E115" s="2"/>
      <c r="F115" s="2"/>
      <c r="G115" s="2"/>
      <c r="H115" s="2"/>
      <c r="I115" s="2"/>
      <c r="J115" s="2"/>
      <c r="K115" s="2"/>
      <c r="L115" s="2"/>
      <c r="M115" s="2"/>
      <c r="N115" s="362">
        <f>VLOOKUP($F$1,Part1,65,FALSE)</f>
        <v>20362213</v>
      </c>
      <c r="O115" s="363"/>
      <c r="P115" s="131"/>
      <c r="Q115" s="362">
        <f>VLOOKUP($F$1,Part1,66,FALSE)</f>
        <v>5375007</v>
      </c>
      <c r="R115" s="363"/>
      <c r="S115" s="131"/>
      <c r="T115" s="362">
        <f>VLOOKUP($F$1,Part1,67,FALSE)</f>
        <v>252643</v>
      </c>
      <c r="U115" s="363"/>
      <c r="V115" s="131"/>
      <c r="W115" s="362">
        <f>VLOOKUP($F$1,Part1,68,FALSE)</f>
        <v>25989863</v>
      </c>
      <c r="X115" s="363"/>
      <c r="Y115" s="2"/>
      <c r="Z115" s="21"/>
    </row>
    <row r="116" spans="1:26" ht="15">
      <c r="A116" s="40"/>
      <c r="B116" s="2"/>
      <c r="C116" s="44"/>
      <c r="D116" s="4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1"/>
    </row>
    <row r="117" spans="1:26" ht="15.75" thickBot="1">
      <c r="A117" s="40"/>
      <c r="B117" s="2"/>
      <c r="C117" s="43" t="s">
        <v>620</v>
      </c>
      <c r="D117" s="4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1"/>
    </row>
    <row r="118" spans="1:26" ht="15.75" thickBot="1">
      <c r="A118" s="40"/>
      <c r="B118" s="2"/>
      <c r="C118" s="44"/>
      <c r="D118" s="44" t="s">
        <v>621</v>
      </c>
      <c r="E118" s="2"/>
      <c r="F118" s="2"/>
      <c r="G118" s="2"/>
      <c r="H118" s="2"/>
      <c r="I118" s="2"/>
      <c r="J118" s="2"/>
      <c r="K118" s="2"/>
      <c r="L118" s="2"/>
      <c r="M118" s="2"/>
      <c r="N118" s="362">
        <f>VLOOKUP($F$1,Part1,69,FALSE)</f>
        <v>114660651</v>
      </c>
      <c r="O118" s="363"/>
      <c r="P118" s="131"/>
      <c r="Q118" s="362">
        <f>VLOOKUP($F$1,Part1,70,FALSE)</f>
        <v>21207527</v>
      </c>
      <c r="R118" s="363"/>
      <c r="S118" s="131"/>
      <c r="T118" s="362">
        <f>VLOOKUP($F$1,Part1,71,FALSE)</f>
        <v>1625301</v>
      </c>
      <c r="U118" s="363"/>
      <c r="V118" s="131"/>
      <c r="W118" s="362">
        <f>VLOOKUP($F$1,Part1,72,FALSE)</f>
        <v>137493479</v>
      </c>
      <c r="X118" s="363"/>
      <c r="Y118" s="2"/>
      <c r="Z118" s="21"/>
    </row>
    <row r="119" spans="1:26" ht="15" thickBot="1">
      <c r="A119" s="4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1"/>
    </row>
    <row r="120" spans="1:26" ht="15">
      <c r="A120" s="20"/>
      <c r="B120" s="31"/>
      <c r="C120" s="32"/>
      <c r="D120" s="32"/>
      <c r="E120" s="32"/>
      <c r="F120" s="32"/>
      <c r="G120" s="32"/>
      <c r="H120" s="32"/>
      <c r="I120" s="32"/>
      <c r="J120" s="32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33"/>
      <c r="Z120" s="21"/>
    </row>
    <row r="121" spans="1:26" ht="15.75" thickBot="1">
      <c r="A121" s="20"/>
      <c r="B121" s="34"/>
      <c r="C121" s="35" t="s">
        <v>647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49"/>
      <c r="N121" s="364" t="s">
        <v>624</v>
      </c>
      <c r="O121" s="364"/>
      <c r="P121" s="149"/>
      <c r="Q121" s="364" t="s">
        <v>624</v>
      </c>
      <c r="R121" s="364"/>
      <c r="S121" s="149"/>
      <c r="T121" s="364" t="s">
        <v>624</v>
      </c>
      <c r="U121" s="364"/>
      <c r="V121" s="149"/>
      <c r="W121" s="364" t="s">
        <v>624</v>
      </c>
      <c r="X121" s="364"/>
      <c r="Y121" s="36"/>
      <c r="Z121" s="21"/>
    </row>
    <row r="122" spans="1:26" ht="15.75" thickBot="1">
      <c r="A122" s="20"/>
      <c r="B122" s="34"/>
      <c r="C122" s="17" t="s">
        <v>295</v>
      </c>
      <c r="D122" s="17"/>
      <c r="E122" s="17"/>
      <c r="F122" s="17"/>
      <c r="G122" s="17"/>
      <c r="H122" s="17"/>
      <c r="I122" s="17"/>
      <c r="J122" s="17"/>
      <c r="K122" s="150"/>
      <c r="L122" s="150"/>
      <c r="M122" s="149"/>
      <c r="N122" s="362">
        <f>VLOOKUP($F$1,Part1,73,FALSE)</f>
        <v>458991112</v>
      </c>
      <c r="O122" s="363"/>
      <c r="P122" s="131"/>
      <c r="Q122" s="362">
        <f>VLOOKUP($F$1,Part1,74,FALSE)</f>
        <v>82085428</v>
      </c>
      <c r="R122" s="363"/>
      <c r="S122" s="131"/>
      <c r="T122" s="362">
        <f>VLOOKUP($F$1,Part1,75,FALSE)</f>
        <v>6808258</v>
      </c>
      <c r="U122" s="363"/>
      <c r="V122" s="131"/>
      <c r="W122" s="362">
        <f>VLOOKUP($F$1,Part1,76,FALSE)</f>
        <v>547884798</v>
      </c>
      <c r="X122" s="363"/>
      <c r="Y122" s="36"/>
      <c r="Z122" s="21"/>
    </row>
    <row r="123" spans="1:26" ht="15" thickBot="1">
      <c r="A123" s="20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9"/>
      <c r="Z123" s="21"/>
    </row>
    <row r="124" spans="1:26" ht="29.25" customHeight="1" thickBot="1">
      <c r="A124" s="304"/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6"/>
    </row>
    <row r="126" spans="11:23" ht="15">
      <c r="K126" s="355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299"/>
      <c r="W126" s="288"/>
    </row>
    <row r="127" spans="11:23" ht="15">
      <c r="K127" s="355"/>
      <c r="L127" s="356"/>
      <c r="M127" s="356"/>
      <c r="N127" s="358" t="str">
        <f>VLOOKUP($F$1,Part1,77,FALSE)</f>
        <v>Billing Authority</v>
      </c>
      <c r="O127" s="359"/>
      <c r="P127" s="356"/>
      <c r="Q127" s="358" t="str">
        <f>VLOOKUP($F$1,Part1,78,FALSE)</f>
        <v> </v>
      </c>
      <c r="R127" s="359"/>
      <c r="S127" s="356"/>
      <c r="T127" s="358" t="str">
        <f>VLOOKUP($F$1,Part1,79,FALSE)</f>
        <v>Fire Authority</v>
      </c>
      <c r="U127" s="359"/>
      <c r="V127" s="299"/>
      <c r="W127" s="288"/>
    </row>
    <row r="128" spans="12:23" ht="15">
      <c r="L128" s="288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88"/>
    </row>
  </sheetData>
  <sheetProtection/>
  <mergeCells count="136">
    <mergeCell ref="Q84:R84"/>
    <mergeCell ref="N77:O77"/>
    <mergeCell ref="N87:O87"/>
    <mergeCell ref="N79:O79"/>
    <mergeCell ref="K68:L68"/>
    <mergeCell ref="N75:O75"/>
    <mergeCell ref="N88:O88"/>
    <mergeCell ref="N81:O81"/>
    <mergeCell ref="N84:O84"/>
    <mergeCell ref="N71:O71"/>
    <mergeCell ref="N73:O73"/>
    <mergeCell ref="K83:L83"/>
    <mergeCell ref="N83:O83"/>
    <mergeCell ref="W83:X83"/>
    <mergeCell ref="Q63:R63"/>
    <mergeCell ref="Q88:R88"/>
    <mergeCell ref="Q77:R77"/>
    <mergeCell ref="Q87:R87"/>
    <mergeCell ref="Q79:R79"/>
    <mergeCell ref="T79:U79"/>
    <mergeCell ref="T88:U88"/>
    <mergeCell ref="Q83:R83"/>
    <mergeCell ref="T83:U83"/>
    <mergeCell ref="K30:L30"/>
    <mergeCell ref="K61:L61"/>
    <mergeCell ref="N48:O48"/>
    <mergeCell ref="N58:O60"/>
    <mergeCell ref="K33:L33"/>
    <mergeCell ref="K38:L38"/>
    <mergeCell ref="K36:L36"/>
    <mergeCell ref="E8:J8"/>
    <mergeCell ref="A6:Z6"/>
    <mergeCell ref="N57:O57"/>
    <mergeCell ref="T61:U61"/>
    <mergeCell ref="W61:X61"/>
    <mergeCell ref="Q57:R57"/>
    <mergeCell ref="C15:I18"/>
    <mergeCell ref="C20:I20"/>
    <mergeCell ref="N61:O61"/>
    <mergeCell ref="K28:L28"/>
    <mergeCell ref="W81:X81"/>
    <mergeCell ref="W77:X77"/>
    <mergeCell ref="W66:X66"/>
    <mergeCell ref="W68:X68"/>
    <mergeCell ref="W73:X73"/>
    <mergeCell ref="W75:X75"/>
    <mergeCell ref="W71:X71"/>
    <mergeCell ref="R1:S1"/>
    <mergeCell ref="K26:L26"/>
    <mergeCell ref="K23:L23"/>
    <mergeCell ref="K15:L15"/>
    <mergeCell ref="K21:L21"/>
    <mergeCell ref="K14:L14"/>
    <mergeCell ref="A3:Z3"/>
    <mergeCell ref="C13:G13"/>
    <mergeCell ref="A4:Z4"/>
    <mergeCell ref="A5:Z5"/>
    <mergeCell ref="C40:I41"/>
    <mergeCell ref="K66:L66"/>
    <mergeCell ref="K40:L40"/>
    <mergeCell ref="K57:L57"/>
    <mergeCell ref="K58:L60"/>
    <mergeCell ref="K43:L43"/>
    <mergeCell ref="K45:L45"/>
    <mergeCell ref="K48:L48"/>
    <mergeCell ref="K46:W46"/>
    <mergeCell ref="P48:R48"/>
    <mergeCell ref="W102:X102"/>
    <mergeCell ref="Q61:R61"/>
    <mergeCell ref="Q58:R60"/>
    <mergeCell ref="T58:U60"/>
    <mergeCell ref="T84:U84"/>
    <mergeCell ref="T87:U87"/>
    <mergeCell ref="W88:X88"/>
    <mergeCell ref="W87:X87"/>
    <mergeCell ref="W84:X84"/>
    <mergeCell ref="W79:X79"/>
    <mergeCell ref="N102:O102"/>
    <mergeCell ref="Q102:R102"/>
    <mergeCell ref="T102:U102"/>
    <mergeCell ref="N99:O101"/>
    <mergeCell ref="Q99:R101"/>
    <mergeCell ref="T99:U101"/>
    <mergeCell ref="W109:X109"/>
    <mergeCell ref="W104:X104"/>
    <mergeCell ref="N107:O107"/>
    <mergeCell ref="Q107:R107"/>
    <mergeCell ref="T107:U107"/>
    <mergeCell ref="W107:X107"/>
    <mergeCell ref="N104:O104"/>
    <mergeCell ref="T104:U104"/>
    <mergeCell ref="N122:O122"/>
    <mergeCell ref="N118:O118"/>
    <mergeCell ref="Q118:R118"/>
    <mergeCell ref="T118:U118"/>
    <mergeCell ref="N121:O121"/>
    <mergeCell ref="Q121:R121"/>
    <mergeCell ref="T121:U121"/>
    <mergeCell ref="Q122:R122"/>
    <mergeCell ref="D63:I64"/>
    <mergeCell ref="T57:U57"/>
    <mergeCell ref="T63:U63"/>
    <mergeCell ref="W63:X63"/>
    <mergeCell ref="W57:X57"/>
    <mergeCell ref="K63:L63"/>
    <mergeCell ref="N63:O63"/>
    <mergeCell ref="N112:O112"/>
    <mergeCell ref="Q112:R112"/>
    <mergeCell ref="K88:L88"/>
    <mergeCell ref="K84:L84"/>
    <mergeCell ref="K87:L87"/>
    <mergeCell ref="C96:X97"/>
    <mergeCell ref="N98:O98"/>
    <mergeCell ref="Q98:R98"/>
    <mergeCell ref="N109:O109"/>
    <mergeCell ref="Q109:R109"/>
    <mergeCell ref="Q37:W37"/>
    <mergeCell ref="W118:X118"/>
    <mergeCell ref="T98:U98"/>
    <mergeCell ref="W98:X98"/>
    <mergeCell ref="T112:U112"/>
    <mergeCell ref="Q104:R104"/>
    <mergeCell ref="Q115:R115"/>
    <mergeCell ref="T115:U115"/>
    <mergeCell ref="W115:X115"/>
    <mergeCell ref="T109:U109"/>
    <mergeCell ref="N127:O127"/>
    <mergeCell ref="Q127:R127"/>
    <mergeCell ref="T127:U127"/>
    <mergeCell ref="W58:X60"/>
    <mergeCell ref="W99:X101"/>
    <mergeCell ref="W122:X122"/>
    <mergeCell ref="W112:X112"/>
    <mergeCell ref="W121:X121"/>
    <mergeCell ref="T122:U122"/>
    <mergeCell ref="N115:O11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49" r:id="rId3"/>
  <rowBreaks count="1" manualBreakCount="1">
    <brk id="91" max="2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4"/>
  <sheetViews>
    <sheetView zoomScalePageLayoutView="0" workbookViewId="0" topLeftCell="N1">
      <selection activeCell="A1" sqref="A1"/>
    </sheetView>
  </sheetViews>
  <sheetFormatPr defaultColWidth="9.140625" defaultRowHeight="12.75"/>
  <cols>
    <col min="2" max="2" width="27.57421875" style="0" bestFit="1" customWidth="1"/>
    <col min="4" max="20" width="15.7109375" style="0" customWidth="1"/>
  </cols>
  <sheetData>
    <row r="1" spans="1:20" ht="15.75" thickBot="1">
      <c r="A1" s="68"/>
      <c r="B1" s="69"/>
      <c r="C1" s="164"/>
      <c r="D1" s="232"/>
      <c r="E1" s="151"/>
      <c r="F1" s="151"/>
      <c r="T1" s="204"/>
    </row>
    <row r="2" spans="1:20" ht="52.5" thickBot="1" thickTop="1">
      <c r="A2" s="152"/>
      <c r="B2" s="70"/>
      <c r="C2" s="248"/>
      <c r="D2" s="263" t="s">
        <v>934</v>
      </c>
      <c r="E2" s="263" t="s">
        <v>935</v>
      </c>
      <c r="F2" s="263" t="s">
        <v>936</v>
      </c>
      <c r="G2" s="263" t="s">
        <v>937</v>
      </c>
      <c r="H2" s="263" t="s">
        <v>938</v>
      </c>
      <c r="I2" s="263" t="s">
        <v>939</v>
      </c>
      <c r="J2" s="263" t="s">
        <v>940</v>
      </c>
      <c r="K2" s="263" t="s">
        <v>941</v>
      </c>
      <c r="L2" s="263" t="s">
        <v>942</v>
      </c>
      <c r="M2" s="263" t="s">
        <v>943</v>
      </c>
      <c r="N2" s="263" t="s">
        <v>944</v>
      </c>
      <c r="O2" s="263" t="s">
        <v>945</v>
      </c>
      <c r="P2" s="263" t="s">
        <v>946</v>
      </c>
      <c r="Q2" s="263" t="s">
        <v>947</v>
      </c>
      <c r="R2" s="263" t="s">
        <v>948</v>
      </c>
      <c r="S2" s="263" t="s">
        <v>949</v>
      </c>
      <c r="T2" s="263" t="s">
        <v>950</v>
      </c>
    </row>
    <row r="3" spans="1:20" ht="14.25" thickBot="1" thickTop="1">
      <c r="A3" s="71">
        <v>1</v>
      </c>
      <c r="B3" s="72">
        <v>2</v>
      </c>
      <c r="C3" s="163">
        <v>3</v>
      </c>
      <c r="D3" s="249">
        <v>4</v>
      </c>
      <c r="E3" s="249">
        <v>5</v>
      </c>
      <c r="F3" s="249">
        <v>6</v>
      </c>
      <c r="G3" s="249">
        <v>7</v>
      </c>
      <c r="H3" s="249">
        <v>8</v>
      </c>
      <c r="I3" s="249">
        <v>9</v>
      </c>
      <c r="J3" s="249">
        <v>10</v>
      </c>
      <c r="K3" s="249">
        <v>11</v>
      </c>
      <c r="L3" s="249">
        <v>12</v>
      </c>
      <c r="M3" s="249">
        <v>13</v>
      </c>
      <c r="N3" s="249">
        <v>14</v>
      </c>
      <c r="O3" s="249">
        <v>15</v>
      </c>
      <c r="P3" s="249">
        <v>16</v>
      </c>
      <c r="Q3" s="249">
        <v>17</v>
      </c>
      <c r="R3" s="249">
        <v>18</v>
      </c>
      <c r="S3" s="249">
        <v>19</v>
      </c>
      <c r="T3" s="249">
        <v>20</v>
      </c>
    </row>
    <row r="4" spans="1:20" ht="13.5" thickBot="1">
      <c r="A4" s="73"/>
      <c r="B4" s="74"/>
      <c r="C4" s="165"/>
      <c r="D4" s="238"/>
      <c r="E4" s="239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42"/>
    </row>
    <row r="5" spans="1:20" s="250" customFormat="1" ht="12.75">
      <c r="A5" s="195" t="s">
        <v>703</v>
      </c>
      <c r="B5" s="236" t="s">
        <v>704</v>
      </c>
      <c r="C5" s="236" t="s">
        <v>705</v>
      </c>
      <c r="D5" s="264">
        <v>1</v>
      </c>
      <c r="E5" s="265">
        <v>2</v>
      </c>
      <c r="F5" s="265">
        <v>3</v>
      </c>
      <c r="G5" s="265">
        <v>4</v>
      </c>
      <c r="H5" s="265">
        <v>5</v>
      </c>
      <c r="I5" s="265">
        <v>6</v>
      </c>
      <c r="J5" s="265">
        <v>7</v>
      </c>
      <c r="K5" s="265">
        <v>8</v>
      </c>
      <c r="L5" s="265">
        <v>9</v>
      </c>
      <c r="M5" s="265">
        <v>10</v>
      </c>
      <c r="N5" s="265">
        <v>11</v>
      </c>
      <c r="O5" s="265">
        <v>12</v>
      </c>
      <c r="P5" s="265">
        <v>13</v>
      </c>
      <c r="Q5" s="265">
        <v>14</v>
      </c>
      <c r="R5" s="265">
        <v>15</v>
      </c>
      <c r="S5" s="265">
        <v>16</v>
      </c>
      <c r="T5" s="266">
        <v>17</v>
      </c>
    </row>
    <row r="6" spans="1:20" s="250" customFormat="1" ht="13.5" thickBot="1">
      <c r="A6" s="251"/>
      <c r="B6" s="237"/>
      <c r="C6" s="237"/>
      <c r="D6" s="267">
        <v>5</v>
      </c>
      <c r="E6" s="268">
        <v>4</v>
      </c>
      <c r="F6" s="268">
        <v>4</v>
      </c>
      <c r="G6" s="268">
        <v>4</v>
      </c>
      <c r="H6" s="268">
        <v>4</v>
      </c>
      <c r="I6" s="268">
        <v>5</v>
      </c>
      <c r="J6" s="268">
        <v>4</v>
      </c>
      <c r="K6" s="268">
        <v>4</v>
      </c>
      <c r="L6" s="268">
        <v>4</v>
      </c>
      <c r="M6" s="268">
        <v>4</v>
      </c>
      <c r="N6" s="268">
        <v>4</v>
      </c>
      <c r="O6" s="268">
        <v>4</v>
      </c>
      <c r="P6" s="268">
        <v>4</v>
      </c>
      <c r="Q6" s="268">
        <v>4</v>
      </c>
      <c r="R6" s="268">
        <v>5</v>
      </c>
      <c r="S6" s="268">
        <v>5</v>
      </c>
      <c r="T6" s="269">
        <v>5</v>
      </c>
    </row>
    <row r="7" spans="1:20" ht="13.5" thickBot="1">
      <c r="A7" s="153"/>
      <c r="B7" s="154"/>
      <c r="C7" s="162"/>
      <c r="D7" s="243"/>
      <c r="E7" s="244"/>
      <c r="F7" s="244"/>
      <c r="G7" s="245"/>
      <c r="H7" s="246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7"/>
    </row>
    <row r="8" spans="1:20" ht="12.75">
      <c r="A8" s="169">
        <v>1</v>
      </c>
      <c r="B8" s="171" t="s">
        <v>706</v>
      </c>
      <c r="C8" s="257" t="s">
        <v>707</v>
      </c>
      <c r="D8" s="205">
        <v>0</v>
      </c>
      <c r="E8" s="205">
        <v>16684079</v>
      </c>
      <c r="F8" s="205">
        <v>586985</v>
      </c>
      <c r="G8" s="205">
        <v>0</v>
      </c>
      <c r="H8" s="205">
        <v>0</v>
      </c>
      <c r="I8" s="205">
        <v>17271064</v>
      </c>
      <c r="J8" s="205">
        <v>1310483</v>
      </c>
      <c r="K8" s="205">
        <v>0</v>
      </c>
      <c r="L8" s="205">
        <v>7852402</v>
      </c>
      <c r="M8" s="205">
        <v>1570480</v>
      </c>
      <c r="N8" s="205">
        <v>6281922</v>
      </c>
      <c r="O8" s="205">
        <v>84623</v>
      </c>
      <c r="P8" s="205">
        <v>0</v>
      </c>
      <c r="Q8" s="205">
        <v>0</v>
      </c>
      <c r="R8" s="205">
        <v>17099910</v>
      </c>
      <c r="S8" s="205">
        <v>0</v>
      </c>
      <c r="T8" s="205">
        <v>171154</v>
      </c>
    </row>
    <row r="9" spans="1:20" ht="12.75">
      <c r="A9" s="169">
        <v>2</v>
      </c>
      <c r="B9" s="172" t="s">
        <v>708</v>
      </c>
      <c r="C9" s="258" t="s">
        <v>709</v>
      </c>
      <c r="D9" s="205">
        <v>0</v>
      </c>
      <c r="E9" s="205">
        <v>26942365</v>
      </c>
      <c r="F9" s="205">
        <v>0</v>
      </c>
      <c r="G9" s="205">
        <v>0</v>
      </c>
      <c r="H9" s="205">
        <v>0</v>
      </c>
      <c r="I9" s="205">
        <v>26942365</v>
      </c>
      <c r="J9" s="205">
        <v>1739868</v>
      </c>
      <c r="K9" s="205">
        <v>36051</v>
      </c>
      <c r="L9" s="205">
        <v>12332000</v>
      </c>
      <c r="M9" s="205">
        <v>2466400</v>
      </c>
      <c r="N9" s="205">
        <v>9865600</v>
      </c>
      <c r="O9" s="205">
        <v>182676</v>
      </c>
      <c r="P9" s="205">
        <v>151152</v>
      </c>
      <c r="Q9" s="205">
        <v>0</v>
      </c>
      <c r="R9" s="205">
        <v>26773747</v>
      </c>
      <c r="S9" s="205">
        <v>0</v>
      </c>
      <c r="T9" s="205">
        <v>168618</v>
      </c>
    </row>
    <row r="10" spans="1:20" ht="12.75">
      <c r="A10" s="169">
        <v>3</v>
      </c>
      <c r="B10" s="172" t="s">
        <v>710</v>
      </c>
      <c r="C10" s="258" t="s">
        <v>711</v>
      </c>
      <c r="D10" s="205">
        <v>0</v>
      </c>
      <c r="E10" s="205">
        <v>31208000</v>
      </c>
      <c r="F10" s="205">
        <v>93643</v>
      </c>
      <c r="G10" s="205">
        <v>154747</v>
      </c>
      <c r="H10" s="205">
        <v>0</v>
      </c>
      <c r="I10" s="205">
        <v>31456390</v>
      </c>
      <c r="J10" s="205">
        <v>1899474</v>
      </c>
      <c r="K10" s="205">
        <v>67918</v>
      </c>
      <c r="L10" s="205">
        <v>14450263</v>
      </c>
      <c r="M10" s="205">
        <v>2890052</v>
      </c>
      <c r="N10" s="205">
        <v>11560210</v>
      </c>
      <c r="O10" s="205">
        <v>154747</v>
      </c>
      <c r="P10" s="205">
        <v>0</v>
      </c>
      <c r="Q10" s="205">
        <v>0</v>
      </c>
      <c r="R10" s="205">
        <v>31022664</v>
      </c>
      <c r="S10" s="205">
        <v>0</v>
      </c>
      <c r="T10" s="205">
        <v>433726</v>
      </c>
    </row>
    <row r="11" spans="1:20" ht="12.75">
      <c r="A11" s="169">
        <v>4</v>
      </c>
      <c r="B11" s="172" t="s">
        <v>712</v>
      </c>
      <c r="C11" s="258" t="s">
        <v>713</v>
      </c>
      <c r="D11" s="205">
        <v>0</v>
      </c>
      <c r="E11" s="205">
        <v>33578536</v>
      </c>
      <c r="F11" s="205">
        <v>0</v>
      </c>
      <c r="G11" s="205">
        <v>0</v>
      </c>
      <c r="H11" s="205">
        <v>0</v>
      </c>
      <c r="I11" s="205">
        <v>33578536</v>
      </c>
      <c r="J11" s="205">
        <v>0</v>
      </c>
      <c r="K11" s="205">
        <v>76200</v>
      </c>
      <c r="L11" s="205">
        <v>16089703</v>
      </c>
      <c r="M11" s="205">
        <v>3217941</v>
      </c>
      <c r="N11" s="205">
        <v>12871762</v>
      </c>
      <c r="O11" s="205">
        <v>173257</v>
      </c>
      <c r="P11" s="205">
        <v>0</v>
      </c>
      <c r="Q11" s="205">
        <v>0</v>
      </c>
      <c r="R11" s="205">
        <v>32428863</v>
      </c>
      <c r="S11" s="205">
        <v>0</v>
      </c>
      <c r="T11" s="205">
        <v>1149673</v>
      </c>
    </row>
    <row r="12" spans="1:20" ht="12.75">
      <c r="A12" s="169">
        <v>5</v>
      </c>
      <c r="B12" s="172" t="s">
        <v>714</v>
      </c>
      <c r="C12" s="258" t="s">
        <v>715</v>
      </c>
      <c r="D12" s="205">
        <v>0</v>
      </c>
      <c r="E12" s="205">
        <v>34030142</v>
      </c>
      <c r="F12" s="205">
        <v>94627</v>
      </c>
      <c r="G12" s="205">
        <v>0</v>
      </c>
      <c r="H12" s="205">
        <v>0</v>
      </c>
      <c r="I12" s="205">
        <v>34124769</v>
      </c>
      <c r="J12" s="205">
        <v>1648917</v>
      </c>
      <c r="K12" s="205">
        <v>88906</v>
      </c>
      <c r="L12" s="205">
        <v>15666967</v>
      </c>
      <c r="M12" s="205">
        <v>3133393</v>
      </c>
      <c r="N12" s="205">
        <v>12533573</v>
      </c>
      <c r="O12" s="205">
        <v>127890</v>
      </c>
      <c r="P12" s="205">
        <v>0</v>
      </c>
      <c r="Q12" s="205">
        <v>0</v>
      </c>
      <c r="R12" s="205">
        <v>33199646</v>
      </c>
      <c r="S12" s="205">
        <v>0</v>
      </c>
      <c r="T12" s="205">
        <v>925123</v>
      </c>
    </row>
    <row r="13" spans="1:20" ht="12.75">
      <c r="A13" s="169">
        <v>6</v>
      </c>
      <c r="B13" s="172" t="s">
        <v>716</v>
      </c>
      <c r="C13" s="258" t="s">
        <v>717</v>
      </c>
      <c r="D13" s="205">
        <v>0</v>
      </c>
      <c r="E13" s="205">
        <v>46006347</v>
      </c>
      <c r="F13" s="205">
        <v>231781</v>
      </c>
      <c r="G13" s="205">
        <v>0</v>
      </c>
      <c r="H13" s="205">
        <v>0</v>
      </c>
      <c r="I13" s="205">
        <v>46238128</v>
      </c>
      <c r="J13" s="205">
        <v>4568712</v>
      </c>
      <c r="K13" s="205">
        <v>0</v>
      </c>
      <c r="L13" s="205">
        <v>22269411</v>
      </c>
      <c r="M13" s="205">
        <v>4453882</v>
      </c>
      <c r="N13" s="205">
        <v>17815529</v>
      </c>
      <c r="O13" s="205">
        <v>0</v>
      </c>
      <c r="P13" s="205">
        <v>0</v>
      </c>
      <c r="Q13" s="205">
        <v>0</v>
      </c>
      <c r="R13" s="205">
        <v>49107534</v>
      </c>
      <c r="S13" s="205">
        <v>2303799</v>
      </c>
      <c r="T13" s="205">
        <v>-565607</v>
      </c>
    </row>
    <row r="14" spans="1:20" ht="12.75">
      <c r="A14" s="169">
        <v>7</v>
      </c>
      <c r="B14" s="172" t="s">
        <v>718</v>
      </c>
      <c r="C14" s="258" t="s">
        <v>719</v>
      </c>
      <c r="D14" s="205">
        <v>0</v>
      </c>
      <c r="E14" s="205">
        <v>48381965</v>
      </c>
      <c r="F14" s="205">
        <v>0</v>
      </c>
      <c r="G14" s="205">
        <v>0</v>
      </c>
      <c r="H14" s="205">
        <v>0</v>
      </c>
      <c r="I14" s="205">
        <v>48381965</v>
      </c>
      <c r="J14" s="205">
        <v>0</v>
      </c>
      <c r="K14" s="205">
        <v>77106</v>
      </c>
      <c r="L14" s="205">
        <v>24244942</v>
      </c>
      <c r="M14" s="205">
        <v>4848989</v>
      </c>
      <c r="N14" s="205">
        <v>19395954</v>
      </c>
      <c r="O14" s="205">
        <v>223664</v>
      </c>
      <c r="P14" s="205">
        <v>0</v>
      </c>
      <c r="Q14" s="205">
        <v>0</v>
      </c>
      <c r="R14" s="205">
        <v>48790655</v>
      </c>
      <c r="S14" s="205">
        <v>0</v>
      </c>
      <c r="T14" s="205">
        <v>-408690</v>
      </c>
    </row>
    <row r="15" spans="1:20" ht="12.75">
      <c r="A15" s="169">
        <v>8</v>
      </c>
      <c r="B15" s="172" t="s">
        <v>720</v>
      </c>
      <c r="C15" s="258" t="s">
        <v>721</v>
      </c>
      <c r="D15" s="205">
        <v>0</v>
      </c>
      <c r="E15" s="205">
        <v>23655990</v>
      </c>
      <c r="F15" s="205">
        <v>82323</v>
      </c>
      <c r="G15" s="205">
        <v>126602</v>
      </c>
      <c r="H15" s="205">
        <v>0</v>
      </c>
      <c r="I15" s="205">
        <v>23864915</v>
      </c>
      <c r="J15" s="205">
        <v>995620</v>
      </c>
      <c r="K15" s="205">
        <v>138500</v>
      </c>
      <c r="L15" s="205">
        <v>11006237</v>
      </c>
      <c r="M15" s="205">
        <v>2201247</v>
      </c>
      <c r="N15" s="205">
        <v>8804990</v>
      </c>
      <c r="O15" s="205">
        <v>126602</v>
      </c>
      <c r="P15" s="205">
        <v>0</v>
      </c>
      <c r="Q15" s="205">
        <v>0</v>
      </c>
      <c r="R15" s="205">
        <v>23273196</v>
      </c>
      <c r="S15" s="205">
        <v>0</v>
      </c>
      <c r="T15" s="205">
        <v>591719</v>
      </c>
    </row>
    <row r="16" spans="1:20" ht="12.75">
      <c r="A16" s="169">
        <v>9</v>
      </c>
      <c r="B16" s="172" t="s">
        <v>722</v>
      </c>
      <c r="C16" s="258" t="s">
        <v>723</v>
      </c>
      <c r="D16" s="205">
        <v>0</v>
      </c>
      <c r="E16" s="205">
        <v>59335756</v>
      </c>
      <c r="F16" s="205">
        <v>386982</v>
      </c>
      <c r="G16" s="205">
        <v>205772</v>
      </c>
      <c r="H16" s="205">
        <v>0</v>
      </c>
      <c r="I16" s="205">
        <v>59928510</v>
      </c>
      <c r="J16" s="205">
        <v>10680000</v>
      </c>
      <c r="K16" s="205">
        <v>1240249</v>
      </c>
      <c r="L16" s="205">
        <v>29922195</v>
      </c>
      <c r="M16" s="205">
        <v>11968878</v>
      </c>
      <c r="N16" s="205">
        <v>17953317</v>
      </c>
      <c r="O16" s="205">
        <v>0</v>
      </c>
      <c r="P16" s="205">
        <v>0</v>
      </c>
      <c r="Q16" s="205">
        <v>0</v>
      </c>
      <c r="R16" s="205">
        <v>71764639</v>
      </c>
      <c r="S16" s="205">
        <v>5760000</v>
      </c>
      <c r="T16" s="205">
        <v>-6076129</v>
      </c>
    </row>
    <row r="17" spans="1:20" ht="12.75">
      <c r="A17" s="169">
        <v>10</v>
      </c>
      <c r="B17" s="172" t="s">
        <v>724</v>
      </c>
      <c r="C17" s="258" t="s">
        <v>725</v>
      </c>
      <c r="D17" s="205">
        <v>0</v>
      </c>
      <c r="E17" s="205">
        <v>114946437</v>
      </c>
      <c r="F17" s="205">
        <v>581807</v>
      </c>
      <c r="G17" s="205">
        <v>0</v>
      </c>
      <c r="H17" s="205">
        <v>0</v>
      </c>
      <c r="I17" s="205">
        <v>115528244</v>
      </c>
      <c r="J17" s="205">
        <v>3203000</v>
      </c>
      <c r="K17" s="205">
        <v>46773</v>
      </c>
      <c r="L17" s="205">
        <v>56013351</v>
      </c>
      <c r="M17" s="205">
        <v>22405340</v>
      </c>
      <c r="N17" s="205">
        <v>33608010</v>
      </c>
      <c r="O17" s="205">
        <v>419218</v>
      </c>
      <c r="P17" s="205">
        <v>0</v>
      </c>
      <c r="Q17" s="205">
        <v>0</v>
      </c>
      <c r="R17" s="205">
        <v>115695692</v>
      </c>
      <c r="S17" s="205">
        <v>0</v>
      </c>
      <c r="T17" s="205">
        <v>-167448</v>
      </c>
    </row>
    <row r="18" spans="1:20" ht="12.75">
      <c r="A18" s="169">
        <v>11</v>
      </c>
      <c r="B18" s="172" t="s">
        <v>726</v>
      </c>
      <c r="C18" s="258" t="s">
        <v>727</v>
      </c>
      <c r="D18" s="205">
        <v>0</v>
      </c>
      <c r="E18" s="205">
        <v>52753792</v>
      </c>
      <c r="F18" s="205">
        <v>-58541</v>
      </c>
      <c r="G18" s="205">
        <v>0</v>
      </c>
      <c r="H18" s="205">
        <v>0</v>
      </c>
      <c r="I18" s="205">
        <v>52695251</v>
      </c>
      <c r="J18" s="205">
        <v>2766793</v>
      </c>
      <c r="K18" s="205">
        <v>302864</v>
      </c>
      <c r="L18" s="205">
        <v>24680577</v>
      </c>
      <c r="M18" s="205">
        <v>495812</v>
      </c>
      <c r="N18" s="205">
        <v>24294765</v>
      </c>
      <c r="O18" s="205">
        <v>0</v>
      </c>
      <c r="P18" s="205">
        <v>0</v>
      </c>
      <c r="Q18" s="205">
        <v>0</v>
      </c>
      <c r="R18" s="205">
        <v>52540811</v>
      </c>
      <c r="S18" s="205">
        <v>0</v>
      </c>
      <c r="T18" s="205">
        <v>154440</v>
      </c>
    </row>
    <row r="19" spans="1:20" ht="12.75">
      <c r="A19" s="169">
        <v>12</v>
      </c>
      <c r="B19" s="172" t="s">
        <v>728</v>
      </c>
      <c r="C19" s="258" t="s">
        <v>729</v>
      </c>
      <c r="D19" s="205">
        <v>0</v>
      </c>
      <c r="E19" s="205">
        <v>23889762</v>
      </c>
      <c r="F19" s="205">
        <v>210651</v>
      </c>
      <c r="G19" s="205">
        <v>0</v>
      </c>
      <c r="H19" s="205">
        <v>0</v>
      </c>
      <c r="I19" s="205">
        <v>24100413</v>
      </c>
      <c r="J19" s="205">
        <v>1370521</v>
      </c>
      <c r="K19" s="205">
        <v>0</v>
      </c>
      <c r="L19" s="205">
        <v>11526648</v>
      </c>
      <c r="M19" s="205">
        <v>2305330</v>
      </c>
      <c r="N19" s="205">
        <v>9221318</v>
      </c>
      <c r="O19" s="205">
        <v>99249</v>
      </c>
      <c r="P19" s="205">
        <v>0</v>
      </c>
      <c r="Q19" s="205">
        <v>0</v>
      </c>
      <c r="R19" s="205">
        <v>24523066</v>
      </c>
      <c r="S19" s="205">
        <v>0</v>
      </c>
      <c r="T19" s="205">
        <v>-422653</v>
      </c>
    </row>
    <row r="20" spans="1:20" ht="12.75">
      <c r="A20" s="169">
        <v>13</v>
      </c>
      <c r="B20" s="172" t="s">
        <v>730</v>
      </c>
      <c r="C20" s="258" t="s">
        <v>731</v>
      </c>
      <c r="D20" s="205">
        <v>0</v>
      </c>
      <c r="E20" s="205">
        <v>80282791</v>
      </c>
      <c r="F20" s="205">
        <v>0</v>
      </c>
      <c r="G20" s="205">
        <v>0</v>
      </c>
      <c r="H20" s="205">
        <v>0</v>
      </c>
      <c r="I20" s="205">
        <v>80282791</v>
      </c>
      <c r="J20" s="205">
        <v>10489767</v>
      </c>
      <c r="K20" s="205">
        <v>746063</v>
      </c>
      <c r="L20" s="205">
        <v>35499106</v>
      </c>
      <c r="M20" s="205">
        <v>7099821</v>
      </c>
      <c r="N20" s="205">
        <v>28399284</v>
      </c>
      <c r="O20" s="205">
        <v>236652</v>
      </c>
      <c r="P20" s="205">
        <v>2488</v>
      </c>
      <c r="Q20" s="205">
        <v>0</v>
      </c>
      <c r="R20" s="205">
        <v>82473181</v>
      </c>
      <c r="S20" s="205">
        <v>0</v>
      </c>
      <c r="T20" s="205">
        <v>-2190390</v>
      </c>
    </row>
    <row r="21" spans="1:20" ht="12.75">
      <c r="A21" s="169">
        <v>14</v>
      </c>
      <c r="B21" s="172" t="s">
        <v>732</v>
      </c>
      <c r="C21" s="258" t="s">
        <v>733</v>
      </c>
      <c r="D21" s="205">
        <v>0</v>
      </c>
      <c r="E21" s="205">
        <v>71656864</v>
      </c>
      <c r="F21" s="205">
        <v>404900</v>
      </c>
      <c r="G21" s="205">
        <v>0</v>
      </c>
      <c r="H21" s="205">
        <v>0</v>
      </c>
      <c r="I21" s="205">
        <v>72061764</v>
      </c>
      <c r="J21" s="205">
        <v>4911000</v>
      </c>
      <c r="K21" s="205">
        <v>0</v>
      </c>
      <c r="L21" s="205">
        <v>35765010</v>
      </c>
      <c r="M21" s="205">
        <v>7153002</v>
      </c>
      <c r="N21" s="205">
        <v>28612008</v>
      </c>
      <c r="O21" s="205">
        <v>206499</v>
      </c>
      <c r="P21" s="205">
        <v>0</v>
      </c>
      <c r="Q21" s="205">
        <v>0</v>
      </c>
      <c r="R21" s="205">
        <v>76647519</v>
      </c>
      <c r="S21" s="205">
        <v>0</v>
      </c>
      <c r="T21" s="205">
        <v>-4585755</v>
      </c>
    </row>
    <row r="22" spans="1:20" ht="12.75">
      <c r="A22" s="169">
        <v>15</v>
      </c>
      <c r="B22" s="172" t="s">
        <v>734</v>
      </c>
      <c r="C22" s="258" t="s">
        <v>735</v>
      </c>
      <c r="D22" s="205">
        <v>0</v>
      </c>
      <c r="E22" s="205">
        <v>42028101</v>
      </c>
      <c r="F22" s="205">
        <v>1811982</v>
      </c>
      <c r="G22" s="205">
        <v>0</v>
      </c>
      <c r="H22" s="205">
        <v>0</v>
      </c>
      <c r="I22" s="205">
        <v>43840083</v>
      </c>
      <c r="J22" s="205">
        <v>2500000</v>
      </c>
      <c r="K22" s="205">
        <v>94820</v>
      </c>
      <c r="L22" s="205">
        <v>22818533</v>
      </c>
      <c r="M22" s="205">
        <v>4563707</v>
      </c>
      <c r="N22" s="205">
        <v>18254826</v>
      </c>
      <c r="O22" s="205">
        <v>167257</v>
      </c>
      <c r="P22" s="205">
        <v>0</v>
      </c>
      <c r="Q22" s="205">
        <v>0</v>
      </c>
      <c r="R22" s="205">
        <v>48399143</v>
      </c>
      <c r="S22" s="205">
        <v>1500000</v>
      </c>
      <c r="T22" s="205">
        <v>-3059060</v>
      </c>
    </row>
    <row r="23" spans="1:20" ht="12.75">
      <c r="A23" s="169">
        <v>16</v>
      </c>
      <c r="B23" s="172" t="s">
        <v>736</v>
      </c>
      <c r="C23" s="258" t="s">
        <v>737</v>
      </c>
      <c r="D23" s="205">
        <v>0</v>
      </c>
      <c r="E23" s="205">
        <v>63874950</v>
      </c>
      <c r="F23" s="205">
        <v>139568</v>
      </c>
      <c r="G23" s="205">
        <v>0</v>
      </c>
      <c r="H23" s="205">
        <v>0</v>
      </c>
      <c r="I23" s="205">
        <v>64014518</v>
      </c>
      <c r="J23" s="205">
        <v>4258556</v>
      </c>
      <c r="K23" s="205">
        <v>23062</v>
      </c>
      <c r="L23" s="205">
        <v>30336871</v>
      </c>
      <c r="M23" s="205">
        <v>606737</v>
      </c>
      <c r="N23" s="205">
        <v>29730133</v>
      </c>
      <c r="O23" s="205">
        <v>260612</v>
      </c>
      <c r="P23" s="205">
        <v>0</v>
      </c>
      <c r="Q23" s="205">
        <v>0</v>
      </c>
      <c r="R23" s="205">
        <v>65215971</v>
      </c>
      <c r="S23" s="205">
        <v>0</v>
      </c>
      <c r="T23" s="205">
        <v>-1201453</v>
      </c>
    </row>
    <row r="24" spans="1:20" ht="12.75">
      <c r="A24" s="169">
        <v>17</v>
      </c>
      <c r="B24" s="172" t="s">
        <v>738</v>
      </c>
      <c r="C24" s="258" t="s">
        <v>739</v>
      </c>
      <c r="D24" s="205">
        <v>0</v>
      </c>
      <c r="E24" s="205">
        <v>63619503</v>
      </c>
      <c r="F24" s="205">
        <v>849520</v>
      </c>
      <c r="G24" s="205">
        <v>0</v>
      </c>
      <c r="H24" s="205">
        <v>0</v>
      </c>
      <c r="I24" s="205">
        <v>64469023</v>
      </c>
      <c r="J24" s="205">
        <v>2765518</v>
      </c>
      <c r="K24" s="205">
        <v>311865</v>
      </c>
      <c r="L24" s="205">
        <v>30336228</v>
      </c>
      <c r="M24" s="205">
        <v>606726</v>
      </c>
      <c r="N24" s="205">
        <v>29729562</v>
      </c>
      <c r="O24" s="205">
        <v>233924</v>
      </c>
      <c r="P24" s="205">
        <v>0</v>
      </c>
      <c r="Q24" s="205">
        <v>0</v>
      </c>
      <c r="R24" s="205">
        <v>63983823</v>
      </c>
      <c r="S24" s="205">
        <v>0</v>
      </c>
      <c r="T24" s="205">
        <v>485201</v>
      </c>
    </row>
    <row r="25" spans="1:20" ht="12.75">
      <c r="A25" s="169">
        <v>18</v>
      </c>
      <c r="B25" s="172" t="s">
        <v>740</v>
      </c>
      <c r="C25" s="258" t="s">
        <v>741</v>
      </c>
      <c r="D25" s="205">
        <v>0</v>
      </c>
      <c r="E25" s="205">
        <v>68227567</v>
      </c>
      <c r="F25" s="205">
        <v>84719</v>
      </c>
      <c r="G25" s="205">
        <v>263898</v>
      </c>
      <c r="H25" s="205">
        <v>0</v>
      </c>
      <c r="I25" s="205">
        <v>68576184</v>
      </c>
      <c r="J25" s="205">
        <v>5606409</v>
      </c>
      <c r="K25" s="205">
        <v>65567</v>
      </c>
      <c r="L25" s="205">
        <v>32838575</v>
      </c>
      <c r="M25" s="205">
        <v>13135430</v>
      </c>
      <c r="N25" s="205">
        <v>19703145</v>
      </c>
      <c r="O25" s="205">
        <v>0</v>
      </c>
      <c r="P25" s="205">
        <v>0</v>
      </c>
      <c r="Q25" s="205">
        <v>0</v>
      </c>
      <c r="R25" s="205">
        <v>71349126</v>
      </c>
      <c r="S25" s="205">
        <v>0</v>
      </c>
      <c r="T25" s="205">
        <v>-2772942</v>
      </c>
    </row>
    <row r="26" spans="1:20" ht="12.75">
      <c r="A26" s="169">
        <v>19</v>
      </c>
      <c r="B26" s="172" t="s">
        <v>742</v>
      </c>
      <c r="C26" s="258" t="s">
        <v>743</v>
      </c>
      <c r="D26" s="205">
        <v>0</v>
      </c>
      <c r="E26" s="205">
        <v>430076792</v>
      </c>
      <c r="F26" s="205">
        <v>0</v>
      </c>
      <c r="G26" s="205">
        <v>2050234</v>
      </c>
      <c r="H26" s="205">
        <v>0</v>
      </c>
      <c r="I26" s="205">
        <v>432127026</v>
      </c>
      <c r="J26" s="205">
        <v>71450492</v>
      </c>
      <c r="K26" s="205">
        <v>1134010</v>
      </c>
      <c r="L26" s="205">
        <v>195246944</v>
      </c>
      <c r="M26" s="205">
        <v>3908760</v>
      </c>
      <c r="N26" s="205">
        <v>191716768</v>
      </c>
      <c r="O26" s="205">
        <v>4103756</v>
      </c>
      <c r="P26" s="205">
        <v>73820</v>
      </c>
      <c r="Q26" s="205">
        <v>0</v>
      </c>
      <c r="R26" s="205">
        <v>467634550</v>
      </c>
      <c r="S26" s="205">
        <v>29094840</v>
      </c>
      <c r="T26" s="205">
        <v>-6412684</v>
      </c>
    </row>
    <row r="27" spans="1:20" ht="12.75">
      <c r="A27" s="169">
        <v>20</v>
      </c>
      <c r="B27" s="172" t="s">
        <v>744</v>
      </c>
      <c r="C27" s="258" t="s">
        <v>745</v>
      </c>
      <c r="D27" s="205">
        <v>0</v>
      </c>
      <c r="E27" s="205">
        <v>39741218</v>
      </c>
      <c r="F27" s="205">
        <v>152641</v>
      </c>
      <c r="G27" s="205">
        <v>0</v>
      </c>
      <c r="H27" s="205">
        <v>0</v>
      </c>
      <c r="I27" s="205">
        <v>39893859</v>
      </c>
      <c r="J27" s="205">
        <v>1038612</v>
      </c>
      <c r="K27" s="205">
        <v>0</v>
      </c>
      <c r="L27" s="205">
        <v>19421081</v>
      </c>
      <c r="M27" s="205">
        <v>3884217</v>
      </c>
      <c r="N27" s="205">
        <v>15536864</v>
      </c>
      <c r="O27" s="205">
        <v>101281</v>
      </c>
      <c r="P27" s="205">
        <v>0</v>
      </c>
      <c r="Q27" s="205">
        <v>0</v>
      </c>
      <c r="R27" s="205">
        <v>39982055</v>
      </c>
      <c r="S27" s="205">
        <v>0</v>
      </c>
      <c r="T27" s="205">
        <v>-88196</v>
      </c>
    </row>
    <row r="28" spans="1:20" ht="12.75">
      <c r="A28" s="169">
        <v>21</v>
      </c>
      <c r="B28" s="172" t="s">
        <v>746</v>
      </c>
      <c r="C28" s="258" t="s">
        <v>747</v>
      </c>
      <c r="D28" s="205">
        <v>0</v>
      </c>
      <c r="E28" s="205">
        <v>47913600</v>
      </c>
      <c r="F28" s="205">
        <v>141400</v>
      </c>
      <c r="G28" s="205">
        <v>0</v>
      </c>
      <c r="H28" s="205">
        <v>0</v>
      </c>
      <c r="I28" s="205">
        <v>48055000</v>
      </c>
      <c r="J28" s="205">
        <v>5270000</v>
      </c>
      <c r="K28" s="205">
        <v>55000</v>
      </c>
      <c r="L28" s="205">
        <v>22214500</v>
      </c>
      <c r="M28" s="205">
        <v>444290</v>
      </c>
      <c r="N28" s="205">
        <v>21770210</v>
      </c>
      <c r="O28" s="205">
        <v>252638</v>
      </c>
      <c r="P28" s="205">
        <v>0</v>
      </c>
      <c r="Q28" s="205">
        <v>0</v>
      </c>
      <c r="R28" s="205">
        <v>50006638</v>
      </c>
      <c r="S28" s="205">
        <v>0</v>
      </c>
      <c r="T28" s="205">
        <v>-1951638</v>
      </c>
    </row>
    <row r="29" spans="1:20" ht="12.75">
      <c r="A29" s="169">
        <v>22</v>
      </c>
      <c r="B29" s="172" t="s">
        <v>748</v>
      </c>
      <c r="C29" s="258" t="s">
        <v>749</v>
      </c>
      <c r="D29" s="205">
        <v>0</v>
      </c>
      <c r="E29" s="205">
        <v>51154700</v>
      </c>
      <c r="F29" s="205">
        <v>191063</v>
      </c>
      <c r="G29" s="205">
        <v>0</v>
      </c>
      <c r="H29" s="205">
        <v>0</v>
      </c>
      <c r="I29" s="205">
        <v>51345763</v>
      </c>
      <c r="J29" s="205">
        <v>2400000</v>
      </c>
      <c r="K29" s="205">
        <v>322654</v>
      </c>
      <c r="L29" s="205">
        <v>24165142</v>
      </c>
      <c r="M29" s="205">
        <v>483308</v>
      </c>
      <c r="N29" s="205">
        <v>23682115</v>
      </c>
      <c r="O29" s="205">
        <v>0</v>
      </c>
      <c r="P29" s="205">
        <v>2221434</v>
      </c>
      <c r="Q29" s="205">
        <v>0</v>
      </c>
      <c r="R29" s="205">
        <v>53274653</v>
      </c>
      <c r="S29" s="205">
        <v>0</v>
      </c>
      <c r="T29" s="205">
        <v>-1928890</v>
      </c>
    </row>
    <row r="30" spans="1:20" ht="12.75">
      <c r="A30" s="169">
        <v>23</v>
      </c>
      <c r="B30" s="172" t="s">
        <v>750</v>
      </c>
      <c r="C30" s="258" t="s">
        <v>751</v>
      </c>
      <c r="D30" s="205">
        <v>0</v>
      </c>
      <c r="E30" s="205">
        <v>21929361</v>
      </c>
      <c r="F30" s="205">
        <v>0</v>
      </c>
      <c r="G30" s="205">
        <v>0</v>
      </c>
      <c r="H30" s="205">
        <v>0</v>
      </c>
      <c r="I30" s="205">
        <v>21929361</v>
      </c>
      <c r="J30" s="205">
        <v>1018248</v>
      </c>
      <c r="K30" s="205">
        <v>81825</v>
      </c>
      <c r="L30" s="205">
        <v>10293612</v>
      </c>
      <c r="M30" s="205">
        <v>2058722</v>
      </c>
      <c r="N30" s="205">
        <v>8234889</v>
      </c>
      <c r="O30" s="205">
        <v>93264</v>
      </c>
      <c r="P30" s="205">
        <v>0</v>
      </c>
      <c r="Q30" s="205">
        <v>0</v>
      </c>
      <c r="R30" s="205">
        <v>21780560</v>
      </c>
      <c r="S30" s="205">
        <v>0</v>
      </c>
      <c r="T30" s="205">
        <v>148801</v>
      </c>
    </row>
    <row r="31" spans="1:20" ht="12.75">
      <c r="A31" s="169">
        <v>24</v>
      </c>
      <c r="B31" s="172" t="s">
        <v>752</v>
      </c>
      <c r="C31" s="258" t="s">
        <v>753</v>
      </c>
      <c r="D31" s="205">
        <v>0</v>
      </c>
      <c r="E31" s="205">
        <v>86406948</v>
      </c>
      <c r="F31" s="205">
        <v>37000</v>
      </c>
      <c r="G31" s="205">
        <v>0</v>
      </c>
      <c r="H31" s="205">
        <v>0</v>
      </c>
      <c r="I31" s="205">
        <v>86443948</v>
      </c>
      <c r="J31" s="205">
        <v>10200000</v>
      </c>
      <c r="K31" s="205">
        <v>487000</v>
      </c>
      <c r="L31" s="205">
        <v>41556642</v>
      </c>
      <c r="M31" s="205">
        <v>831133</v>
      </c>
      <c r="N31" s="205">
        <v>40725509</v>
      </c>
      <c r="O31" s="205">
        <v>407353</v>
      </c>
      <c r="P31" s="205">
        <v>0</v>
      </c>
      <c r="Q31" s="205">
        <v>0</v>
      </c>
      <c r="R31" s="205">
        <v>94207637</v>
      </c>
      <c r="S31" s="205">
        <v>0</v>
      </c>
      <c r="T31" s="205">
        <v>-7763689</v>
      </c>
    </row>
    <row r="32" spans="1:20" ht="12.75">
      <c r="A32" s="169">
        <v>25</v>
      </c>
      <c r="B32" s="172" t="s">
        <v>754</v>
      </c>
      <c r="C32" s="258" t="s">
        <v>755</v>
      </c>
      <c r="D32" s="205">
        <v>0</v>
      </c>
      <c r="E32" s="205">
        <v>19267686</v>
      </c>
      <c r="F32" s="205">
        <v>0</v>
      </c>
      <c r="G32" s="205">
        <v>0</v>
      </c>
      <c r="H32" s="205">
        <v>0</v>
      </c>
      <c r="I32" s="205">
        <v>19267686</v>
      </c>
      <c r="J32" s="205">
        <v>1635946</v>
      </c>
      <c r="K32" s="205">
        <v>0</v>
      </c>
      <c r="L32" s="205">
        <v>9311459</v>
      </c>
      <c r="M32" s="205">
        <v>1862292</v>
      </c>
      <c r="N32" s="205">
        <v>7449167</v>
      </c>
      <c r="O32" s="205">
        <v>87470</v>
      </c>
      <c r="P32" s="205">
        <v>0</v>
      </c>
      <c r="Q32" s="205">
        <v>0</v>
      </c>
      <c r="R32" s="205">
        <v>20346334</v>
      </c>
      <c r="S32" s="205">
        <v>0</v>
      </c>
      <c r="T32" s="205">
        <v>-1078648</v>
      </c>
    </row>
    <row r="33" spans="1:20" ht="12.75">
      <c r="A33" s="169">
        <v>26</v>
      </c>
      <c r="B33" s="172" t="s">
        <v>756</v>
      </c>
      <c r="C33" s="258" t="s">
        <v>757</v>
      </c>
      <c r="D33" s="205">
        <v>0</v>
      </c>
      <c r="E33" s="205">
        <v>62527159</v>
      </c>
      <c r="F33" s="205">
        <v>305765</v>
      </c>
      <c r="G33" s="205">
        <v>0</v>
      </c>
      <c r="H33" s="205">
        <v>0</v>
      </c>
      <c r="I33" s="205">
        <v>62832924</v>
      </c>
      <c r="J33" s="205">
        <v>0</v>
      </c>
      <c r="K33" s="205">
        <v>60558</v>
      </c>
      <c r="L33" s="205">
        <v>32407499</v>
      </c>
      <c r="M33" s="205">
        <v>648150</v>
      </c>
      <c r="N33" s="205">
        <v>31759349</v>
      </c>
      <c r="O33" s="205">
        <v>0</v>
      </c>
      <c r="P33" s="205">
        <v>0</v>
      </c>
      <c r="Q33" s="205">
        <v>0</v>
      </c>
      <c r="R33" s="205">
        <v>64875556</v>
      </c>
      <c r="S33" s="205">
        <v>1740000</v>
      </c>
      <c r="T33" s="205">
        <v>-302632</v>
      </c>
    </row>
    <row r="34" spans="1:20" ht="12.75">
      <c r="A34" s="169">
        <v>27</v>
      </c>
      <c r="B34" s="172" t="s">
        <v>758</v>
      </c>
      <c r="C34" s="258" t="s">
        <v>759</v>
      </c>
      <c r="D34" s="205">
        <v>0</v>
      </c>
      <c r="E34" s="205">
        <v>72574022</v>
      </c>
      <c r="F34" s="205">
        <v>0</v>
      </c>
      <c r="G34" s="205">
        <v>9270</v>
      </c>
      <c r="H34" s="205">
        <v>0</v>
      </c>
      <c r="I34" s="205">
        <v>72583292</v>
      </c>
      <c r="J34" s="205">
        <v>5297800</v>
      </c>
      <c r="K34" s="205">
        <v>742443</v>
      </c>
      <c r="L34" s="205">
        <v>26743402</v>
      </c>
      <c r="M34" s="205">
        <v>534868</v>
      </c>
      <c r="N34" s="205">
        <v>26208533</v>
      </c>
      <c r="O34" s="205">
        <v>153520</v>
      </c>
      <c r="P34" s="205">
        <v>0</v>
      </c>
      <c r="Q34" s="205">
        <v>0</v>
      </c>
      <c r="R34" s="205">
        <v>59680566</v>
      </c>
      <c r="S34" s="205">
        <v>0</v>
      </c>
      <c r="T34" s="205">
        <v>12902726</v>
      </c>
    </row>
    <row r="35" spans="1:20" ht="12.75">
      <c r="A35" s="169">
        <v>28</v>
      </c>
      <c r="B35" s="172" t="s">
        <v>760</v>
      </c>
      <c r="C35" s="258" t="s">
        <v>761</v>
      </c>
      <c r="D35" s="205">
        <v>0</v>
      </c>
      <c r="E35" s="205">
        <v>140091067</v>
      </c>
      <c r="F35" s="205">
        <v>156337</v>
      </c>
      <c r="G35" s="205">
        <v>0</v>
      </c>
      <c r="H35" s="205">
        <v>0</v>
      </c>
      <c r="I35" s="205">
        <v>140247404</v>
      </c>
      <c r="J35" s="205">
        <v>13191578</v>
      </c>
      <c r="K35" s="205">
        <v>851456</v>
      </c>
      <c r="L35" s="205">
        <v>67974588</v>
      </c>
      <c r="M35" s="205">
        <v>1359492</v>
      </c>
      <c r="N35" s="205">
        <v>66615096</v>
      </c>
      <c r="O35" s="205">
        <v>3265904</v>
      </c>
      <c r="P35" s="205">
        <v>0</v>
      </c>
      <c r="Q35" s="205">
        <v>0</v>
      </c>
      <c r="R35" s="205">
        <v>153258114</v>
      </c>
      <c r="S35" s="205">
        <v>7915183</v>
      </c>
      <c r="T35" s="205">
        <v>-5095527</v>
      </c>
    </row>
    <row r="36" spans="1:20" ht="12.75">
      <c r="A36" s="169">
        <v>29</v>
      </c>
      <c r="B36" s="172" t="s">
        <v>762</v>
      </c>
      <c r="C36" s="258" t="s">
        <v>763</v>
      </c>
      <c r="D36" s="205">
        <v>0</v>
      </c>
      <c r="E36" s="205">
        <v>40921745</v>
      </c>
      <c r="F36" s="205">
        <v>74710</v>
      </c>
      <c r="G36" s="205">
        <v>0</v>
      </c>
      <c r="H36" s="205">
        <v>0</v>
      </c>
      <c r="I36" s="205">
        <v>40996455</v>
      </c>
      <c r="J36" s="205">
        <v>3158630</v>
      </c>
      <c r="K36" s="205">
        <v>0</v>
      </c>
      <c r="L36" s="205">
        <v>19335204</v>
      </c>
      <c r="M36" s="205">
        <v>3867041</v>
      </c>
      <c r="N36" s="205">
        <v>15468163</v>
      </c>
      <c r="O36" s="205">
        <v>186394</v>
      </c>
      <c r="P36" s="205">
        <v>0</v>
      </c>
      <c r="Q36" s="205">
        <v>0</v>
      </c>
      <c r="R36" s="205">
        <v>42015432</v>
      </c>
      <c r="S36" s="205">
        <v>0</v>
      </c>
      <c r="T36" s="205">
        <v>-1018977</v>
      </c>
    </row>
    <row r="37" spans="1:20" ht="12.75">
      <c r="A37" s="169">
        <v>30</v>
      </c>
      <c r="B37" s="172" t="s">
        <v>764</v>
      </c>
      <c r="C37" s="258" t="s">
        <v>765</v>
      </c>
      <c r="D37" s="205">
        <v>0</v>
      </c>
      <c r="E37" s="205">
        <v>29222708</v>
      </c>
      <c r="F37" s="205">
        <v>358911</v>
      </c>
      <c r="G37" s="205">
        <v>0</v>
      </c>
      <c r="H37" s="205">
        <v>0</v>
      </c>
      <c r="I37" s="205">
        <v>29581619</v>
      </c>
      <c r="J37" s="205">
        <v>890882</v>
      </c>
      <c r="K37" s="205">
        <v>0</v>
      </c>
      <c r="L37" s="205">
        <v>14004622</v>
      </c>
      <c r="M37" s="205">
        <v>2800924</v>
      </c>
      <c r="N37" s="205">
        <v>11203697</v>
      </c>
      <c r="O37" s="205">
        <v>196711</v>
      </c>
      <c r="P37" s="205">
        <v>0</v>
      </c>
      <c r="Q37" s="205">
        <v>0</v>
      </c>
      <c r="R37" s="205">
        <v>29096836</v>
      </c>
      <c r="S37" s="205">
        <v>0</v>
      </c>
      <c r="T37" s="205">
        <v>484783</v>
      </c>
    </row>
    <row r="38" spans="1:20" ht="12.75">
      <c r="A38" s="169">
        <v>31</v>
      </c>
      <c r="B38" s="172" t="s">
        <v>766</v>
      </c>
      <c r="C38" s="258" t="s">
        <v>767</v>
      </c>
      <c r="D38" s="205">
        <v>0</v>
      </c>
      <c r="E38" s="205">
        <v>110690994</v>
      </c>
      <c r="F38" s="205">
        <v>245169</v>
      </c>
      <c r="G38" s="205">
        <v>416951</v>
      </c>
      <c r="H38" s="205">
        <v>0</v>
      </c>
      <c r="I38" s="205">
        <v>111353114</v>
      </c>
      <c r="J38" s="205">
        <v>10450000</v>
      </c>
      <c r="K38" s="205">
        <v>239770</v>
      </c>
      <c r="L38" s="205">
        <v>53153524</v>
      </c>
      <c r="M38" s="205">
        <v>21261410</v>
      </c>
      <c r="N38" s="205">
        <v>31892114</v>
      </c>
      <c r="O38" s="205">
        <v>416951</v>
      </c>
      <c r="P38" s="205">
        <v>0</v>
      </c>
      <c r="Q38" s="205">
        <v>0</v>
      </c>
      <c r="R38" s="205">
        <v>117413769</v>
      </c>
      <c r="S38" s="205">
        <v>5360000</v>
      </c>
      <c r="T38" s="205">
        <v>-700655</v>
      </c>
    </row>
    <row r="39" spans="1:20" ht="12.75">
      <c r="A39" s="169">
        <v>32</v>
      </c>
      <c r="B39" s="172" t="s">
        <v>768</v>
      </c>
      <c r="C39" s="258" t="s">
        <v>769</v>
      </c>
      <c r="D39" s="205">
        <v>0</v>
      </c>
      <c r="E39" s="205">
        <v>30767357</v>
      </c>
      <c r="F39" s="205">
        <v>42659</v>
      </c>
      <c r="G39" s="205">
        <v>1372</v>
      </c>
      <c r="H39" s="205">
        <v>0</v>
      </c>
      <c r="I39" s="205">
        <v>30811388</v>
      </c>
      <c r="J39" s="205">
        <v>2486126</v>
      </c>
      <c r="K39" s="205">
        <v>0</v>
      </c>
      <c r="L39" s="205">
        <v>14335392</v>
      </c>
      <c r="M39" s="205">
        <v>2867078</v>
      </c>
      <c r="N39" s="205">
        <v>11468313</v>
      </c>
      <c r="O39" s="205">
        <v>104749</v>
      </c>
      <c r="P39" s="205">
        <v>0</v>
      </c>
      <c r="Q39" s="205">
        <v>0</v>
      </c>
      <c r="R39" s="205">
        <v>31261658</v>
      </c>
      <c r="S39" s="205">
        <v>0</v>
      </c>
      <c r="T39" s="205">
        <v>-450270</v>
      </c>
    </row>
    <row r="40" spans="1:20" ht="12.75">
      <c r="A40" s="169">
        <v>33</v>
      </c>
      <c r="B40" s="172" t="s">
        <v>770</v>
      </c>
      <c r="C40" s="258" t="s">
        <v>771</v>
      </c>
      <c r="D40" s="205">
        <v>0</v>
      </c>
      <c r="E40" s="205">
        <v>108299994</v>
      </c>
      <c r="F40" s="205">
        <v>0</v>
      </c>
      <c r="G40" s="205">
        <v>0</v>
      </c>
      <c r="H40" s="205">
        <v>0</v>
      </c>
      <c r="I40" s="205">
        <v>108299994</v>
      </c>
      <c r="J40" s="205">
        <v>17497150</v>
      </c>
      <c r="K40" s="205">
        <v>163752</v>
      </c>
      <c r="L40" s="205">
        <v>43096369</v>
      </c>
      <c r="M40" s="205">
        <v>861927</v>
      </c>
      <c r="N40" s="205">
        <v>42234441</v>
      </c>
      <c r="O40" s="205">
        <v>417809</v>
      </c>
      <c r="P40" s="205">
        <v>0</v>
      </c>
      <c r="Q40" s="205">
        <v>0</v>
      </c>
      <c r="R40" s="205">
        <v>104271448</v>
      </c>
      <c r="S40" s="205">
        <v>0</v>
      </c>
      <c r="T40" s="205">
        <v>4028546</v>
      </c>
    </row>
    <row r="41" spans="1:20" ht="12.75">
      <c r="A41" s="169">
        <v>34</v>
      </c>
      <c r="B41" s="172" t="s">
        <v>772</v>
      </c>
      <c r="C41" s="258" t="s">
        <v>773</v>
      </c>
      <c r="D41" s="205">
        <v>0</v>
      </c>
      <c r="E41" s="205">
        <v>202510000</v>
      </c>
      <c r="F41" s="205">
        <v>2508000</v>
      </c>
      <c r="G41" s="205">
        <v>0</v>
      </c>
      <c r="H41" s="205">
        <v>0</v>
      </c>
      <c r="I41" s="205">
        <v>205018000</v>
      </c>
      <c r="J41" s="205">
        <v>11600000</v>
      </c>
      <c r="K41" s="205">
        <v>221000</v>
      </c>
      <c r="L41" s="205">
        <v>98520882</v>
      </c>
      <c r="M41" s="205">
        <v>1990418</v>
      </c>
      <c r="N41" s="205">
        <v>97530464</v>
      </c>
      <c r="O41" s="205">
        <v>720617</v>
      </c>
      <c r="P41" s="205">
        <v>0</v>
      </c>
      <c r="Q41" s="205">
        <v>0</v>
      </c>
      <c r="R41" s="205">
        <v>210583381</v>
      </c>
      <c r="S41" s="205">
        <v>0</v>
      </c>
      <c r="T41" s="205">
        <v>-5565381</v>
      </c>
    </row>
    <row r="42" spans="1:20" ht="12.75">
      <c r="A42" s="169">
        <v>35</v>
      </c>
      <c r="B42" s="172" t="s">
        <v>774</v>
      </c>
      <c r="C42" s="258" t="s">
        <v>775</v>
      </c>
      <c r="D42" s="205">
        <v>0</v>
      </c>
      <c r="E42" s="205">
        <v>28899129</v>
      </c>
      <c r="F42" s="205">
        <v>637555</v>
      </c>
      <c r="G42" s="205">
        <v>136365</v>
      </c>
      <c r="H42" s="205">
        <v>0</v>
      </c>
      <c r="I42" s="205">
        <v>29673049</v>
      </c>
      <c r="J42" s="205">
        <v>1530106</v>
      </c>
      <c r="K42" s="205">
        <v>63764</v>
      </c>
      <c r="L42" s="205">
        <v>13994050</v>
      </c>
      <c r="M42" s="205">
        <v>2798810</v>
      </c>
      <c r="N42" s="205">
        <v>11195240</v>
      </c>
      <c r="O42" s="205">
        <v>136365</v>
      </c>
      <c r="P42" s="205">
        <v>0</v>
      </c>
      <c r="Q42" s="205">
        <v>0</v>
      </c>
      <c r="R42" s="205">
        <v>29718335</v>
      </c>
      <c r="S42" s="205">
        <v>0</v>
      </c>
      <c r="T42" s="205">
        <v>-45286</v>
      </c>
    </row>
    <row r="43" spans="1:20" ht="12.75">
      <c r="A43" s="169">
        <v>36</v>
      </c>
      <c r="B43" s="172" t="s">
        <v>776</v>
      </c>
      <c r="C43" s="258" t="s">
        <v>777</v>
      </c>
      <c r="D43" s="205">
        <v>0</v>
      </c>
      <c r="E43" s="205">
        <v>84805048</v>
      </c>
      <c r="F43" s="205">
        <v>468384</v>
      </c>
      <c r="G43" s="205">
        <v>347530</v>
      </c>
      <c r="H43" s="205">
        <v>0</v>
      </c>
      <c r="I43" s="205">
        <v>85620962</v>
      </c>
      <c r="J43" s="205">
        <v>1220996</v>
      </c>
      <c r="K43" s="205">
        <v>-167580</v>
      </c>
      <c r="L43" s="205">
        <v>42110008</v>
      </c>
      <c r="M43" s="205">
        <v>16844003</v>
      </c>
      <c r="N43" s="205">
        <v>25266005</v>
      </c>
      <c r="O43" s="205">
        <v>347530</v>
      </c>
      <c r="P43" s="205">
        <v>0</v>
      </c>
      <c r="Q43" s="205">
        <v>0</v>
      </c>
      <c r="R43" s="205">
        <v>85620962</v>
      </c>
      <c r="S43" s="205">
        <v>0</v>
      </c>
      <c r="T43" s="205">
        <v>0</v>
      </c>
    </row>
    <row r="44" spans="1:20" ht="12.75">
      <c r="A44" s="169">
        <v>37</v>
      </c>
      <c r="B44" s="172" t="s">
        <v>778</v>
      </c>
      <c r="C44" s="258" t="s">
        <v>779</v>
      </c>
      <c r="D44" s="205">
        <v>0</v>
      </c>
      <c r="E44" s="205">
        <v>26929639</v>
      </c>
      <c r="F44" s="205">
        <v>0</v>
      </c>
      <c r="G44" s="205">
        <v>0</v>
      </c>
      <c r="H44" s="205">
        <v>0</v>
      </c>
      <c r="I44" s="205">
        <v>26929639</v>
      </c>
      <c r="J44" s="205">
        <v>1349941</v>
      </c>
      <c r="K44" s="205">
        <v>191704</v>
      </c>
      <c r="L44" s="205">
        <v>13395901</v>
      </c>
      <c r="M44" s="205">
        <v>2679180</v>
      </c>
      <c r="N44" s="205">
        <v>10716720</v>
      </c>
      <c r="O44" s="205">
        <v>124548</v>
      </c>
      <c r="P44" s="205">
        <v>0</v>
      </c>
      <c r="Q44" s="205">
        <v>0</v>
      </c>
      <c r="R44" s="205">
        <v>28457994</v>
      </c>
      <c r="S44" s="205">
        <v>977008</v>
      </c>
      <c r="T44" s="205">
        <v>-551347</v>
      </c>
    </row>
    <row r="45" spans="1:20" ht="12.75">
      <c r="A45" s="169">
        <v>38</v>
      </c>
      <c r="B45" s="172" t="s">
        <v>780</v>
      </c>
      <c r="C45" s="258" t="s">
        <v>781</v>
      </c>
      <c r="D45" s="205">
        <v>0</v>
      </c>
      <c r="E45" s="205">
        <v>40662044</v>
      </c>
      <c r="F45" s="205">
        <v>953470</v>
      </c>
      <c r="G45" s="205">
        <v>0</v>
      </c>
      <c r="H45" s="205">
        <v>0</v>
      </c>
      <c r="I45" s="205">
        <v>41615514</v>
      </c>
      <c r="J45" s="205">
        <v>2936622</v>
      </c>
      <c r="K45" s="205">
        <v>0</v>
      </c>
      <c r="L45" s="205">
        <v>19269008</v>
      </c>
      <c r="M45" s="205">
        <v>3853802</v>
      </c>
      <c r="N45" s="205">
        <v>15415206</v>
      </c>
      <c r="O45" s="205">
        <v>116696</v>
      </c>
      <c r="P45" s="205">
        <v>0</v>
      </c>
      <c r="Q45" s="205">
        <v>0</v>
      </c>
      <c r="R45" s="205">
        <v>41591334</v>
      </c>
      <c r="S45" s="205">
        <v>0</v>
      </c>
      <c r="T45" s="205">
        <v>24180</v>
      </c>
    </row>
    <row r="46" spans="1:20" ht="12.75">
      <c r="A46" s="169">
        <v>39</v>
      </c>
      <c r="B46" s="172" t="s">
        <v>782</v>
      </c>
      <c r="C46" s="258" t="s">
        <v>783</v>
      </c>
      <c r="D46" s="205">
        <v>0</v>
      </c>
      <c r="E46" s="205">
        <v>24622429</v>
      </c>
      <c r="F46" s="205">
        <v>8943</v>
      </c>
      <c r="G46" s="205">
        <v>0</v>
      </c>
      <c r="H46" s="205">
        <v>0</v>
      </c>
      <c r="I46" s="205">
        <v>24631372</v>
      </c>
      <c r="J46" s="205">
        <v>1966859</v>
      </c>
      <c r="K46" s="205">
        <v>87781</v>
      </c>
      <c r="L46" s="205">
        <v>12374182</v>
      </c>
      <c r="M46" s="205">
        <v>2474837</v>
      </c>
      <c r="N46" s="205">
        <v>9899346</v>
      </c>
      <c r="O46" s="205">
        <v>108209</v>
      </c>
      <c r="P46" s="205">
        <v>0</v>
      </c>
      <c r="Q46" s="205">
        <v>0</v>
      </c>
      <c r="R46" s="205">
        <v>26911214</v>
      </c>
      <c r="S46" s="205">
        <v>642808</v>
      </c>
      <c r="T46" s="205">
        <v>-1637034</v>
      </c>
    </row>
    <row r="47" spans="1:20" ht="12.75">
      <c r="A47" s="169">
        <v>40</v>
      </c>
      <c r="B47" s="172" t="s">
        <v>784</v>
      </c>
      <c r="C47" s="258" t="s">
        <v>785</v>
      </c>
      <c r="D47" s="205">
        <v>0</v>
      </c>
      <c r="E47" s="205">
        <v>27740549</v>
      </c>
      <c r="F47" s="205">
        <v>106234</v>
      </c>
      <c r="G47" s="205">
        <v>0</v>
      </c>
      <c r="H47" s="205">
        <v>0</v>
      </c>
      <c r="I47" s="205">
        <v>27846783</v>
      </c>
      <c r="J47" s="205">
        <v>2946060</v>
      </c>
      <c r="K47" s="205">
        <v>62665</v>
      </c>
      <c r="L47" s="205">
        <v>13179886</v>
      </c>
      <c r="M47" s="205">
        <v>2635977</v>
      </c>
      <c r="N47" s="205">
        <v>10543909</v>
      </c>
      <c r="O47" s="205">
        <v>147506</v>
      </c>
      <c r="P47" s="205">
        <v>0</v>
      </c>
      <c r="Q47" s="205">
        <v>0</v>
      </c>
      <c r="R47" s="205">
        <v>29516003</v>
      </c>
      <c r="S47" s="205">
        <v>0</v>
      </c>
      <c r="T47" s="205">
        <v>-1669220</v>
      </c>
    </row>
    <row r="48" spans="1:20" ht="12.75">
      <c r="A48" s="169">
        <v>41</v>
      </c>
      <c r="B48" s="172" t="s">
        <v>786</v>
      </c>
      <c r="C48" s="258" t="s">
        <v>787</v>
      </c>
      <c r="D48" s="205">
        <v>0</v>
      </c>
      <c r="E48" s="205">
        <v>47951310</v>
      </c>
      <c r="F48" s="205">
        <v>337935</v>
      </c>
      <c r="G48" s="205">
        <v>0</v>
      </c>
      <c r="H48" s="205">
        <v>0</v>
      </c>
      <c r="I48" s="205">
        <v>48289245</v>
      </c>
      <c r="J48" s="205">
        <v>0</v>
      </c>
      <c r="K48" s="205">
        <v>32717</v>
      </c>
      <c r="L48" s="205">
        <v>25109787</v>
      </c>
      <c r="M48" s="205">
        <v>502196</v>
      </c>
      <c r="N48" s="205">
        <v>24607591</v>
      </c>
      <c r="O48" s="205">
        <v>0</v>
      </c>
      <c r="P48" s="205">
        <v>0</v>
      </c>
      <c r="Q48" s="205">
        <v>0</v>
      </c>
      <c r="R48" s="205">
        <v>50252291</v>
      </c>
      <c r="S48" s="205">
        <v>0</v>
      </c>
      <c r="T48" s="205">
        <v>-1963046</v>
      </c>
    </row>
    <row r="49" spans="1:20" ht="12.75">
      <c r="A49" s="169">
        <v>42</v>
      </c>
      <c r="B49" s="172" t="s">
        <v>788</v>
      </c>
      <c r="C49" s="258" t="s">
        <v>789</v>
      </c>
      <c r="D49" s="205">
        <v>0</v>
      </c>
      <c r="E49" s="205">
        <v>59289605</v>
      </c>
      <c r="F49" s="205">
        <v>0</v>
      </c>
      <c r="G49" s="205">
        <v>0</v>
      </c>
      <c r="H49" s="205">
        <v>0</v>
      </c>
      <c r="I49" s="205">
        <v>59289605</v>
      </c>
      <c r="J49" s="205">
        <v>3399979</v>
      </c>
      <c r="K49" s="205">
        <v>135524</v>
      </c>
      <c r="L49" s="205">
        <v>28394051</v>
      </c>
      <c r="M49" s="205">
        <v>567881</v>
      </c>
      <c r="N49" s="205">
        <v>27826169</v>
      </c>
      <c r="O49" s="205">
        <v>350658</v>
      </c>
      <c r="P49" s="205">
        <v>0</v>
      </c>
      <c r="Q49" s="205">
        <v>0</v>
      </c>
      <c r="R49" s="205">
        <v>60674262</v>
      </c>
      <c r="S49" s="205">
        <v>0</v>
      </c>
      <c r="T49" s="205">
        <v>-1384657</v>
      </c>
    </row>
    <row r="50" spans="1:20" ht="12.75">
      <c r="A50" s="169">
        <v>43</v>
      </c>
      <c r="B50" s="172" t="s">
        <v>790</v>
      </c>
      <c r="C50" s="258" t="s">
        <v>791</v>
      </c>
      <c r="D50" s="205">
        <v>0</v>
      </c>
      <c r="E50" s="205">
        <v>94442746</v>
      </c>
      <c r="F50" s="205">
        <v>0</v>
      </c>
      <c r="G50" s="205">
        <v>0</v>
      </c>
      <c r="H50" s="205">
        <v>0</v>
      </c>
      <c r="I50" s="205">
        <v>94442746</v>
      </c>
      <c r="J50" s="205">
        <v>3783237</v>
      </c>
      <c r="K50" s="205">
        <v>388227</v>
      </c>
      <c r="L50" s="205">
        <v>46636342</v>
      </c>
      <c r="M50" s="205">
        <v>9327269</v>
      </c>
      <c r="N50" s="205">
        <v>37309074</v>
      </c>
      <c r="O50" s="205">
        <v>227587</v>
      </c>
      <c r="P50" s="205">
        <v>0</v>
      </c>
      <c r="Q50" s="205">
        <v>0</v>
      </c>
      <c r="R50" s="205">
        <v>97671736</v>
      </c>
      <c r="S50" s="205">
        <v>0</v>
      </c>
      <c r="T50" s="205">
        <v>-3228990</v>
      </c>
    </row>
    <row r="51" spans="1:20" ht="12.75">
      <c r="A51" s="169">
        <v>44</v>
      </c>
      <c r="B51" s="172" t="s">
        <v>792</v>
      </c>
      <c r="C51" s="258" t="s">
        <v>793</v>
      </c>
      <c r="D51" s="205">
        <v>0</v>
      </c>
      <c r="E51" s="205">
        <v>510051247</v>
      </c>
      <c r="F51" s="205">
        <v>-2000000</v>
      </c>
      <c r="G51" s="205">
        <v>0</v>
      </c>
      <c r="H51" s="205">
        <v>0</v>
      </c>
      <c r="I51" s="205">
        <v>508051247</v>
      </c>
      <c r="J51" s="205">
        <v>24000000</v>
      </c>
      <c r="K51" s="205">
        <v>1700000</v>
      </c>
      <c r="L51" s="205">
        <v>245700977</v>
      </c>
      <c r="M51" s="205">
        <v>98280391</v>
      </c>
      <c r="N51" s="205">
        <v>147420586</v>
      </c>
      <c r="O51" s="205">
        <v>0</v>
      </c>
      <c r="P51" s="205">
        <v>0</v>
      </c>
      <c r="Q51" s="205">
        <v>0</v>
      </c>
      <c r="R51" s="205">
        <v>517101954</v>
      </c>
      <c r="S51" s="205">
        <v>0</v>
      </c>
      <c r="T51" s="205">
        <v>-9050707</v>
      </c>
    </row>
    <row r="52" spans="1:20" ht="12.75">
      <c r="A52" s="169">
        <v>45</v>
      </c>
      <c r="B52" s="172" t="s">
        <v>794</v>
      </c>
      <c r="C52" s="258" t="s">
        <v>795</v>
      </c>
      <c r="D52" s="205">
        <v>0</v>
      </c>
      <c r="E52" s="205">
        <v>35936000</v>
      </c>
      <c r="F52" s="205">
        <v>924430</v>
      </c>
      <c r="G52" s="205">
        <v>0</v>
      </c>
      <c r="H52" s="205">
        <v>0</v>
      </c>
      <c r="I52" s="205">
        <v>36860430</v>
      </c>
      <c r="J52" s="205">
        <v>2439965</v>
      </c>
      <c r="K52" s="205">
        <v>0</v>
      </c>
      <c r="L52" s="205">
        <v>16668564</v>
      </c>
      <c r="M52" s="205">
        <v>3333713</v>
      </c>
      <c r="N52" s="205">
        <v>13334851</v>
      </c>
      <c r="O52" s="205">
        <v>138250</v>
      </c>
      <c r="P52" s="205">
        <v>0</v>
      </c>
      <c r="Q52" s="205">
        <v>0</v>
      </c>
      <c r="R52" s="205">
        <v>35915343</v>
      </c>
      <c r="S52" s="205">
        <v>0</v>
      </c>
      <c r="T52" s="205">
        <v>945087</v>
      </c>
    </row>
    <row r="53" spans="1:20" ht="12.75">
      <c r="A53" s="169">
        <v>46</v>
      </c>
      <c r="B53" s="172" t="s">
        <v>796</v>
      </c>
      <c r="C53" s="258" t="s">
        <v>797</v>
      </c>
      <c r="D53" s="205">
        <v>0</v>
      </c>
      <c r="E53" s="205">
        <v>51820683</v>
      </c>
      <c r="F53" s="205">
        <v>113573</v>
      </c>
      <c r="G53" s="205">
        <v>0</v>
      </c>
      <c r="H53" s="205">
        <v>0</v>
      </c>
      <c r="I53" s="205">
        <v>51934256</v>
      </c>
      <c r="J53" s="205">
        <v>3248101</v>
      </c>
      <c r="K53" s="205">
        <v>0</v>
      </c>
      <c r="L53" s="205">
        <v>25058490</v>
      </c>
      <c r="M53" s="205">
        <v>5011698</v>
      </c>
      <c r="N53" s="205">
        <v>20046792</v>
      </c>
      <c r="O53" s="205">
        <v>0</v>
      </c>
      <c r="P53" s="205">
        <v>0</v>
      </c>
      <c r="Q53" s="205">
        <v>0</v>
      </c>
      <c r="R53" s="205">
        <v>53365081</v>
      </c>
      <c r="S53" s="205">
        <v>0</v>
      </c>
      <c r="T53" s="205">
        <v>-1430825</v>
      </c>
    </row>
    <row r="54" spans="1:20" ht="12.75">
      <c r="A54" s="169">
        <v>47</v>
      </c>
      <c r="B54" s="172" t="s">
        <v>798</v>
      </c>
      <c r="C54" s="258" t="s">
        <v>799</v>
      </c>
      <c r="D54" s="205">
        <v>0</v>
      </c>
      <c r="E54" s="205">
        <v>41931424</v>
      </c>
      <c r="F54" s="205">
        <v>0</v>
      </c>
      <c r="G54" s="205">
        <v>0</v>
      </c>
      <c r="H54" s="205">
        <v>0</v>
      </c>
      <c r="I54" s="205">
        <v>41931424</v>
      </c>
      <c r="J54" s="205">
        <v>3129210</v>
      </c>
      <c r="K54" s="205">
        <v>122569</v>
      </c>
      <c r="L54" s="205">
        <v>19456496</v>
      </c>
      <c r="M54" s="205">
        <v>3891299</v>
      </c>
      <c r="N54" s="205">
        <v>15565197</v>
      </c>
      <c r="O54" s="205">
        <v>180543</v>
      </c>
      <c r="P54" s="205">
        <v>0</v>
      </c>
      <c r="Q54" s="205">
        <v>0</v>
      </c>
      <c r="R54" s="205">
        <v>42345314</v>
      </c>
      <c r="S54" s="205">
        <v>0</v>
      </c>
      <c r="T54" s="205">
        <v>-413890</v>
      </c>
    </row>
    <row r="55" spans="1:20" ht="12.75">
      <c r="A55" s="169">
        <v>48</v>
      </c>
      <c r="B55" s="172" t="s">
        <v>800</v>
      </c>
      <c r="C55" s="258" t="s">
        <v>801</v>
      </c>
      <c r="D55" s="205">
        <v>0</v>
      </c>
      <c r="E55" s="205">
        <v>15196258</v>
      </c>
      <c r="F55" s="205">
        <v>164178</v>
      </c>
      <c r="G55" s="205">
        <v>0</v>
      </c>
      <c r="H55" s="205">
        <v>0</v>
      </c>
      <c r="I55" s="205">
        <v>15360436</v>
      </c>
      <c r="J55" s="205">
        <v>560307</v>
      </c>
      <c r="K55" s="205">
        <v>36404</v>
      </c>
      <c r="L55" s="205">
        <v>7409541</v>
      </c>
      <c r="M55" s="205">
        <v>1481908</v>
      </c>
      <c r="N55" s="205">
        <v>5927633</v>
      </c>
      <c r="O55" s="205">
        <v>81864</v>
      </c>
      <c r="P55" s="205">
        <v>0</v>
      </c>
      <c r="Q55" s="205">
        <v>0</v>
      </c>
      <c r="R55" s="205">
        <v>15497657</v>
      </c>
      <c r="S55" s="205">
        <v>176190</v>
      </c>
      <c r="T55" s="205">
        <v>38969</v>
      </c>
    </row>
    <row r="56" spans="1:20" ht="12.75">
      <c r="A56" s="169">
        <v>49</v>
      </c>
      <c r="B56" s="173" t="s">
        <v>802</v>
      </c>
      <c r="C56" s="259" t="s">
        <v>803</v>
      </c>
      <c r="D56" s="205">
        <v>0</v>
      </c>
      <c r="E56" s="205">
        <v>78219632</v>
      </c>
      <c r="F56" s="205">
        <v>341386</v>
      </c>
      <c r="G56" s="205">
        <v>0</v>
      </c>
      <c r="H56" s="205">
        <v>0</v>
      </c>
      <c r="I56" s="205">
        <v>78561018</v>
      </c>
      <c r="J56" s="205">
        <v>2822758</v>
      </c>
      <c r="K56" s="205">
        <v>81465</v>
      </c>
      <c r="L56" s="205">
        <v>38193332</v>
      </c>
      <c r="M56" s="205">
        <v>763867</v>
      </c>
      <c r="N56" s="205">
        <v>37429465</v>
      </c>
      <c r="O56" s="205">
        <v>315029</v>
      </c>
      <c r="P56" s="205">
        <v>0</v>
      </c>
      <c r="Q56" s="205">
        <v>0</v>
      </c>
      <c r="R56" s="205">
        <v>79605916</v>
      </c>
      <c r="S56" s="205">
        <v>0</v>
      </c>
      <c r="T56" s="205">
        <v>-1044898</v>
      </c>
    </row>
    <row r="57" spans="1:20" ht="12.75">
      <c r="A57" s="169">
        <v>50</v>
      </c>
      <c r="B57" s="172" t="s">
        <v>804</v>
      </c>
      <c r="C57" s="258" t="s">
        <v>805</v>
      </c>
      <c r="D57" s="205">
        <v>0</v>
      </c>
      <c r="E57" s="205">
        <v>42338307</v>
      </c>
      <c r="F57" s="205">
        <v>66915</v>
      </c>
      <c r="G57" s="205">
        <v>0</v>
      </c>
      <c r="H57" s="205">
        <v>0</v>
      </c>
      <c r="I57" s="205">
        <v>42405222</v>
      </c>
      <c r="J57" s="205">
        <v>1492658</v>
      </c>
      <c r="K57" s="205">
        <v>55250</v>
      </c>
      <c r="L57" s="205">
        <v>21677954</v>
      </c>
      <c r="M57" s="205">
        <v>4335591</v>
      </c>
      <c r="N57" s="205">
        <v>17342363</v>
      </c>
      <c r="O57" s="205">
        <v>194292</v>
      </c>
      <c r="P57" s="205">
        <v>127170</v>
      </c>
      <c r="Q57" s="205">
        <v>0</v>
      </c>
      <c r="R57" s="205">
        <v>45225278</v>
      </c>
      <c r="S57" s="205">
        <v>0</v>
      </c>
      <c r="T57" s="205">
        <v>-2820056</v>
      </c>
    </row>
    <row r="58" spans="1:20" ht="12.75">
      <c r="A58" s="169">
        <v>51</v>
      </c>
      <c r="B58" s="172" t="s">
        <v>806</v>
      </c>
      <c r="C58" s="258" t="s">
        <v>807</v>
      </c>
      <c r="D58" s="205">
        <v>0</v>
      </c>
      <c r="E58" s="205">
        <v>76783022</v>
      </c>
      <c r="F58" s="205">
        <v>-26674</v>
      </c>
      <c r="G58" s="205">
        <v>224329</v>
      </c>
      <c r="H58" s="205">
        <v>0</v>
      </c>
      <c r="I58" s="205">
        <v>76980677</v>
      </c>
      <c r="J58" s="205">
        <v>710233</v>
      </c>
      <c r="K58" s="205">
        <v>183378</v>
      </c>
      <c r="L58" s="205">
        <v>37906631</v>
      </c>
      <c r="M58" s="205">
        <v>7581326</v>
      </c>
      <c r="N58" s="205">
        <v>30325304</v>
      </c>
      <c r="O58" s="205">
        <v>224329</v>
      </c>
      <c r="P58" s="205">
        <v>0</v>
      </c>
      <c r="Q58" s="205">
        <v>0</v>
      </c>
      <c r="R58" s="205">
        <v>76931201</v>
      </c>
      <c r="S58" s="205">
        <v>0</v>
      </c>
      <c r="T58" s="205">
        <v>49476</v>
      </c>
    </row>
    <row r="59" spans="1:20" ht="12.75">
      <c r="A59" s="169">
        <v>52</v>
      </c>
      <c r="B59" s="172" t="s">
        <v>808</v>
      </c>
      <c r="C59" s="258" t="s">
        <v>809</v>
      </c>
      <c r="D59" s="205">
        <v>0</v>
      </c>
      <c r="E59" s="205">
        <v>53987260</v>
      </c>
      <c r="F59" s="205">
        <v>0</v>
      </c>
      <c r="G59" s="205">
        <v>0</v>
      </c>
      <c r="H59" s="205">
        <v>0</v>
      </c>
      <c r="I59" s="205">
        <v>53987260</v>
      </c>
      <c r="J59" s="205">
        <v>1770000</v>
      </c>
      <c r="K59" s="205">
        <v>126453</v>
      </c>
      <c r="L59" s="205">
        <v>25745364</v>
      </c>
      <c r="M59" s="205">
        <v>5149073</v>
      </c>
      <c r="N59" s="205">
        <v>20596291</v>
      </c>
      <c r="O59" s="205">
        <v>183813</v>
      </c>
      <c r="P59" s="205">
        <v>0</v>
      </c>
      <c r="Q59" s="205">
        <v>0</v>
      </c>
      <c r="R59" s="205">
        <v>53570994</v>
      </c>
      <c r="S59" s="205">
        <v>0</v>
      </c>
      <c r="T59" s="205">
        <v>416266</v>
      </c>
    </row>
    <row r="60" spans="1:20" ht="12.75">
      <c r="A60" s="169">
        <v>53</v>
      </c>
      <c r="B60" s="172" t="s">
        <v>810</v>
      </c>
      <c r="C60" s="258" t="s">
        <v>811</v>
      </c>
      <c r="D60" s="205">
        <v>0</v>
      </c>
      <c r="E60" s="205">
        <v>70397345</v>
      </c>
      <c r="F60" s="205">
        <v>106285</v>
      </c>
      <c r="G60" s="205">
        <v>-19536</v>
      </c>
      <c r="H60" s="205">
        <v>0</v>
      </c>
      <c r="I60" s="205">
        <v>70484094</v>
      </c>
      <c r="J60" s="205">
        <v>1797082</v>
      </c>
      <c r="K60" s="205">
        <v>23290</v>
      </c>
      <c r="L60" s="205">
        <v>33836830</v>
      </c>
      <c r="M60" s="205">
        <v>6767366</v>
      </c>
      <c r="N60" s="205">
        <v>27069464</v>
      </c>
      <c r="O60" s="205">
        <v>218671</v>
      </c>
      <c r="P60" s="205">
        <v>0</v>
      </c>
      <c r="Q60" s="205">
        <v>0</v>
      </c>
      <c r="R60" s="205">
        <v>69712703</v>
      </c>
      <c r="S60" s="205">
        <v>0</v>
      </c>
      <c r="T60" s="205">
        <v>771391</v>
      </c>
    </row>
    <row r="61" spans="1:20" ht="12.75">
      <c r="A61" s="169">
        <v>54</v>
      </c>
      <c r="B61" s="172" t="s">
        <v>812</v>
      </c>
      <c r="C61" s="258" t="s">
        <v>813</v>
      </c>
      <c r="D61" s="205">
        <v>0</v>
      </c>
      <c r="E61" s="205">
        <v>137597308</v>
      </c>
      <c r="F61" s="205">
        <v>0</v>
      </c>
      <c r="G61" s="205">
        <v>0</v>
      </c>
      <c r="H61" s="205">
        <v>0</v>
      </c>
      <c r="I61" s="205">
        <v>137597308</v>
      </c>
      <c r="J61" s="205">
        <v>4567067</v>
      </c>
      <c r="K61" s="205">
        <v>784786</v>
      </c>
      <c r="L61" s="205">
        <v>69508658</v>
      </c>
      <c r="M61" s="205">
        <v>1390173</v>
      </c>
      <c r="N61" s="205">
        <v>68118484</v>
      </c>
      <c r="O61" s="205">
        <v>562256</v>
      </c>
      <c r="P61" s="205">
        <v>0</v>
      </c>
      <c r="Q61" s="205">
        <v>0</v>
      </c>
      <c r="R61" s="205">
        <v>144931424</v>
      </c>
      <c r="S61" s="205">
        <v>0</v>
      </c>
      <c r="T61" s="205">
        <v>-7334116</v>
      </c>
    </row>
    <row r="62" spans="1:20" ht="12.75">
      <c r="A62" s="169">
        <v>55</v>
      </c>
      <c r="B62" s="172" t="s">
        <v>814</v>
      </c>
      <c r="C62" s="258" t="s">
        <v>815</v>
      </c>
      <c r="D62" s="205">
        <v>0</v>
      </c>
      <c r="E62" s="205">
        <v>158626775</v>
      </c>
      <c r="F62" s="205">
        <v>166462</v>
      </c>
      <c r="G62" s="205">
        <v>0</v>
      </c>
      <c r="H62" s="205">
        <v>0</v>
      </c>
      <c r="I62" s="205">
        <v>158793237</v>
      </c>
      <c r="J62" s="205">
        <v>15389922</v>
      </c>
      <c r="K62" s="205">
        <v>1580237</v>
      </c>
      <c r="L62" s="205">
        <v>74963414</v>
      </c>
      <c r="M62" s="205">
        <v>1499268</v>
      </c>
      <c r="N62" s="205">
        <v>73464146</v>
      </c>
      <c r="O62" s="205">
        <v>504181</v>
      </c>
      <c r="P62" s="205">
        <v>0</v>
      </c>
      <c r="Q62" s="205">
        <v>0</v>
      </c>
      <c r="R62" s="205">
        <v>167401168</v>
      </c>
      <c r="S62" s="205">
        <v>5280578</v>
      </c>
      <c r="T62" s="205">
        <v>-3327353</v>
      </c>
    </row>
    <row r="63" spans="1:20" ht="12.75">
      <c r="A63" s="169">
        <v>56</v>
      </c>
      <c r="B63" s="172" t="s">
        <v>816</v>
      </c>
      <c r="C63" s="258" t="s">
        <v>817</v>
      </c>
      <c r="D63" s="205">
        <v>0</v>
      </c>
      <c r="E63" s="205">
        <v>36840982</v>
      </c>
      <c r="F63" s="205">
        <v>189216</v>
      </c>
      <c r="G63" s="205">
        <v>0</v>
      </c>
      <c r="H63" s="205">
        <v>0</v>
      </c>
      <c r="I63" s="205">
        <v>37030198</v>
      </c>
      <c r="J63" s="205">
        <v>2219086</v>
      </c>
      <c r="K63" s="205">
        <v>189216</v>
      </c>
      <c r="L63" s="205">
        <v>17170636</v>
      </c>
      <c r="M63" s="205">
        <v>3434127</v>
      </c>
      <c r="N63" s="205">
        <v>13736508</v>
      </c>
      <c r="O63" s="205">
        <v>165425</v>
      </c>
      <c r="P63" s="205">
        <v>0</v>
      </c>
      <c r="Q63" s="205">
        <v>0</v>
      </c>
      <c r="R63" s="205">
        <v>36914998</v>
      </c>
      <c r="S63" s="205">
        <v>0</v>
      </c>
      <c r="T63" s="205">
        <v>115200</v>
      </c>
    </row>
    <row r="64" spans="1:20" ht="12.75">
      <c r="A64" s="169">
        <v>57</v>
      </c>
      <c r="B64" s="172" t="s">
        <v>818</v>
      </c>
      <c r="C64" s="258" t="s">
        <v>819</v>
      </c>
      <c r="D64" s="205">
        <v>0</v>
      </c>
      <c r="E64" s="205">
        <v>44368081</v>
      </c>
      <c r="F64" s="205">
        <v>0</v>
      </c>
      <c r="G64" s="205">
        <v>0</v>
      </c>
      <c r="H64" s="205">
        <v>0</v>
      </c>
      <c r="I64" s="205">
        <v>44368081</v>
      </c>
      <c r="J64" s="205">
        <v>2603838</v>
      </c>
      <c r="K64" s="205">
        <v>82230</v>
      </c>
      <c r="L64" s="205">
        <v>20784512</v>
      </c>
      <c r="M64" s="205">
        <v>4156902</v>
      </c>
      <c r="N64" s="205">
        <v>16627610</v>
      </c>
      <c r="O64" s="205">
        <v>191836</v>
      </c>
      <c r="P64" s="205">
        <v>0</v>
      </c>
      <c r="Q64" s="205">
        <v>0</v>
      </c>
      <c r="R64" s="205">
        <v>44446928</v>
      </c>
      <c r="S64" s="205">
        <v>0</v>
      </c>
      <c r="T64" s="205">
        <v>-78847</v>
      </c>
    </row>
    <row r="65" spans="1:20" ht="12.75">
      <c r="A65" s="169">
        <v>58</v>
      </c>
      <c r="B65" s="172" t="s">
        <v>820</v>
      </c>
      <c r="C65" s="258" t="s">
        <v>821</v>
      </c>
      <c r="D65" s="205">
        <v>0</v>
      </c>
      <c r="E65" s="205">
        <v>21142398</v>
      </c>
      <c r="F65" s="205">
        <v>115000</v>
      </c>
      <c r="G65" s="205">
        <v>0</v>
      </c>
      <c r="H65" s="205">
        <v>0</v>
      </c>
      <c r="I65" s="205">
        <v>21257398</v>
      </c>
      <c r="J65" s="205">
        <v>1193238</v>
      </c>
      <c r="K65" s="205">
        <v>0</v>
      </c>
      <c r="L65" s="205">
        <v>10332630</v>
      </c>
      <c r="M65" s="205">
        <v>2066526</v>
      </c>
      <c r="N65" s="205">
        <v>8266104</v>
      </c>
      <c r="O65" s="205">
        <v>117534</v>
      </c>
      <c r="P65" s="205">
        <v>0</v>
      </c>
      <c r="Q65" s="205">
        <v>0</v>
      </c>
      <c r="R65" s="205">
        <v>21976032</v>
      </c>
      <c r="S65" s="205">
        <v>0</v>
      </c>
      <c r="T65" s="205">
        <v>-718634</v>
      </c>
    </row>
    <row r="66" spans="1:20" ht="12.75">
      <c r="A66" s="169">
        <v>59</v>
      </c>
      <c r="B66" s="172" t="s">
        <v>822</v>
      </c>
      <c r="C66" s="258" t="s">
        <v>823</v>
      </c>
      <c r="D66" s="205">
        <v>0</v>
      </c>
      <c r="E66" s="205">
        <v>27865976</v>
      </c>
      <c r="F66" s="205">
        <v>51770</v>
      </c>
      <c r="G66" s="205">
        <v>0</v>
      </c>
      <c r="H66" s="205">
        <v>0</v>
      </c>
      <c r="I66" s="205">
        <v>27917746</v>
      </c>
      <c r="J66" s="205">
        <v>1921990</v>
      </c>
      <c r="K66" s="205">
        <v>0</v>
      </c>
      <c r="L66" s="205">
        <v>13013512</v>
      </c>
      <c r="M66" s="205">
        <v>2602702</v>
      </c>
      <c r="N66" s="205">
        <v>10410810</v>
      </c>
      <c r="O66" s="205">
        <v>133847</v>
      </c>
      <c r="P66" s="205">
        <v>0</v>
      </c>
      <c r="Q66" s="205">
        <v>0</v>
      </c>
      <c r="R66" s="205">
        <v>28082861</v>
      </c>
      <c r="S66" s="205">
        <v>0</v>
      </c>
      <c r="T66" s="205">
        <v>-165115</v>
      </c>
    </row>
    <row r="67" spans="1:20" ht="12.75">
      <c r="A67" s="169">
        <v>60</v>
      </c>
      <c r="B67" s="172" t="s">
        <v>824</v>
      </c>
      <c r="C67" s="258" t="s">
        <v>825</v>
      </c>
      <c r="D67" s="205">
        <v>0</v>
      </c>
      <c r="E67" s="205">
        <v>17213581</v>
      </c>
      <c r="F67" s="205">
        <v>0</v>
      </c>
      <c r="G67" s="205">
        <v>0</v>
      </c>
      <c r="H67" s="205">
        <v>0</v>
      </c>
      <c r="I67" s="205">
        <v>17213581</v>
      </c>
      <c r="J67" s="205">
        <v>1284210</v>
      </c>
      <c r="K67" s="205">
        <v>15890</v>
      </c>
      <c r="L67" s="205">
        <v>8782432</v>
      </c>
      <c r="M67" s="205">
        <v>1756487</v>
      </c>
      <c r="N67" s="205">
        <v>7025945</v>
      </c>
      <c r="O67" s="205">
        <v>75628</v>
      </c>
      <c r="P67" s="205">
        <v>0</v>
      </c>
      <c r="Q67" s="205">
        <v>0</v>
      </c>
      <c r="R67" s="205">
        <v>18940592</v>
      </c>
      <c r="S67" s="205">
        <v>0</v>
      </c>
      <c r="T67" s="205">
        <v>-1727011</v>
      </c>
    </row>
    <row r="68" spans="1:20" ht="12.75">
      <c r="A68" s="169">
        <v>61</v>
      </c>
      <c r="B68" s="172" t="s">
        <v>826</v>
      </c>
      <c r="C68" s="258" t="s">
        <v>0</v>
      </c>
      <c r="D68" s="205">
        <v>0</v>
      </c>
      <c r="E68" s="205">
        <v>814249767</v>
      </c>
      <c r="F68" s="205">
        <v>371347</v>
      </c>
      <c r="G68" s="205">
        <v>1663453</v>
      </c>
      <c r="H68" s="205">
        <v>0</v>
      </c>
      <c r="I68" s="205">
        <v>816284567</v>
      </c>
      <c r="J68" s="205">
        <v>86941746</v>
      </c>
      <c r="K68" s="205">
        <v>131096</v>
      </c>
      <c r="L68" s="205">
        <v>358358465</v>
      </c>
      <c r="M68" s="205">
        <v>143343386</v>
      </c>
      <c r="N68" s="205">
        <v>215015079</v>
      </c>
      <c r="O68" s="205">
        <v>12201453</v>
      </c>
      <c r="P68" s="205">
        <v>0</v>
      </c>
      <c r="Q68" s="205">
        <v>0</v>
      </c>
      <c r="R68" s="205">
        <v>815991225</v>
      </c>
      <c r="S68" s="205">
        <v>0</v>
      </c>
      <c r="T68" s="205">
        <v>293342</v>
      </c>
    </row>
    <row r="69" spans="1:20" ht="12.75">
      <c r="A69" s="169">
        <v>62</v>
      </c>
      <c r="B69" s="172" t="s">
        <v>1</v>
      </c>
      <c r="C69" s="258" t="s">
        <v>2</v>
      </c>
      <c r="D69" s="205">
        <v>0</v>
      </c>
      <c r="E69" s="205">
        <v>60317660</v>
      </c>
      <c r="F69" s="205">
        <v>160113</v>
      </c>
      <c r="G69" s="205">
        <v>240916</v>
      </c>
      <c r="H69" s="205">
        <v>0</v>
      </c>
      <c r="I69" s="205">
        <v>60718689</v>
      </c>
      <c r="J69" s="205">
        <v>3248679</v>
      </c>
      <c r="K69" s="205">
        <v>113905</v>
      </c>
      <c r="L69" s="205">
        <v>28781637</v>
      </c>
      <c r="M69" s="205">
        <v>5756328</v>
      </c>
      <c r="N69" s="205">
        <v>23025310</v>
      </c>
      <c r="O69" s="205">
        <v>0</v>
      </c>
      <c r="P69" s="205">
        <v>0</v>
      </c>
      <c r="Q69" s="205">
        <v>0</v>
      </c>
      <c r="R69" s="205">
        <v>60925859</v>
      </c>
      <c r="S69" s="205">
        <v>0</v>
      </c>
      <c r="T69" s="205">
        <v>-207170</v>
      </c>
    </row>
    <row r="70" spans="1:20" ht="12.75">
      <c r="A70" s="169">
        <v>63</v>
      </c>
      <c r="B70" s="172" t="s">
        <v>3</v>
      </c>
      <c r="C70" s="258" t="s">
        <v>4</v>
      </c>
      <c r="D70" s="205">
        <v>0</v>
      </c>
      <c r="E70" s="205">
        <v>42456455</v>
      </c>
      <c r="F70" s="205">
        <v>0</v>
      </c>
      <c r="G70" s="205">
        <v>0</v>
      </c>
      <c r="H70" s="205">
        <v>0</v>
      </c>
      <c r="I70" s="205">
        <v>42456455</v>
      </c>
      <c r="J70" s="205">
        <v>12810861</v>
      </c>
      <c r="K70" s="205">
        <v>20724</v>
      </c>
      <c r="L70" s="205">
        <v>16882415</v>
      </c>
      <c r="M70" s="205">
        <v>3376483</v>
      </c>
      <c r="N70" s="205">
        <v>13505932</v>
      </c>
      <c r="O70" s="205">
        <v>113008</v>
      </c>
      <c r="P70" s="205">
        <v>358</v>
      </c>
      <c r="Q70" s="205">
        <v>0</v>
      </c>
      <c r="R70" s="205">
        <v>46709781</v>
      </c>
      <c r="S70" s="205">
        <v>0</v>
      </c>
      <c r="T70" s="205">
        <v>-4253326</v>
      </c>
    </row>
    <row r="71" spans="1:20" ht="12.75">
      <c r="A71" s="169">
        <v>64</v>
      </c>
      <c r="B71" s="172" t="s">
        <v>5</v>
      </c>
      <c r="C71" s="258" t="s">
        <v>6</v>
      </c>
      <c r="D71" s="205">
        <v>0</v>
      </c>
      <c r="E71" s="205">
        <v>34347673</v>
      </c>
      <c r="F71" s="205">
        <v>1864</v>
      </c>
      <c r="G71" s="205">
        <v>0</v>
      </c>
      <c r="H71" s="205">
        <v>0</v>
      </c>
      <c r="I71" s="205">
        <v>34349537</v>
      </c>
      <c r="J71" s="205">
        <v>909613</v>
      </c>
      <c r="K71" s="205">
        <v>525588</v>
      </c>
      <c r="L71" s="205">
        <v>16878627</v>
      </c>
      <c r="M71" s="205">
        <v>3375725</v>
      </c>
      <c r="N71" s="205">
        <v>13502902</v>
      </c>
      <c r="O71" s="205">
        <v>86849</v>
      </c>
      <c r="P71" s="205">
        <v>0</v>
      </c>
      <c r="Q71" s="205">
        <v>0</v>
      </c>
      <c r="R71" s="205">
        <v>35279304</v>
      </c>
      <c r="S71" s="205">
        <v>0</v>
      </c>
      <c r="T71" s="205">
        <v>-929767</v>
      </c>
    </row>
    <row r="72" spans="1:20" ht="12.75">
      <c r="A72" s="169">
        <v>65</v>
      </c>
      <c r="B72" s="172" t="s">
        <v>7</v>
      </c>
      <c r="C72" s="258" t="s">
        <v>8</v>
      </c>
      <c r="D72" s="205">
        <v>0</v>
      </c>
      <c r="E72" s="205">
        <v>151325609</v>
      </c>
      <c r="F72" s="205">
        <v>1478530</v>
      </c>
      <c r="G72" s="205">
        <v>0</v>
      </c>
      <c r="H72" s="205">
        <v>0</v>
      </c>
      <c r="I72" s="205">
        <v>152804139</v>
      </c>
      <c r="J72" s="205">
        <v>10214943</v>
      </c>
      <c r="K72" s="205">
        <v>295525</v>
      </c>
      <c r="L72" s="205">
        <v>76935957</v>
      </c>
      <c r="M72" s="205">
        <v>0</v>
      </c>
      <c r="N72" s="205">
        <v>77050305</v>
      </c>
      <c r="O72" s="205">
        <v>1215864</v>
      </c>
      <c r="P72" s="205">
        <v>43534</v>
      </c>
      <c r="Q72" s="205">
        <v>0</v>
      </c>
      <c r="R72" s="205">
        <v>165756128</v>
      </c>
      <c r="S72" s="205">
        <v>0</v>
      </c>
      <c r="T72" s="205">
        <v>-12951989</v>
      </c>
    </row>
    <row r="73" spans="1:20" ht="12.75">
      <c r="A73" s="169">
        <v>66</v>
      </c>
      <c r="B73" s="172" t="s">
        <v>9</v>
      </c>
      <c r="C73" s="258" t="s">
        <v>10</v>
      </c>
      <c r="D73" s="205">
        <v>0</v>
      </c>
      <c r="E73" s="205">
        <v>28333184</v>
      </c>
      <c r="F73" s="205">
        <v>235945</v>
      </c>
      <c r="G73" s="205">
        <v>0</v>
      </c>
      <c r="H73" s="205">
        <v>0</v>
      </c>
      <c r="I73" s="205">
        <v>28569129</v>
      </c>
      <c r="J73" s="205">
        <v>1467051</v>
      </c>
      <c r="K73" s="205">
        <v>32481</v>
      </c>
      <c r="L73" s="205">
        <v>14356096</v>
      </c>
      <c r="M73" s="205">
        <v>2871219</v>
      </c>
      <c r="N73" s="205">
        <v>11484876</v>
      </c>
      <c r="O73" s="205">
        <v>179896</v>
      </c>
      <c r="P73" s="205">
        <v>0</v>
      </c>
      <c r="Q73" s="205">
        <v>0</v>
      </c>
      <c r="R73" s="205">
        <v>30391619</v>
      </c>
      <c r="S73" s="205">
        <v>0</v>
      </c>
      <c r="T73" s="205">
        <v>-1822490</v>
      </c>
    </row>
    <row r="74" spans="1:20" ht="12.75">
      <c r="A74" s="169">
        <v>67</v>
      </c>
      <c r="B74" s="172" t="s">
        <v>11</v>
      </c>
      <c r="C74" s="258" t="s">
        <v>12</v>
      </c>
      <c r="D74" s="205">
        <v>0</v>
      </c>
      <c r="E74" s="205">
        <v>118003656</v>
      </c>
      <c r="F74" s="205">
        <v>-82328</v>
      </c>
      <c r="G74" s="205">
        <v>0</v>
      </c>
      <c r="H74" s="205">
        <v>0</v>
      </c>
      <c r="I74" s="205">
        <v>117921328</v>
      </c>
      <c r="J74" s="205">
        <v>12940396</v>
      </c>
      <c r="K74" s="205">
        <v>366231</v>
      </c>
      <c r="L74" s="205">
        <v>54138847</v>
      </c>
      <c r="M74" s="205">
        <v>1082777</v>
      </c>
      <c r="N74" s="205">
        <v>53056070</v>
      </c>
      <c r="O74" s="205">
        <v>379768</v>
      </c>
      <c r="P74" s="205">
        <v>0</v>
      </c>
      <c r="Q74" s="205">
        <v>0</v>
      </c>
      <c r="R74" s="205">
        <v>121964089</v>
      </c>
      <c r="S74" s="205">
        <v>4258004</v>
      </c>
      <c r="T74" s="205">
        <v>215243</v>
      </c>
    </row>
    <row r="75" spans="1:20" ht="12.75">
      <c r="A75" s="169">
        <v>68</v>
      </c>
      <c r="B75" s="172" t="s">
        <v>13</v>
      </c>
      <c r="C75" s="258" t="s">
        <v>14</v>
      </c>
      <c r="D75" s="205">
        <v>0</v>
      </c>
      <c r="E75" s="205">
        <v>19531360</v>
      </c>
      <c r="F75" s="205">
        <v>0</v>
      </c>
      <c r="G75" s="205">
        <v>0</v>
      </c>
      <c r="H75" s="205">
        <v>0</v>
      </c>
      <c r="I75" s="205">
        <v>19531360</v>
      </c>
      <c r="J75" s="205">
        <v>760921</v>
      </c>
      <c r="K75" s="205">
        <v>47768</v>
      </c>
      <c r="L75" s="205">
        <v>9361336</v>
      </c>
      <c r="M75" s="205">
        <v>1872267</v>
      </c>
      <c r="N75" s="205">
        <v>7489068</v>
      </c>
      <c r="O75" s="205">
        <v>0</v>
      </c>
      <c r="P75" s="205">
        <v>0</v>
      </c>
      <c r="Q75" s="205">
        <v>0</v>
      </c>
      <c r="R75" s="205">
        <v>19531360</v>
      </c>
      <c r="S75" s="205">
        <v>0</v>
      </c>
      <c r="T75" s="205">
        <v>0</v>
      </c>
    </row>
    <row r="76" spans="1:20" ht="12.75">
      <c r="A76" s="169">
        <v>69</v>
      </c>
      <c r="B76" s="172" t="s">
        <v>15</v>
      </c>
      <c r="C76" s="258" t="s">
        <v>16</v>
      </c>
      <c r="D76" s="205">
        <v>0</v>
      </c>
      <c r="E76" s="205">
        <v>114348092</v>
      </c>
      <c r="F76" s="205">
        <v>111856</v>
      </c>
      <c r="G76" s="205">
        <v>0</v>
      </c>
      <c r="H76" s="205">
        <v>0</v>
      </c>
      <c r="I76" s="205">
        <v>114459948</v>
      </c>
      <c r="J76" s="205">
        <v>13770142</v>
      </c>
      <c r="K76" s="205">
        <v>-368025</v>
      </c>
      <c r="L76" s="205">
        <v>52522663</v>
      </c>
      <c r="M76" s="205">
        <v>10504533</v>
      </c>
      <c r="N76" s="205">
        <v>42018130</v>
      </c>
      <c r="O76" s="205">
        <v>215934</v>
      </c>
      <c r="P76" s="205">
        <v>0</v>
      </c>
      <c r="Q76" s="205">
        <v>0</v>
      </c>
      <c r="R76" s="205">
        <v>118663377</v>
      </c>
      <c r="S76" s="205">
        <v>0</v>
      </c>
      <c r="T76" s="205">
        <v>-4203429</v>
      </c>
    </row>
    <row r="77" spans="1:20" ht="12.75">
      <c r="A77" s="169">
        <v>70</v>
      </c>
      <c r="B77" s="172" t="s">
        <v>17</v>
      </c>
      <c r="C77" s="258" t="s">
        <v>18</v>
      </c>
      <c r="D77" s="205">
        <v>0</v>
      </c>
      <c r="E77" s="205">
        <v>115677172</v>
      </c>
      <c r="F77" s="205">
        <v>0</v>
      </c>
      <c r="G77" s="205">
        <v>0</v>
      </c>
      <c r="H77" s="205">
        <v>0</v>
      </c>
      <c r="I77" s="205">
        <v>115677172</v>
      </c>
      <c r="J77" s="205">
        <v>4337000</v>
      </c>
      <c r="K77" s="205">
        <v>0</v>
      </c>
      <c r="L77" s="205">
        <v>55286000</v>
      </c>
      <c r="M77" s="205">
        <v>22114000</v>
      </c>
      <c r="N77" s="205">
        <v>33172000</v>
      </c>
      <c r="O77" s="205">
        <v>435172</v>
      </c>
      <c r="P77" s="205">
        <v>0</v>
      </c>
      <c r="Q77" s="205">
        <v>0</v>
      </c>
      <c r="R77" s="205">
        <v>115344172</v>
      </c>
      <c r="S77" s="205">
        <v>0</v>
      </c>
      <c r="T77" s="205">
        <v>333000</v>
      </c>
    </row>
    <row r="78" spans="1:20" ht="12.75">
      <c r="A78" s="169">
        <v>71</v>
      </c>
      <c r="B78" s="172" t="s">
        <v>19</v>
      </c>
      <c r="C78" s="258" t="s">
        <v>37</v>
      </c>
      <c r="D78" s="205">
        <v>0</v>
      </c>
      <c r="E78" s="205">
        <v>61502465</v>
      </c>
      <c r="F78" s="205">
        <v>1201446</v>
      </c>
      <c r="G78" s="205">
        <v>0</v>
      </c>
      <c r="H78" s="205">
        <v>0</v>
      </c>
      <c r="I78" s="205">
        <v>62703911</v>
      </c>
      <c r="J78" s="205">
        <v>8758000</v>
      </c>
      <c r="K78" s="205">
        <v>2430</v>
      </c>
      <c r="L78" s="205">
        <v>30631350</v>
      </c>
      <c r="M78" s="205">
        <v>6126270</v>
      </c>
      <c r="N78" s="205">
        <v>24505080</v>
      </c>
      <c r="O78" s="205">
        <v>0</v>
      </c>
      <c r="P78" s="205">
        <v>0</v>
      </c>
      <c r="Q78" s="205">
        <v>0</v>
      </c>
      <c r="R78" s="205">
        <v>70023130</v>
      </c>
      <c r="S78" s="205">
        <v>0</v>
      </c>
      <c r="T78" s="205">
        <v>-7319219</v>
      </c>
    </row>
    <row r="79" spans="1:20" ht="12.75">
      <c r="A79" s="169">
        <v>72</v>
      </c>
      <c r="B79" s="172" t="s">
        <v>38</v>
      </c>
      <c r="C79" s="258" t="s">
        <v>39</v>
      </c>
      <c r="D79" s="205">
        <v>0</v>
      </c>
      <c r="E79" s="205">
        <v>33463073</v>
      </c>
      <c r="F79" s="205">
        <v>170092</v>
      </c>
      <c r="G79" s="205">
        <v>0</v>
      </c>
      <c r="H79" s="205">
        <v>0</v>
      </c>
      <c r="I79" s="205">
        <v>33633165</v>
      </c>
      <c r="J79" s="205">
        <v>2004652</v>
      </c>
      <c r="K79" s="205">
        <v>49846</v>
      </c>
      <c r="L79" s="205">
        <v>16565702</v>
      </c>
      <c r="M79" s="205">
        <v>331314</v>
      </c>
      <c r="N79" s="205">
        <v>16234388</v>
      </c>
      <c r="O79" s="205">
        <v>148432</v>
      </c>
      <c r="P79" s="205">
        <v>0</v>
      </c>
      <c r="Q79" s="205">
        <v>0</v>
      </c>
      <c r="R79" s="205">
        <v>35334334</v>
      </c>
      <c r="S79" s="205">
        <v>0</v>
      </c>
      <c r="T79" s="205">
        <v>-1701169</v>
      </c>
    </row>
    <row r="80" spans="1:20" ht="12.75">
      <c r="A80" s="169">
        <v>73</v>
      </c>
      <c r="B80" s="172" t="s">
        <v>40</v>
      </c>
      <c r="C80" s="258" t="s">
        <v>41</v>
      </c>
      <c r="D80" s="205">
        <v>0</v>
      </c>
      <c r="E80" s="205">
        <v>84700000</v>
      </c>
      <c r="F80" s="205">
        <v>100000</v>
      </c>
      <c r="G80" s="205">
        <v>0</v>
      </c>
      <c r="H80" s="205">
        <v>0</v>
      </c>
      <c r="I80" s="205">
        <v>84800000</v>
      </c>
      <c r="J80" s="205">
        <v>10500000</v>
      </c>
      <c r="K80" s="205">
        <v>0</v>
      </c>
      <c r="L80" s="205">
        <v>39128851</v>
      </c>
      <c r="M80" s="205">
        <v>7825770</v>
      </c>
      <c r="N80" s="205">
        <v>31303081</v>
      </c>
      <c r="O80" s="205">
        <v>0</v>
      </c>
      <c r="P80" s="205">
        <v>0</v>
      </c>
      <c r="Q80" s="205">
        <v>0</v>
      </c>
      <c r="R80" s="205">
        <v>88757702</v>
      </c>
      <c r="S80" s="205">
        <v>0</v>
      </c>
      <c r="T80" s="205">
        <v>-3957702</v>
      </c>
    </row>
    <row r="81" spans="1:20" ht="12.75">
      <c r="A81" s="169">
        <v>74</v>
      </c>
      <c r="B81" s="172" t="s">
        <v>42</v>
      </c>
      <c r="C81" s="258" t="s">
        <v>43</v>
      </c>
      <c r="D81" s="205">
        <v>0</v>
      </c>
      <c r="E81" s="205">
        <v>38523424</v>
      </c>
      <c r="F81" s="205">
        <v>48457</v>
      </c>
      <c r="G81" s="205">
        <v>-140</v>
      </c>
      <c r="H81" s="205">
        <v>0</v>
      </c>
      <c r="I81" s="205">
        <v>38571741</v>
      </c>
      <c r="J81" s="205">
        <v>1900171</v>
      </c>
      <c r="K81" s="205">
        <v>425668</v>
      </c>
      <c r="L81" s="205">
        <v>19017378</v>
      </c>
      <c r="M81" s="205">
        <v>3803476</v>
      </c>
      <c r="N81" s="205">
        <v>15213902</v>
      </c>
      <c r="O81" s="205">
        <v>116811</v>
      </c>
      <c r="P81" s="205">
        <v>0</v>
      </c>
      <c r="Q81" s="205">
        <v>0</v>
      </c>
      <c r="R81" s="205">
        <v>40477406</v>
      </c>
      <c r="S81" s="205">
        <v>817060</v>
      </c>
      <c r="T81" s="205">
        <v>-1088605</v>
      </c>
    </row>
    <row r="82" spans="1:20" ht="12.75">
      <c r="A82" s="169">
        <v>75</v>
      </c>
      <c r="B82" s="172" t="s">
        <v>44</v>
      </c>
      <c r="C82" s="258" t="s">
        <v>45</v>
      </c>
      <c r="D82" s="205">
        <v>0</v>
      </c>
      <c r="E82" s="205">
        <v>86409033</v>
      </c>
      <c r="F82" s="205">
        <v>74926</v>
      </c>
      <c r="G82" s="205">
        <v>0</v>
      </c>
      <c r="H82" s="205">
        <v>0</v>
      </c>
      <c r="I82" s="205">
        <v>86483959</v>
      </c>
      <c r="J82" s="205">
        <v>13119103</v>
      </c>
      <c r="K82" s="205">
        <v>459177</v>
      </c>
      <c r="L82" s="205">
        <v>38539127</v>
      </c>
      <c r="M82" s="205">
        <v>770783</v>
      </c>
      <c r="N82" s="205">
        <v>37768344</v>
      </c>
      <c r="O82" s="205">
        <v>0</v>
      </c>
      <c r="P82" s="205">
        <v>0</v>
      </c>
      <c r="Q82" s="205">
        <v>0</v>
      </c>
      <c r="R82" s="205">
        <v>90656534</v>
      </c>
      <c r="S82" s="205">
        <v>0</v>
      </c>
      <c r="T82" s="205">
        <v>-4172575</v>
      </c>
    </row>
    <row r="83" spans="1:20" ht="12.75">
      <c r="A83" s="169">
        <v>76</v>
      </c>
      <c r="B83" s="172" t="s">
        <v>46</v>
      </c>
      <c r="C83" s="258" t="s">
        <v>47</v>
      </c>
      <c r="D83" s="205">
        <v>0</v>
      </c>
      <c r="E83" s="205">
        <v>17069097</v>
      </c>
      <c r="F83" s="205">
        <v>76496</v>
      </c>
      <c r="G83" s="205">
        <v>0</v>
      </c>
      <c r="H83" s="205">
        <v>0</v>
      </c>
      <c r="I83" s="205">
        <v>17145593</v>
      </c>
      <c r="J83" s="205">
        <v>820000</v>
      </c>
      <c r="K83" s="205">
        <v>0</v>
      </c>
      <c r="L83" s="205">
        <v>8264408</v>
      </c>
      <c r="M83" s="205">
        <v>1652881</v>
      </c>
      <c r="N83" s="205">
        <v>6611526</v>
      </c>
      <c r="O83" s="205">
        <v>146324</v>
      </c>
      <c r="P83" s="205">
        <v>0</v>
      </c>
      <c r="Q83" s="205">
        <v>0</v>
      </c>
      <c r="R83" s="205">
        <v>17495139</v>
      </c>
      <c r="S83" s="205">
        <v>0</v>
      </c>
      <c r="T83" s="205">
        <v>-349546</v>
      </c>
    </row>
    <row r="84" spans="1:20" ht="12.75">
      <c r="A84" s="169">
        <v>77</v>
      </c>
      <c r="B84" s="172" t="s">
        <v>48</v>
      </c>
      <c r="C84" s="258" t="s">
        <v>49</v>
      </c>
      <c r="D84" s="205">
        <v>0</v>
      </c>
      <c r="E84" s="205">
        <v>92164949</v>
      </c>
      <c r="F84" s="205">
        <v>0</v>
      </c>
      <c r="G84" s="205">
        <v>0</v>
      </c>
      <c r="H84" s="205">
        <v>0</v>
      </c>
      <c r="I84" s="205">
        <v>92164949</v>
      </c>
      <c r="J84" s="205">
        <v>7468590</v>
      </c>
      <c r="K84" s="205">
        <v>72064</v>
      </c>
      <c r="L84" s="205">
        <v>42994672</v>
      </c>
      <c r="M84" s="205">
        <v>859893</v>
      </c>
      <c r="N84" s="205">
        <v>42134778</v>
      </c>
      <c r="O84" s="205">
        <v>367877</v>
      </c>
      <c r="P84" s="205">
        <v>1383555</v>
      </c>
      <c r="Q84" s="205">
        <v>0</v>
      </c>
      <c r="R84" s="205">
        <v>95281429</v>
      </c>
      <c r="S84" s="205">
        <v>0</v>
      </c>
      <c r="T84" s="205">
        <v>-3116480</v>
      </c>
    </row>
    <row r="85" spans="1:20" ht="12.75">
      <c r="A85" s="169">
        <v>78</v>
      </c>
      <c r="B85" s="172" t="s">
        <v>63</v>
      </c>
      <c r="C85" s="258" t="s">
        <v>64</v>
      </c>
      <c r="D85" s="205">
        <v>0</v>
      </c>
      <c r="E85" s="205">
        <v>33878000</v>
      </c>
      <c r="F85" s="205">
        <v>0</v>
      </c>
      <c r="G85" s="205">
        <v>401500</v>
      </c>
      <c r="H85" s="205">
        <v>0</v>
      </c>
      <c r="I85" s="205">
        <v>34279500</v>
      </c>
      <c r="J85" s="205">
        <v>3995000</v>
      </c>
      <c r="K85" s="205">
        <v>742433</v>
      </c>
      <c r="L85" s="205">
        <v>14537348</v>
      </c>
      <c r="M85" s="205">
        <v>2907470</v>
      </c>
      <c r="N85" s="205">
        <v>11629878</v>
      </c>
      <c r="O85" s="205">
        <v>189236</v>
      </c>
      <c r="P85" s="205">
        <v>366350</v>
      </c>
      <c r="Q85" s="205">
        <v>0</v>
      </c>
      <c r="R85" s="205">
        <v>34367715</v>
      </c>
      <c r="S85" s="205">
        <v>0</v>
      </c>
      <c r="T85" s="205">
        <v>-88215</v>
      </c>
    </row>
    <row r="86" spans="1:20" ht="12.75">
      <c r="A86" s="169">
        <v>79</v>
      </c>
      <c r="B86" s="172" t="s">
        <v>65</v>
      </c>
      <c r="C86" s="258" t="s">
        <v>66</v>
      </c>
      <c r="D86" s="205">
        <v>0</v>
      </c>
      <c r="E86" s="205">
        <v>98238451</v>
      </c>
      <c r="F86" s="205">
        <v>0</v>
      </c>
      <c r="G86" s="205">
        <v>0</v>
      </c>
      <c r="H86" s="205">
        <v>0</v>
      </c>
      <c r="I86" s="205">
        <v>98238451</v>
      </c>
      <c r="J86" s="205">
        <v>11600000</v>
      </c>
      <c r="K86" s="205">
        <v>419800</v>
      </c>
      <c r="L86" s="205">
        <v>44707692</v>
      </c>
      <c r="M86" s="205">
        <v>894154</v>
      </c>
      <c r="N86" s="205">
        <v>43813538</v>
      </c>
      <c r="O86" s="205">
        <v>439101</v>
      </c>
      <c r="P86" s="205">
        <v>0</v>
      </c>
      <c r="Q86" s="205">
        <v>0</v>
      </c>
      <c r="R86" s="205">
        <v>101874285</v>
      </c>
      <c r="S86" s="205">
        <v>4050000</v>
      </c>
      <c r="T86" s="205">
        <v>414166</v>
      </c>
    </row>
    <row r="87" spans="1:20" ht="12.75">
      <c r="A87" s="169">
        <v>80</v>
      </c>
      <c r="B87" s="172" t="s">
        <v>67</v>
      </c>
      <c r="C87" s="258" t="s">
        <v>68</v>
      </c>
      <c r="D87" s="205">
        <v>0</v>
      </c>
      <c r="E87" s="205">
        <v>114201479</v>
      </c>
      <c r="F87" s="205">
        <v>0</v>
      </c>
      <c r="G87" s="205">
        <v>0</v>
      </c>
      <c r="H87" s="205">
        <v>0</v>
      </c>
      <c r="I87" s="205">
        <v>114201479</v>
      </c>
      <c r="J87" s="205">
        <v>8124425</v>
      </c>
      <c r="K87" s="205">
        <v>646001</v>
      </c>
      <c r="L87" s="205">
        <v>54037347</v>
      </c>
      <c r="M87" s="205">
        <v>1080747</v>
      </c>
      <c r="N87" s="205">
        <v>52956600</v>
      </c>
      <c r="O87" s="205">
        <v>603811</v>
      </c>
      <c r="P87" s="205">
        <v>0</v>
      </c>
      <c r="Q87" s="205">
        <v>0</v>
      </c>
      <c r="R87" s="205">
        <v>117448931</v>
      </c>
      <c r="S87" s="205">
        <v>0</v>
      </c>
      <c r="T87" s="205">
        <v>-3247452</v>
      </c>
    </row>
    <row r="88" spans="1:20" ht="12.75">
      <c r="A88" s="169">
        <v>81</v>
      </c>
      <c r="B88" s="172" t="s">
        <v>69</v>
      </c>
      <c r="C88" s="258" t="s">
        <v>70</v>
      </c>
      <c r="D88" s="205">
        <v>0</v>
      </c>
      <c r="E88" s="205">
        <v>144571165</v>
      </c>
      <c r="F88" s="205">
        <v>0</v>
      </c>
      <c r="G88" s="205">
        <v>0</v>
      </c>
      <c r="H88" s="205">
        <v>0</v>
      </c>
      <c r="I88" s="205">
        <v>144571165</v>
      </c>
      <c r="J88" s="205">
        <v>16520176</v>
      </c>
      <c r="K88" s="205">
        <v>0</v>
      </c>
      <c r="L88" s="205">
        <v>63727196</v>
      </c>
      <c r="M88" s="205">
        <v>25532264</v>
      </c>
      <c r="N88" s="205">
        <v>38298396</v>
      </c>
      <c r="O88" s="205">
        <v>493133</v>
      </c>
      <c r="P88" s="205">
        <v>0</v>
      </c>
      <c r="Q88" s="205">
        <v>0</v>
      </c>
      <c r="R88" s="205">
        <v>144571165</v>
      </c>
      <c r="S88" s="205">
        <v>0</v>
      </c>
      <c r="T88" s="205">
        <v>0</v>
      </c>
    </row>
    <row r="89" spans="1:20" ht="12.75">
      <c r="A89" s="169">
        <v>82</v>
      </c>
      <c r="B89" s="172" t="s">
        <v>71</v>
      </c>
      <c r="C89" s="258" t="s">
        <v>72</v>
      </c>
      <c r="D89" s="205">
        <v>0</v>
      </c>
      <c r="E89" s="205">
        <v>17778934</v>
      </c>
      <c r="F89" s="205">
        <v>183065</v>
      </c>
      <c r="G89" s="205">
        <v>0</v>
      </c>
      <c r="H89" s="205">
        <v>0</v>
      </c>
      <c r="I89" s="205">
        <v>17961999</v>
      </c>
      <c r="J89" s="205">
        <v>1665489</v>
      </c>
      <c r="K89" s="205">
        <v>0</v>
      </c>
      <c r="L89" s="205">
        <v>8575161</v>
      </c>
      <c r="M89" s="205">
        <v>1715032</v>
      </c>
      <c r="N89" s="205">
        <v>6860129</v>
      </c>
      <c r="O89" s="205">
        <v>122008</v>
      </c>
      <c r="P89" s="205">
        <v>0</v>
      </c>
      <c r="Q89" s="205">
        <v>0</v>
      </c>
      <c r="R89" s="205">
        <v>18937819</v>
      </c>
      <c r="S89" s="205">
        <v>0</v>
      </c>
      <c r="T89" s="205">
        <v>-975820</v>
      </c>
    </row>
    <row r="90" spans="1:20" ht="12.75">
      <c r="A90" s="169">
        <v>83</v>
      </c>
      <c r="B90" s="172" t="s">
        <v>73</v>
      </c>
      <c r="C90" s="258" t="s">
        <v>74</v>
      </c>
      <c r="D90" s="205">
        <v>0</v>
      </c>
      <c r="E90" s="205">
        <v>31615479</v>
      </c>
      <c r="F90" s="205">
        <v>214388</v>
      </c>
      <c r="G90" s="205">
        <v>14322</v>
      </c>
      <c r="H90" s="205">
        <v>0</v>
      </c>
      <c r="I90" s="205">
        <v>31844189</v>
      </c>
      <c r="J90" s="205">
        <v>1571350</v>
      </c>
      <c r="K90" s="205">
        <v>0</v>
      </c>
      <c r="L90" s="205">
        <v>16164899</v>
      </c>
      <c r="M90" s="205">
        <v>3232980</v>
      </c>
      <c r="N90" s="205">
        <v>12931919</v>
      </c>
      <c r="O90" s="205">
        <v>241961</v>
      </c>
      <c r="P90" s="205">
        <v>0</v>
      </c>
      <c r="Q90" s="205">
        <v>0</v>
      </c>
      <c r="R90" s="205">
        <v>34143109</v>
      </c>
      <c r="S90" s="205">
        <v>942810</v>
      </c>
      <c r="T90" s="205">
        <v>-1356110</v>
      </c>
    </row>
    <row r="91" spans="1:20" ht="12.75">
      <c r="A91" s="169">
        <v>84</v>
      </c>
      <c r="B91" s="172" t="s">
        <v>75</v>
      </c>
      <c r="C91" s="258" t="s">
        <v>76</v>
      </c>
      <c r="D91" s="205">
        <v>0</v>
      </c>
      <c r="E91" s="205">
        <v>21126661</v>
      </c>
      <c r="F91" s="205">
        <v>0</v>
      </c>
      <c r="G91" s="205">
        <v>0</v>
      </c>
      <c r="H91" s="205">
        <v>0</v>
      </c>
      <c r="I91" s="205">
        <v>21126661</v>
      </c>
      <c r="J91" s="205">
        <v>1299583</v>
      </c>
      <c r="K91" s="205">
        <v>47098</v>
      </c>
      <c r="L91" s="205">
        <v>10419289</v>
      </c>
      <c r="M91" s="205">
        <v>2083858</v>
      </c>
      <c r="N91" s="205">
        <v>8335431</v>
      </c>
      <c r="O91" s="205">
        <v>110226</v>
      </c>
      <c r="P91" s="205">
        <v>0</v>
      </c>
      <c r="Q91" s="205">
        <v>0</v>
      </c>
      <c r="R91" s="205">
        <v>22295485</v>
      </c>
      <c r="S91" s="205">
        <v>0</v>
      </c>
      <c r="T91" s="205">
        <v>-1168824</v>
      </c>
    </row>
    <row r="92" spans="1:20" ht="12.75">
      <c r="A92" s="169">
        <v>85</v>
      </c>
      <c r="B92" s="172" t="s">
        <v>77</v>
      </c>
      <c r="C92" s="258" t="s">
        <v>78</v>
      </c>
      <c r="D92" s="205">
        <v>0</v>
      </c>
      <c r="E92" s="205">
        <v>28887950</v>
      </c>
      <c r="F92" s="205">
        <v>20935</v>
      </c>
      <c r="G92" s="205">
        <v>0</v>
      </c>
      <c r="H92" s="205">
        <v>0</v>
      </c>
      <c r="I92" s="205">
        <v>28908885</v>
      </c>
      <c r="J92" s="205">
        <v>80000</v>
      </c>
      <c r="K92" s="205">
        <v>95641</v>
      </c>
      <c r="L92" s="205">
        <v>14153764</v>
      </c>
      <c r="M92" s="205">
        <v>2830753</v>
      </c>
      <c r="N92" s="205">
        <v>11323011</v>
      </c>
      <c r="O92" s="205">
        <v>151002</v>
      </c>
      <c r="P92" s="205">
        <v>0</v>
      </c>
      <c r="Q92" s="205">
        <v>0</v>
      </c>
      <c r="R92" s="205">
        <v>28634171</v>
      </c>
      <c r="S92" s="205">
        <v>0</v>
      </c>
      <c r="T92" s="205">
        <v>274714</v>
      </c>
    </row>
    <row r="93" spans="1:20" ht="12.75">
      <c r="A93" s="169">
        <v>86</v>
      </c>
      <c r="B93" s="172" t="s">
        <v>79</v>
      </c>
      <c r="C93" s="258" t="s">
        <v>80</v>
      </c>
      <c r="D93" s="205">
        <v>0</v>
      </c>
      <c r="E93" s="205">
        <v>45707000</v>
      </c>
      <c r="F93" s="205">
        <v>205958</v>
      </c>
      <c r="G93" s="205">
        <v>0</v>
      </c>
      <c r="H93" s="205">
        <v>0</v>
      </c>
      <c r="I93" s="205">
        <v>45912958</v>
      </c>
      <c r="J93" s="205">
        <v>3029213</v>
      </c>
      <c r="K93" s="205">
        <v>-12245</v>
      </c>
      <c r="L93" s="205">
        <v>21543804</v>
      </c>
      <c r="M93" s="205">
        <v>4308761</v>
      </c>
      <c r="N93" s="205">
        <v>17235043</v>
      </c>
      <c r="O93" s="205">
        <v>197093</v>
      </c>
      <c r="P93" s="205">
        <v>0</v>
      </c>
      <c r="Q93" s="205">
        <v>0</v>
      </c>
      <c r="R93" s="205">
        <v>46301669</v>
      </c>
      <c r="S93" s="205">
        <v>1169153</v>
      </c>
      <c r="T93" s="205">
        <v>780442</v>
      </c>
    </row>
    <row r="94" spans="1:20" ht="12.75">
      <c r="A94" s="169">
        <v>87</v>
      </c>
      <c r="B94" s="172" t="s">
        <v>81</v>
      </c>
      <c r="C94" s="258" t="s">
        <v>82</v>
      </c>
      <c r="D94" s="205">
        <v>0</v>
      </c>
      <c r="E94" s="205">
        <v>33208149</v>
      </c>
      <c r="F94" s="205">
        <v>76658</v>
      </c>
      <c r="G94" s="205">
        <v>0</v>
      </c>
      <c r="H94" s="205">
        <v>0</v>
      </c>
      <c r="I94" s="205">
        <v>33284807</v>
      </c>
      <c r="J94" s="205">
        <v>2253842</v>
      </c>
      <c r="K94" s="205">
        <v>0</v>
      </c>
      <c r="L94" s="205">
        <v>15900934</v>
      </c>
      <c r="M94" s="205">
        <v>3180187</v>
      </c>
      <c r="N94" s="205">
        <v>12720747</v>
      </c>
      <c r="O94" s="205">
        <v>270768</v>
      </c>
      <c r="P94" s="205">
        <v>0</v>
      </c>
      <c r="Q94" s="205">
        <v>0</v>
      </c>
      <c r="R94" s="205">
        <v>34326478</v>
      </c>
      <c r="S94" s="205">
        <v>0</v>
      </c>
      <c r="T94" s="205">
        <v>-1041671</v>
      </c>
    </row>
    <row r="95" spans="1:20" ht="12.75">
      <c r="A95" s="169">
        <v>88</v>
      </c>
      <c r="B95" s="172" t="s">
        <v>83</v>
      </c>
      <c r="C95" s="258" t="s">
        <v>84</v>
      </c>
      <c r="D95" s="205">
        <v>0</v>
      </c>
      <c r="E95" s="205">
        <v>21781856</v>
      </c>
      <c r="F95" s="205">
        <v>36296</v>
      </c>
      <c r="G95" s="205">
        <v>0</v>
      </c>
      <c r="H95" s="205">
        <v>0</v>
      </c>
      <c r="I95" s="205">
        <v>21818152</v>
      </c>
      <c r="J95" s="205">
        <v>312000</v>
      </c>
      <c r="K95" s="205">
        <v>39141</v>
      </c>
      <c r="L95" s="205">
        <v>10650844</v>
      </c>
      <c r="M95" s="205">
        <v>2130169</v>
      </c>
      <c r="N95" s="205">
        <v>8520675</v>
      </c>
      <c r="O95" s="205">
        <v>99140</v>
      </c>
      <c r="P95" s="205">
        <v>0</v>
      </c>
      <c r="Q95" s="205">
        <v>0</v>
      </c>
      <c r="R95" s="205">
        <v>21751969</v>
      </c>
      <c r="S95" s="205">
        <v>127200</v>
      </c>
      <c r="T95" s="205">
        <v>193383</v>
      </c>
    </row>
    <row r="96" spans="1:20" ht="12.75">
      <c r="A96" s="169">
        <v>89</v>
      </c>
      <c r="B96" s="172" t="s">
        <v>85</v>
      </c>
      <c r="C96" s="258" t="s">
        <v>86</v>
      </c>
      <c r="D96" s="205">
        <v>0</v>
      </c>
      <c r="E96" s="205">
        <v>94239770</v>
      </c>
      <c r="F96" s="205">
        <v>1758728</v>
      </c>
      <c r="G96" s="205">
        <v>0</v>
      </c>
      <c r="H96" s="205">
        <v>0</v>
      </c>
      <c r="I96" s="205">
        <v>95998498</v>
      </c>
      <c r="J96" s="205">
        <v>5585391</v>
      </c>
      <c r="K96" s="205">
        <v>142770</v>
      </c>
      <c r="L96" s="205">
        <v>46672079</v>
      </c>
      <c r="M96" s="205">
        <v>936442</v>
      </c>
      <c r="N96" s="205">
        <v>45885656</v>
      </c>
      <c r="O96" s="205">
        <v>779136</v>
      </c>
      <c r="P96" s="205">
        <v>438240</v>
      </c>
      <c r="Q96" s="205">
        <v>0</v>
      </c>
      <c r="R96" s="205">
        <v>100439714</v>
      </c>
      <c r="S96" s="205">
        <v>2177020</v>
      </c>
      <c r="T96" s="205">
        <v>-2264196</v>
      </c>
    </row>
    <row r="97" spans="1:20" ht="12.75">
      <c r="A97" s="169">
        <v>90</v>
      </c>
      <c r="B97" s="172" t="s">
        <v>87</v>
      </c>
      <c r="C97" s="258" t="s">
        <v>88</v>
      </c>
      <c r="D97" s="205">
        <v>0</v>
      </c>
      <c r="E97" s="205">
        <v>55920930</v>
      </c>
      <c r="F97" s="205">
        <v>40702</v>
      </c>
      <c r="G97" s="205">
        <v>0</v>
      </c>
      <c r="H97" s="205">
        <v>0</v>
      </c>
      <c r="I97" s="205">
        <v>55961632</v>
      </c>
      <c r="J97" s="205">
        <v>4071748</v>
      </c>
      <c r="K97" s="205">
        <v>0</v>
      </c>
      <c r="L97" s="205">
        <v>26935450</v>
      </c>
      <c r="M97" s="205">
        <v>5387090</v>
      </c>
      <c r="N97" s="205">
        <v>21729377</v>
      </c>
      <c r="O97" s="205">
        <v>0</v>
      </c>
      <c r="P97" s="205">
        <v>0</v>
      </c>
      <c r="Q97" s="205">
        <v>0</v>
      </c>
      <c r="R97" s="205">
        <v>58123665</v>
      </c>
      <c r="S97" s="205">
        <v>0</v>
      </c>
      <c r="T97" s="205">
        <v>-2162033</v>
      </c>
    </row>
    <row r="98" spans="1:20" ht="12.75">
      <c r="A98" s="169">
        <v>91</v>
      </c>
      <c r="B98" s="172" t="s">
        <v>89</v>
      </c>
      <c r="C98" s="258" t="s">
        <v>90</v>
      </c>
      <c r="D98" s="205">
        <v>0</v>
      </c>
      <c r="E98" s="205">
        <v>33780926</v>
      </c>
      <c r="F98" s="205">
        <v>148310</v>
      </c>
      <c r="G98" s="205">
        <v>0</v>
      </c>
      <c r="H98" s="205">
        <v>0</v>
      </c>
      <c r="I98" s="205">
        <v>33929236</v>
      </c>
      <c r="J98" s="205">
        <v>2095570</v>
      </c>
      <c r="K98" s="205">
        <v>72720</v>
      </c>
      <c r="L98" s="205">
        <v>16849320</v>
      </c>
      <c r="M98" s="205">
        <v>3369864</v>
      </c>
      <c r="N98" s="205">
        <v>13479456</v>
      </c>
      <c r="O98" s="205">
        <v>127360</v>
      </c>
      <c r="P98" s="205">
        <v>0</v>
      </c>
      <c r="Q98" s="205">
        <v>0</v>
      </c>
      <c r="R98" s="205">
        <v>35994290</v>
      </c>
      <c r="S98" s="205">
        <v>0</v>
      </c>
      <c r="T98" s="205">
        <v>-2065054</v>
      </c>
    </row>
    <row r="99" spans="1:20" ht="12.75">
      <c r="A99" s="169">
        <v>92</v>
      </c>
      <c r="B99" s="172" t="s">
        <v>91</v>
      </c>
      <c r="C99" s="258" t="s">
        <v>92</v>
      </c>
      <c r="D99" s="205">
        <v>0</v>
      </c>
      <c r="E99" s="205">
        <v>54000000</v>
      </c>
      <c r="F99" s="205">
        <v>0</v>
      </c>
      <c r="G99" s="205">
        <v>0</v>
      </c>
      <c r="H99" s="205">
        <v>0</v>
      </c>
      <c r="I99" s="205">
        <v>54000000</v>
      </c>
      <c r="J99" s="205">
        <v>3900000</v>
      </c>
      <c r="K99" s="205">
        <v>280000</v>
      </c>
      <c r="L99" s="205">
        <v>26325461</v>
      </c>
      <c r="M99" s="205">
        <v>5265092</v>
      </c>
      <c r="N99" s="205">
        <v>21060368</v>
      </c>
      <c r="O99" s="205">
        <v>151492</v>
      </c>
      <c r="P99" s="205">
        <v>0</v>
      </c>
      <c r="Q99" s="205">
        <v>0</v>
      </c>
      <c r="R99" s="205">
        <v>56982413</v>
      </c>
      <c r="S99" s="205">
        <v>0</v>
      </c>
      <c r="T99" s="205">
        <v>-2982413</v>
      </c>
    </row>
    <row r="100" spans="1:20" ht="12.75">
      <c r="A100" s="169">
        <v>93</v>
      </c>
      <c r="B100" s="172" t="s">
        <v>93</v>
      </c>
      <c r="C100" s="258" t="s">
        <v>94</v>
      </c>
      <c r="D100" s="205">
        <v>0</v>
      </c>
      <c r="E100" s="205">
        <v>20568495</v>
      </c>
      <c r="F100" s="205">
        <v>66835</v>
      </c>
      <c r="G100" s="205">
        <v>127959</v>
      </c>
      <c r="H100" s="205">
        <v>0</v>
      </c>
      <c r="I100" s="205">
        <v>20763289</v>
      </c>
      <c r="J100" s="205">
        <v>694638</v>
      </c>
      <c r="K100" s="205">
        <v>17630</v>
      </c>
      <c r="L100" s="205">
        <v>9970381</v>
      </c>
      <c r="M100" s="205">
        <v>1994076</v>
      </c>
      <c r="N100" s="205">
        <v>7976305</v>
      </c>
      <c r="O100" s="205">
        <v>127959</v>
      </c>
      <c r="P100" s="205">
        <v>0</v>
      </c>
      <c r="Q100" s="205">
        <v>0</v>
      </c>
      <c r="R100" s="205">
        <v>20780988</v>
      </c>
      <c r="S100" s="205">
        <v>0</v>
      </c>
      <c r="T100" s="205">
        <v>-17699</v>
      </c>
    </row>
    <row r="101" spans="1:20" ht="12.75">
      <c r="A101" s="169">
        <v>94</v>
      </c>
      <c r="B101" s="172" t="s">
        <v>95</v>
      </c>
      <c r="C101" s="258" t="s">
        <v>96</v>
      </c>
      <c r="D101" s="205">
        <v>0</v>
      </c>
      <c r="E101" s="205">
        <v>53537173</v>
      </c>
      <c r="F101" s="205">
        <v>0</v>
      </c>
      <c r="G101" s="205">
        <v>0</v>
      </c>
      <c r="H101" s="205">
        <v>0</v>
      </c>
      <c r="I101" s="205">
        <v>53537173</v>
      </c>
      <c r="J101" s="205">
        <v>1882146</v>
      </c>
      <c r="K101" s="205">
        <v>44397</v>
      </c>
      <c r="L101" s="205">
        <v>25437673</v>
      </c>
      <c r="M101" s="205">
        <v>5087535</v>
      </c>
      <c r="N101" s="205">
        <v>20350138</v>
      </c>
      <c r="O101" s="205">
        <v>183258</v>
      </c>
      <c r="P101" s="205">
        <v>0</v>
      </c>
      <c r="Q101" s="205">
        <v>0</v>
      </c>
      <c r="R101" s="205">
        <v>52985147</v>
      </c>
      <c r="S101" s="205">
        <v>0</v>
      </c>
      <c r="T101" s="205">
        <v>552026</v>
      </c>
    </row>
    <row r="102" spans="1:20" ht="12.75">
      <c r="A102" s="169">
        <v>95</v>
      </c>
      <c r="B102" s="172" t="s">
        <v>97</v>
      </c>
      <c r="C102" s="258" t="s">
        <v>98</v>
      </c>
      <c r="D102" s="205">
        <v>0</v>
      </c>
      <c r="E102" s="205">
        <v>105271403</v>
      </c>
      <c r="F102" s="205">
        <v>591853</v>
      </c>
      <c r="G102" s="205">
        <v>0</v>
      </c>
      <c r="H102" s="205">
        <v>0</v>
      </c>
      <c r="I102" s="205">
        <v>105863256</v>
      </c>
      <c r="J102" s="205">
        <v>0</v>
      </c>
      <c r="K102" s="205">
        <v>301791</v>
      </c>
      <c r="L102" s="205">
        <v>53137251</v>
      </c>
      <c r="M102" s="205">
        <v>21254900</v>
      </c>
      <c r="N102" s="205">
        <v>31882351</v>
      </c>
      <c r="O102" s="205">
        <v>350511</v>
      </c>
      <c r="P102" s="205">
        <v>0</v>
      </c>
      <c r="Q102" s="205">
        <v>0</v>
      </c>
      <c r="R102" s="205">
        <v>106926804</v>
      </c>
      <c r="S102" s="205">
        <v>0</v>
      </c>
      <c r="T102" s="205">
        <v>-1063548</v>
      </c>
    </row>
    <row r="103" spans="1:20" ht="12.75">
      <c r="A103" s="169">
        <v>96</v>
      </c>
      <c r="B103" s="172" t="s">
        <v>99</v>
      </c>
      <c r="C103" s="258" t="s">
        <v>100</v>
      </c>
      <c r="D103" s="205">
        <v>0</v>
      </c>
      <c r="E103" s="205">
        <v>34699262</v>
      </c>
      <c r="F103" s="205">
        <v>245831</v>
      </c>
      <c r="G103" s="205">
        <v>0</v>
      </c>
      <c r="H103" s="205">
        <v>0</v>
      </c>
      <c r="I103" s="205">
        <v>34945093</v>
      </c>
      <c r="J103" s="205">
        <v>4250682</v>
      </c>
      <c r="K103" s="205">
        <v>56786</v>
      </c>
      <c r="L103" s="205">
        <v>15948690</v>
      </c>
      <c r="M103" s="205">
        <v>3189738</v>
      </c>
      <c r="N103" s="205">
        <v>12758952</v>
      </c>
      <c r="O103" s="205">
        <v>171117</v>
      </c>
      <c r="P103" s="205">
        <v>0</v>
      </c>
      <c r="Q103" s="205">
        <v>0</v>
      </c>
      <c r="R103" s="205">
        <v>36375965</v>
      </c>
      <c r="S103" s="205">
        <v>0</v>
      </c>
      <c r="T103" s="205">
        <v>-1430872</v>
      </c>
    </row>
    <row r="104" spans="1:20" ht="12.75">
      <c r="A104" s="169">
        <v>97</v>
      </c>
      <c r="B104" s="172" t="s">
        <v>101</v>
      </c>
      <c r="C104" s="258" t="s">
        <v>102</v>
      </c>
      <c r="D104" s="205">
        <v>0</v>
      </c>
      <c r="E104" s="205">
        <v>23164741</v>
      </c>
      <c r="F104" s="205">
        <v>17283</v>
      </c>
      <c r="G104" s="205">
        <v>0</v>
      </c>
      <c r="H104" s="205">
        <v>0</v>
      </c>
      <c r="I104" s="205">
        <v>23182024</v>
      </c>
      <c r="J104" s="205">
        <v>353919</v>
      </c>
      <c r="K104" s="205">
        <v>167918</v>
      </c>
      <c r="L104" s="205">
        <v>11514526</v>
      </c>
      <c r="M104" s="205">
        <v>2302905</v>
      </c>
      <c r="N104" s="205">
        <v>9211620</v>
      </c>
      <c r="O104" s="205">
        <v>87849</v>
      </c>
      <c r="P104" s="205">
        <v>0</v>
      </c>
      <c r="Q104" s="205">
        <v>0</v>
      </c>
      <c r="R104" s="205">
        <v>23638737</v>
      </c>
      <c r="S104" s="205">
        <v>0</v>
      </c>
      <c r="T104" s="205">
        <v>-456713</v>
      </c>
    </row>
    <row r="105" spans="1:20" ht="12.75">
      <c r="A105" s="169">
        <v>98</v>
      </c>
      <c r="B105" s="172" t="s">
        <v>103</v>
      </c>
      <c r="C105" s="258" t="s">
        <v>104</v>
      </c>
      <c r="D105" s="205">
        <v>0</v>
      </c>
      <c r="E105" s="205">
        <v>23754300</v>
      </c>
      <c r="F105" s="205">
        <v>14745</v>
      </c>
      <c r="G105" s="205">
        <v>0</v>
      </c>
      <c r="H105" s="205">
        <v>0</v>
      </c>
      <c r="I105" s="205">
        <v>23769045</v>
      </c>
      <c r="J105" s="205">
        <v>1175000</v>
      </c>
      <c r="K105" s="205">
        <v>10398</v>
      </c>
      <c r="L105" s="205">
        <v>11890643</v>
      </c>
      <c r="M105" s="205">
        <v>2378129</v>
      </c>
      <c r="N105" s="205">
        <v>9512514</v>
      </c>
      <c r="O105" s="205">
        <v>137569</v>
      </c>
      <c r="P105" s="205">
        <v>0</v>
      </c>
      <c r="Q105" s="205">
        <v>0</v>
      </c>
      <c r="R105" s="205">
        <v>25104253</v>
      </c>
      <c r="S105" s="205">
        <v>0</v>
      </c>
      <c r="T105" s="205">
        <v>-1335208</v>
      </c>
    </row>
    <row r="106" spans="1:20" ht="12.75">
      <c r="A106" s="169">
        <v>99</v>
      </c>
      <c r="B106" s="172" t="s">
        <v>105</v>
      </c>
      <c r="C106" s="258" t="s">
        <v>106</v>
      </c>
      <c r="D106" s="205">
        <v>0</v>
      </c>
      <c r="E106" s="205">
        <v>73415209</v>
      </c>
      <c r="F106" s="205">
        <v>43162</v>
      </c>
      <c r="G106" s="205">
        <v>0</v>
      </c>
      <c r="H106" s="205">
        <v>0</v>
      </c>
      <c r="I106" s="205">
        <v>73458371</v>
      </c>
      <c r="J106" s="205">
        <v>0</v>
      </c>
      <c r="K106" s="205">
        <v>218039</v>
      </c>
      <c r="L106" s="205">
        <v>38139497</v>
      </c>
      <c r="M106" s="205">
        <v>7627900</v>
      </c>
      <c r="N106" s="205">
        <v>30511598</v>
      </c>
      <c r="O106" s="205">
        <v>0</v>
      </c>
      <c r="P106" s="205">
        <v>0</v>
      </c>
      <c r="Q106" s="205">
        <v>0</v>
      </c>
      <c r="R106" s="205">
        <v>76497034</v>
      </c>
      <c r="S106" s="205">
        <v>0</v>
      </c>
      <c r="T106" s="205">
        <v>-3038663</v>
      </c>
    </row>
    <row r="107" spans="1:20" ht="12.75">
      <c r="A107" s="169">
        <v>100</v>
      </c>
      <c r="B107" s="172" t="s">
        <v>107</v>
      </c>
      <c r="C107" s="258" t="s">
        <v>108</v>
      </c>
      <c r="D107" s="205">
        <v>0</v>
      </c>
      <c r="E107" s="205">
        <v>40992457</v>
      </c>
      <c r="F107" s="205">
        <v>36430</v>
      </c>
      <c r="G107" s="205">
        <v>2685</v>
      </c>
      <c r="H107" s="205">
        <v>0</v>
      </c>
      <c r="I107" s="205">
        <v>41031572</v>
      </c>
      <c r="J107" s="205">
        <v>8168205</v>
      </c>
      <c r="K107" s="205">
        <v>175327</v>
      </c>
      <c r="L107" s="205">
        <v>17954585</v>
      </c>
      <c r="M107" s="205">
        <v>3617000</v>
      </c>
      <c r="N107" s="205">
        <v>14467999</v>
      </c>
      <c r="O107" s="205">
        <v>216007</v>
      </c>
      <c r="P107" s="205">
        <v>0</v>
      </c>
      <c r="Q107" s="205">
        <v>0</v>
      </c>
      <c r="R107" s="205">
        <v>44599122</v>
      </c>
      <c r="S107" s="205">
        <v>0</v>
      </c>
      <c r="T107" s="205">
        <v>-3567550</v>
      </c>
    </row>
    <row r="108" spans="1:20" ht="12.75">
      <c r="A108" s="169">
        <v>101</v>
      </c>
      <c r="B108" s="172" t="s">
        <v>109</v>
      </c>
      <c r="C108" s="258" t="s">
        <v>110</v>
      </c>
      <c r="D108" s="205">
        <v>0</v>
      </c>
      <c r="E108" s="205">
        <v>24372464</v>
      </c>
      <c r="F108" s="205">
        <v>319745</v>
      </c>
      <c r="G108" s="205">
        <v>0</v>
      </c>
      <c r="H108" s="205">
        <v>0</v>
      </c>
      <c r="I108" s="205">
        <v>24692209</v>
      </c>
      <c r="J108" s="205">
        <v>1339855</v>
      </c>
      <c r="K108" s="205">
        <v>0</v>
      </c>
      <c r="L108" s="205">
        <v>11676177</v>
      </c>
      <c r="M108" s="205">
        <v>2335236</v>
      </c>
      <c r="N108" s="205">
        <v>9340941</v>
      </c>
      <c r="O108" s="205">
        <v>0</v>
      </c>
      <c r="P108" s="205">
        <v>0</v>
      </c>
      <c r="Q108" s="205">
        <v>0</v>
      </c>
      <c r="R108" s="205">
        <v>24692209</v>
      </c>
      <c r="S108" s="205">
        <v>0</v>
      </c>
      <c r="T108" s="205">
        <v>0</v>
      </c>
    </row>
    <row r="109" spans="1:20" ht="12.75">
      <c r="A109" s="169">
        <v>102</v>
      </c>
      <c r="B109" s="172" t="s">
        <v>111</v>
      </c>
      <c r="C109" s="258" t="s">
        <v>112</v>
      </c>
      <c r="D109" s="205">
        <v>0</v>
      </c>
      <c r="E109" s="205">
        <v>21922456</v>
      </c>
      <c r="F109" s="205">
        <v>0</v>
      </c>
      <c r="G109" s="205">
        <v>0</v>
      </c>
      <c r="H109" s="205">
        <v>0</v>
      </c>
      <c r="I109" s="205">
        <v>21922456</v>
      </c>
      <c r="J109" s="205">
        <v>528916</v>
      </c>
      <c r="K109" s="205">
        <v>31604</v>
      </c>
      <c r="L109" s="205">
        <v>10801570</v>
      </c>
      <c r="M109" s="205">
        <v>2160314</v>
      </c>
      <c r="N109" s="205">
        <v>8641256</v>
      </c>
      <c r="O109" s="205">
        <v>120531</v>
      </c>
      <c r="P109" s="205">
        <v>0</v>
      </c>
      <c r="Q109" s="205">
        <v>0</v>
      </c>
      <c r="R109" s="205">
        <v>22284191</v>
      </c>
      <c r="S109" s="205">
        <v>0</v>
      </c>
      <c r="T109" s="205">
        <v>-361735</v>
      </c>
    </row>
    <row r="110" spans="1:20" ht="12.75">
      <c r="A110" s="169">
        <v>103</v>
      </c>
      <c r="B110" s="172" t="s">
        <v>113</v>
      </c>
      <c r="C110" s="258" t="s">
        <v>114</v>
      </c>
      <c r="D110" s="205">
        <v>0</v>
      </c>
      <c r="E110" s="205">
        <v>11551731</v>
      </c>
      <c r="F110" s="205">
        <v>82931</v>
      </c>
      <c r="G110" s="205">
        <v>0</v>
      </c>
      <c r="H110" s="205">
        <v>0</v>
      </c>
      <c r="I110" s="205">
        <v>11634662</v>
      </c>
      <c r="J110" s="205">
        <v>675738</v>
      </c>
      <c r="K110" s="205">
        <v>16332</v>
      </c>
      <c r="L110" s="205">
        <v>5653360</v>
      </c>
      <c r="M110" s="205">
        <v>1130672</v>
      </c>
      <c r="N110" s="205">
        <v>4522688</v>
      </c>
      <c r="O110" s="205">
        <v>119683</v>
      </c>
      <c r="P110" s="205">
        <v>0</v>
      </c>
      <c r="Q110" s="205">
        <v>0</v>
      </c>
      <c r="R110" s="205">
        <v>12118473</v>
      </c>
      <c r="S110" s="205">
        <v>0</v>
      </c>
      <c r="T110" s="205">
        <v>-483811</v>
      </c>
    </row>
    <row r="111" spans="1:20" ht="12.75">
      <c r="A111" s="169">
        <v>104</v>
      </c>
      <c r="B111" s="172" t="s">
        <v>115</v>
      </c>
      <c r="C111" s="258" t="s">
        <v>116</v>
      </c>
      <c r="D111" s="205">
        <v>0</v>
      </c>
      <c r="E111" s="205">
        <v>24350297</v>
      </c>
      <c r="F111" s="205">
        <v>185218</v>
      </c>
      <c r="G111" s="205">
        <v>0</v>
      </c>
      <c r="H111" s="205">
        <v>0</v>
      </c>
      <c r="I111" s="205">
        <v>24535515</v>
      </c>
      <c r="J111" s="205">
        <v>956085</v>
      </c>
      <c r="K111" s="205">
        <v>0</v>
      </c>
      <c r="L111" s="205">
        <v>12067566</v>
      </c>
      <c r="M111" s="205">
        <v>2413513</v>
      </c>
      <c r="N111" s="205">
        <v>9654053</v>
      </c>
      <c r="O111" s="205">
        <v>163725</v>
      </c>
      <c r="P111" s="205">
        <v>0</v>
      </c>
      <c r="Q111" s="205">
        <v>0</v>
      </c>
      <c r="R111" s="205">
        <v>25254942</v>
      </c>
      <c r="S111" s="205">
        <v>0</v>
      </c>
      <c r="T111" s="205">
        <v>-719427</v>
      </c>
    </row>
    <row r="112" spans="1:20" ht="12.75">
      <c r="A112" s="169">
        <v>105</v>
      </c>
      <c r="B112" s="172" t="s">
        <v>117</v>
      </c>
      <c r="C112" s="258" t="s">
        <v>118</v>
      </c>
      <c r="D112" s="205">
        <v>0</v>
      </c>
      <c r="E112" s="205">
        <v>89318988</v>
      </c>
      <c r="F112" s="205">
        <v>227729</v>
      </c>
      <c r="G112" s="205">
        <v>0</v>
      </c>
      <c r="H112" s="205">
        <v>0</v>
      </c>
      <c r="I112" s="205">
        <v>89546717</v>
      </c>
      <c r="J112" s="205">
        <v>4639875</v>
      </c>
      <c r="K112" s="205">
        <v>159494</v>
      </c>
      <c r="L112" s="205">
        <v>42959946</v>
      </c>
      <c r="M112" s="205">
        <v>859199</v>
      </c>
      <c r="N112" s="205">
        <v>42100747</v>
      </c>
      <c r="O112" s="205">
        <v>303870</v>
      </c>
      <c r="P112" s="205">
        <v>0</v>
      </c>
      <c r="Q112" s="205">
        <v>0</v>
      </c>
      <c r="R112" s="205">
        <v>91023131</v>
      </c>
      <c r="S112" s="205">
        <v>0</v>
      </c>
      <c r="T112" s="205">
        <v>-1476414</v>
      </c>
    </row>
    <row r="113" spans="1:20" ht="12.75">
      <c r="A113" s="169">
        <v>106</v>
      </c>
      <c r="B113" s="172" t="s">
        <v>119</v>
      </c>
      <c r="C113" s="258" t="s">
        <v>120</v>
      </c>
      <c r="D113" s="205">
        <v>0</v>
      </c>
      <c r="E113" s="205">
        <v>20857976</v>
      </c>
      <c r="F113" s="205">
        <v>16366</v>
      </c>
      <c r="G113" s="205">
        <v>101805</v>
      </c>
      <c r="H113" s="205">
        <v>0</v>
      </c>
      <c r="I113" s="205">
        <v>20976148</v>
      </c>
      <c r="J113" s="205">
        <v>562800</v>
      </c>
      <c r="K113" s="205">
        <v>208116</v>
      </c>
      <c r="L113" s="205">
        <v>10380415</v>
      </c>
      <c r="M113" s="205">
        <v>2076083</v>
      </c>
      <c r="N113" s="205">
        <v>8304332</v>
      </c>
      <c r="O113" s="205">
        <v>101805</v>
      </c>
      <c r="P113" s="205">
        <v>0</v>
      </c>
      <c r="Q113" s="205">
        <v>0</v>
      </c>
      <c r="R113" s="205">
        <v>21633551</v>
      </c>
      <c r="S113" s="205">
        <v>0</v>
      </c>
      <c r="T113" s="205">
        <v>-657404</v>
      </c>
    </row>
    <row r="114" spans="1:20" ht="12.75">
      <c r="A114" s="169">
        <v>107</v>
      </c>
      <c r="B114" s="172" t="s">
        <v>121</v>
      </c>
      <c r="C114" s="258" t="s">
        <v>122</v>
      </c>
      <c r="D114" s="205">
        <v>0</v>
      </c>
      <c r="E114" s="205">
        <v>51469422</v>
      </c>
      <c r="F114" s="205">
        <v>26173</v>
      </c>
      <c r="G114" s="205">
        <v>179973</v>
      </c>
      <c r="H114" s="205">
        <v>0</v>
      </c>
      <c r="I114" s="205">
        <v>51675568</v>
      </c>
      <c r="J114" s="205">
        <v>1366403</v>
      </c>
      <c r="K114" s="205">
        <v>202264</v>
      </c>
      <c r="L114" s="205">
        <v>24799647</v>
      </c>
      <c r="M114" s="205">
        <v>4959929</v>
      </c>
      <c r="N114" s="205">
        <v>19839718</v>
      </c>
      <c r="O114" s="205">
        <v>179973</v>
      </c>
      <c r="P114" s="205">
        <v>0</v>
      </c>
      <c r="Q114" s="205">
        <v>0</v>
      </c>
      <c r="R114" s="205">
        <v>51347934</v>
      </c>
      <c r="S114" s="205">
        <v>0</v>
      </c>
      <c r="T114" s="205">
        <v>327633</v>
      </c>
    </row>
    <row r="115" spans="1:20" ht="12.75">
      <c r="A115" s="169">
        <v>108</v>
      </c>
      <c r="B115" s="172" t="s">
        <v>123</v>
      </c>
      <c r="C115" s="258" t="s">
        <v>124</v>
      </c>
      <c r="D115" s="205">
        <v>0</v>
      </c>
      <c r="E115" s="205">
        <v>15386713</v>
      </c>
      <c r="F115" s="205">
        <v>83948</v>
      </c>
      <c r="G115" s="205">
        <v>0</v>
      </c>
      <c r="H115" s="205">
        <v>0</v>
      </c>
      <c r="I115" s="205">
        <v>15470661</v>
      </c>
      <c r="J115" s="205">
        <v>2715340</v>
      </c>
      <c r="K115" s="205">
        <v>8294</v>
      </c>
      <c r="L115" s="205">
        <v>5515260</v>
      </c>
      <c r="M115" s="205">
        <v>1103052</v>
      </c>
      <c r="N115" s="205">
        <v>4412208</v>
      </c>
      <c r="O115" s="205">
        <v>181989</v>
      </c>
      <c r="P115" s="205">
        <v>20000</v>
      </c>
      <c r="Q115" s="205">
        <v>0</v>
      </c>
      <c r="R115" s="205">
        <v>13956143</v>
      </c>
      <c r="S115" s="205">
        <v>0</v>
      </c>
      <c r="T115" s="205">
        <v>1514518</v>
      </c>
    </row>
    <row r="116" spans="1:20" ht="12.75">
      <c r="A116" s="169">
        <v>109</v>
      </c>
      <c r="B116" s="172" t="s">
        <v>125</v>
      </c>
      <c r="C116" s="258" t="s">
        <v>126</v>
      </c>
      <c r="D116" s="205">
        <v>0</v>
      </c>
      <c r="E116" s="205">
        <v>22636988</v>
      </c>
      <c r="F116" s="205">
        <v>200953</v>
      </c>
      <c r="G116" s="205">
        <v>0</v>
      </c>
      <c r="H116" s="205">
        <v>0</v>
      </c>
      <c r="I116" s="205">
        <v>22837941</v>
      </c>
      <c r="J116" s="205">
        <v>1026498</v>
      </c>
      <c r="K116" s="205">
        <v>0</v>
      </c>
      <c r="L116" s="205">
        <v>11168000</v>
      </c>
      <c r="M116" s="205">
        <v>2233000</v>
      </c>
      <c r="N116" s="205">
        <v>8934000</v>
      </c>
      <c r="O116" s="205">
        <v>97673</v>
      </c>
      <c r="P116" s="205">
        <v>0</v>
      </c>
      <c r="Q116" s="205">
        <v>0</v>
      </c>
      <c r="R116" s="205">
        <v>23459171</v>
      </c>
      <c r="S116" s="205">
        <v>0</v>
      </c>
      <c r="T116" s="205">
        <v>-621230</v>
      </c>
    </row>
    <row r="117" spans="1:20" ht="12.75">
      <c r="A117" s="169">
        <v>110</v>
      </c>
      <c r="B117" s="172" t="s">
        <v>127</v>
      </c>
      <c r="C117" s="258" t="s">
        <v>128</v>
      </c>
      <c r="D117" s="205">
        <v>0</v>
      </c>
      <c r="E117" s="205">
        <v>29139347</v>
      </c>
      <c r="F117" s="205">
        <v>417032</v>
      </c>
      <c r="G117" s="205">
        <v>268166</v>
      </c>
      <c r="H117" s="205">
        <v>0</v>
      </c>
      <c r="I117" s="205">
        <v>29824545</v>
      </c>
      <c r="J117" s="205">
        <v>1834360</v>
      </c>
      <c r="K117" s="205">
        <v>0</v>
      </c>
      <c r="L117" s="205">
        <v>13632374</v>
      </c>
      <c r="M117" s="205">
        <v>2766552</v>
      </c>
      <c r="N117" s="205">
        <v>11066206</v>
      </c>
      <c r="O117" s="205">
        <v>255383</v>
      </c>
      <c r="P117" s="205">
        <v>0</v>
      </c>
      <c r="Q117" s="205">
        <v>0</v>
      </c>
      <c r="R117" s="205">
        <v>29554875</v>
      </c>
      <c r="S117" s="205">
        <v>0</v>
      </c>
      <c r="T117" s="205">
        <v>269670</v>
      </c>
    </row>
    <row r="118" spans="1:20" ht="12.75">
      <c r="A118" s="169">
        <v>111</v>
      </c>
      <c r="B118" s="172" t="s">
        <v>129</v>
      </c>
      <c r="C118" s="258" t="s">
        <v>130</v>
      </c>
      <c r="D118" s="205">
        <v>0</v>
      </c>
      <c r="E118" s="205">
        <v>81585000</v>
      </c>
      <c r="F118" s="205">
        <v>85000</v>
      </c>
      <c r="G118" s="205">
        <v>0</v>
      </c>
      <c r="H118" s="205">
        <v>0</v>
      </c>
      <c r="I118" s="205">
        <v>81670000</v>
      </c>
      <c r="J118" s="205">
        <v>17485000</v>
      </c>
      <c r="K118" s="205">
        <v>89000</v>
      </c>
      <c r="L118" s="205">
        <v>29717000</v>
      </c>
      <c r="M118" s="205">
        <v>11887000</v>
      </c>
      <c r="N118" s="205">
        <v>17830000</v>
      </c>
      <c r="O118" s="205">
        <v>276000</v>
      </c>
      <c r="P118" s="205">
        <v>0</v>
      </c>
      <c r="Q118" s="205">
        <v>0</v>
      </c>
      <c r="R118" s="205">
        <v>77284000</v>
      </c>
      <c r="S118" s="205">
        <v>0</v>
      </c>
      <c r="T118" s="205">
        <v>4386000</v>
      </c>
    </row>
    <row r="119" spans="1:20" ht="12.75">
      <c r="A119" s="169">
        <v>112</v>
      </c>
      <c r="B119" s="172" t="s">
        <v>131</v>
      </c>
      <c r="C119" s="258" t="s">
        <v>132</v>
      </c>
      <c r="D119" s="205">
        <v>0</v>
      </c>
      <c r="E119" s="205">
        <v>80778254</v>
      </c>
      <c r="F119" s="205">
        <v>0</v>
      </c>
      <c r="G119" s="205">
        <v>0</v>
      </c>
      <c r="H119" s="205">
        <v>0</v>
      </c>
      <c r="I119" s="205">
        <v>80778254</v>
      </c>
      <c r="J119" s="205">
        <v>7815000</v>
      </c>
      <c r="K119" s="205">
        <v>584082</v>
      </c>
      <c r="L119" s="205">
        <v>37691421</v>
      </c>
      <c r="M119" s="205">
        <v>7538284</v>
      </c>
      <c r="N119" s="205">
        <v>30153137</v>
      </c>
      <c r="O119" s="205">
        <v>237981</v>
      </c>
      <c r="P119" s="205">
        <v>0</v>
      </c>
      <c r="Q119" s="205">
        <v>0</v>
      </c>
      <c r="R119" s="205">
        <v>84019905</v>
      </c>
      <c r="S119" s="205">
        <v>2700000</v>
      </c>
      <c r="T119" s="205">
        <v>-541651</v>
      </c>
    </row>
    <row r="120" spans="1:20" ht="12.75">
      <c r="A120" s="169">
        <v>113</v>
      </c>
      <c r="B120" s="172" t="s">
        <v>133</v>
      </c>
      <c r="C120" s="258" t="s">
        <v>134</v>
      </c>
      <c r="D120" s="205">
        <v>0</v>
      </c>
      <c r="E120" s="205">
        <v>88214280</v>
      </c>
      <c r="F120" s="205">
        <v>697139</v>
      </c>
      <c r="G120" s="205">
        <v>506812</v>
      </c>
      <c r="H120" s="205">
        <v>0</v>
      </c>
      <c r="I120" s="205">
        <v>89418231</v>
      </c>
      <c r="J120" s="205">
        <v>717272</v>
      </c>
      <c r="K120" s="205">
        <v>0</v>
      </c>
      <c r="L120" s="205">
        <v>46508843</v>
      </c>
      <c r="M120" s="205">
        <v>18603937</v>
      </c>
      <c r="N120" s="205">
        <v>27905906</v>
      </c>
      <c r="O120" s="205">
        <v>506812</v>
      </c>
      <c r="P120" s="205">
        <v>0</v>
      </c>
      <c r="Q120" s="205">
        <v>0</v>
      </c>
      <c r="R120" s="205">
        <v>94242770</v>
      </c>
      <c r="S120" s="205">
        <v>0</v>
      </c>
      <c r="T120" s="205">
        <v>-4824539</v>
      </c>
    </row>
    <row r="121" spans="1:20" ht="12.75">
      <c r="A121" s="169">
        <v>114</v>
      </c>
      <c r="B121" s="172" t="s">
        <v>135</v>
      </c>
      <c r="C121" s="258" t="s">
        <v>136</v>
      </c>
      <c r="D121" s="205">
        <v>0</v>
      </c>
      <c r="E121" s="205">
        <v>56755684</v>
      </c>
      <c r="F121" s="205">
        <v>502010</v>
      </c>
      <c r="G121" s="205">
        <v>0</v>
      </c>
      <c r="H121" s="205">
        <v>0</v>
      </c>
      <c r="I121" s="205">
        <v>57257694</v>
      </c>
      <c r="J121" s="205">
        <v>5924000</v>
      </c>
      <c r="K121" s="205">
        <v>141326</v>
      </c>
      <c r="L121" s="205">
        <v>24871264</v>
      </c>
      <c r="M121" s="205">
        <v>499061</v>
      </c>
      <c r="N121" s="205">
        <v>24453989</v>
      </c>
      <c r="O121" s="205">
        <v>217208</v>
      </c>
      <c r="P121" s="205">
        <v>166596</v>
      </c>
      <c r="Q121" s="205">
        <v>0</v>
      </c>
      <c r="R121" s="205">
        <v>56273444</v>
      </c>
      <c r="S121" s="205">
        <v>0</v>
      </c>
      <c r="T121" s="205">
        <v>984250</v>
      </c>
    </row>
    <row r="122" spans="1:20" ht="12.75">
      <c r="A122" s="169">
        <v>115</v>
      </c>
      <c r="B122" s="172" t="s">
        <v>137</v>
      </c>
      <c r="C122" s="258" t="s">
        <v>138</v>
      </c>
      <c r="D122" s="205">
        <v>0</v>
      </c>
      <c r="E122" s="205">
        <v>27172760</v>
      </c>
      <c r="F122" s="205">
        <v>63037</v>
      </c>
      <c r="G122" s="205">
        <v>0</v>
      </c>
      <c r="H122" s="205">
        <v>0</v>
      </c>
      <c r="I122" s="205">
        <v>27235797</v>
      </c>
      <c r="J122" s="205">
        <v>847600</v>
      </c>
      <c r="K122" s="205">
        <v>4220</v>
      </c>
      <c r="L122" s="205">
        <v>13394200</v>
      </c>
      <c r="M122" s="205">
        <v>2678840</v>
      </c>
      <c r="N122" s="205">
        <v>10715360</v>
      </c>
      <c r="O122" s="205">
        <v>154279</v>
      </c>
      <c r="P122" s="205">
        <v>0</v>
      </c>
      <c r="Q122" s="205">
        <v>0</v>
      </c>
      <c r="R122" s="205">
        <v>27794499</v>
      </c>
      <c r="S122" s="205">
        <v>0</v>
      </c>
      <c r="T122" s="205">
        <v>-558702</v>
      </c>
    </row>
    <row r="123" spans="1:20" ht="12.75">
      <c r="A123" s="169">
        <v>116</v>
      </c>
      <c r="B123" s="172" t="s">
        <v>139</v>
      </c>
      <c r="C123" s="258" t="s">
        <v>140</v>
      </c>
      <c r="D123" s="205">
        <v>0</v>
      </c>
      <c r="E123" s="205">
        <v>203310436</v>
      </c>
      <c r="F123" s="205">
        <v>1103030</v>
      </c>
      <c r="G123" s="205">
        <v>0</v>
      </c>
      <c r="H123" s="205">
        <v>0</v>
      </c>
      <c r="I123" s="205">
        <v>204413466</v>
      </c>
      <c r="J123" s="205">
        <v>57182440</v>
      </c>
      <c r="K123" s="205">
        <v>0</v>
      </c>
      <c r="L123" s="205">
        <v>82101160</v>
      </c>
      <c r="M123" s="205">
        <v>32840464</v>
      </c>
      <c r="N123" s="205">
        <v>49260696</v>
      </c>
      <c r="O123" s="205">
        <v>574203</v>
      </c>
      <c r="P123" s="205">
        <v>0</v>
      </c>
      <c r="Q123" s="205">
        <v>0</v>
      </c>
      <c r="R123" s="205">
        <v>221958963</v>
      </c>
      <c r="S123" s="205">
        <v>0</v>
      </c>
      <c r="T123" s="205">
        <v>-17545497</v>
      </c>
    </row>
    <row r="124" spans="1:20" ht="12.75">
      <c r="A124" s="169">
        <v>117</v>
      </c>
      <c r="B124" s="172" t="s">
        <v>141</v>
      </c>
      <c r="C124" s="258" t="s">
        <v>142</v>
      </c>
      <c r="D124" s="205">
        <v>0</v>
      </c>
      <c r="E124" s="205">
        <v>36502000</v>
      </c>
      <c r="F124" s="205">
        <v>19998</v>
      </c>
      <c r="G124" s="205">
        <v>0</v>
      </c>
      <c r="H124" s="205">
        <v>0</v>
      </c>
      <c r="I124" s="205">
        <v>36521998</v>
      </c>
      <c r="J124" s="205">
        <v>550000</v>
      </c>
      <c r="K124" s="205">
        <v>0</v>
      </c>
      <c r="L124" s="205">
        <v>17758607</v>
      </c>
      <c r="M124" s="205">
        <v>3551721</v>
      </c>
      <c r="N124" s="205">
        <v>14206886</v>
      </c>
      <c r="O124" s="205">
        <v>123350</v>
      </c>
      <c r="P124" s="205">
        <v>0</v>
      </c>
      <c r="Q124" s="205">
        <v>0</v>
      </c>
      <c r="R124" s="205">
        <v>36190564</v>
      </c>
      <c r="S124" s="205">
        <v>0</v>
      </c>
      <c r="T124" s="205">
        <v>331434</v>
      </c>
    </row>
    <row r="125" spans="1:20" ht="12.75">
      <c r="A125" s="169">
        <v>118</v>
      </c>
      <c r="B125" s="172" t="s">
        <v>143</v>
      </c>
      <c r="C125" s="258" t="s">
        <v>144</v>
      </c>
      <c r="D125" s="205">
        <v>0</v>
      </c>
      <c r="E125" s="205">
        <v>66193201</v>
      </c>
      <c r="F125" s="205">
        <v>229695</v>
      </c>
      <c r="G125" s="205">
        <v>0</v>
      </c>
      <c r="H125" s="205">
        <v>0</v>
      </c>
      <c r="I125" s="205">
        <v>66422896</v>
      </c>
      <c r="J125" s="205">
        <v>3362913</v>
      </c>
      <c r="K125" s="205">
        <v>0</v>
      </c>
      <c r="L125" s="205">
        <v>30961933</v>
      </c>
      <c r="M125" s="205">
        <v>12384773</v>
      </c>
      <c r="N125" s="205">
        <v>18577160</v>
      </c>
      <c r="O125" s="205">
        <v>309107</v>
      </c>
      <c r="P125" s="205">
        <v>0</v>
      </c>
      <c r="Q125" s="205">
        <v>0</v>
      </c>
      <c r="R125" s="205">
        <v>65595886</v>
      </c>
      <c r="S125" s="205">
        <v>0</v>
      </c>
      <c r="T125" s="205">
        <v>827010</v>
      </c>
    </row>
    <row r="126" spans="1:20" ht="12.75">
      <c r="A126" s="169">
        <v>119</v>
      </c>
      <c r="B126" s="172" t="s">
        <v>145</v>
      </c>
      <c r="C126" s="258" t="s">
        <v>146</v>
      </c>
      <c r="D126" s="205">
        <v>0</v>
      </c>
      <c r="E126" s="205">
        <v>43515127</v>
      </c>
      <c r="F126" s="205">
        <v>275045</v>
      </c>
      <c r="G126" s="205">
        <v>0</v>
      </c>
      <c r="H126" s="205">
        <v>0</v>
      </c>
      <c r="I126" s="205">
        <v>43790172</v>
      </c>
      <c r="J126" s="205">
        <v>1363806</v>
      </c>
      <c r="K126" s="205">
        <v>98945</v>
      </c>
      <c r="L126" s="205">
        <v>22389000</v>
      </c>
      <c r="M126" s="205">
        <v>4478000</v>
      </c>
      <c r="N126" s="205">
        <v>17911000</v>
      </c>
      <c r="O126" s="205">
        <v>580387</v>
      </c>
      <c r="P126" s="205">
        <v>0</v>
      </c>
      <c r="Q126" s="205">
        <v>0</v>
      </c>
      <c r="R126" s="205">
        <v>46821138</v>
      </c>
      <c r="S126" s="205">
        <v>0</v>
      </c>
      <c r="T126" s="205">
        <v>-3030966</v>
      </c>
    </row>
    <row r="127" spans="1:20" ht="12.75">
      <c r="A127" s="169">
        <v>120</v>
      </c>
      <c r="B127" s="172" t="s">
        <v>147</v>
      </c>
      <c r="C127" s="258" t="s">
        <v>148</v>
      </c>
      <c r="D127" s="205">
        <v>0</v>
      </c>
      <c r="E127" s="205">
        <v>61082842</v>
      </c>
      <c r="F127" s="205">
        <v>-25000</v>
      </c>
      <c r="G127" s="205">
        <v>0</v>
      </c>
      <c r="H127" s="205">
        <v>0</v>
      </c>
      <c r="I127" s="205">
        <v>61057842</v>
      </c>
      <c r="J127" s="205">
        <v>2171000</v>
      </c>
      <c r="K127" s="205">
        <v>61000</v>
      </c>
      <c r="L127" s="205">
        <v>29394151</v>
      </c>
      <c r="M127" s="205">
        <v>5878830</v>
      </c>
      <c r="N127" s="205">
        <v>23515320</v>
      </c>
      <c r="O127" s="205">
        <v>284541</v>
      </c>
      <c r="P127" s="205">
        <v>0</v>
      </c>
      <c r="Q127" s="205">
        <v>0</v>
      </c>
      <c r="R127" s="205">
        <v>61304842</v>
      </c>
      <c r="S127" s="205">
        <v>0</v>
      </c>
      <c r="T127" s="205">
        <v>-247000</v>
      </c>
    </row>
    <row r="128" spans="1:20" ht="12.75">
      <c r="A128" s="169">
        <v>121</v>
      </c>
      <c r="B128" s="172" t="s">
        <v>149</v>
      </c>
      <c r="C128" s="258" t="s">
        <v>150</v>
      </c>
      <c r="D128" s="205">
        <v>0</v>
      </c>
      <c r="E128" s="205">
        <v>51846769</v>
      </c>
      <c r="F128" s="205">
        <v>144709</v>
      </c>
      <c r="G128" s="205">
        <v>0</v>
      </c>
      <c r="H128" s="205">
        <v>0</v>
      </c>
      <c r="I128" s="205">
        <v>51991478</v>
      </c>
      <c r="J128" s="205">
        <v>2652783</v>
      </c>
      <c r="K128" s="205">
        <v>0</v>
      </c>
      <c r="L128" s="205">
        <v>24541620</v>
      </c>
      <c r="M128" s="205">
        <v>9816648</v>
      </c>
      <c r="N128" s="205">
        <v>14724972</v>
      </c>
      <c r="O128" s="205">
        <v>255455</v>
      </c>
      <c r="P128" s="205">
        <v>0</v>
      </c>
      <c r="Q128" s="205">
        <v>0</v>
      </c>
      <c r="R128" s="205">
        <v>51991478</v>
      </c>
      <c r="S128" s="205">
        <v>0</v>
      </c>
      <c r="T128" s="205">
        <v>0</v>
      </c>
    </row>
    <row r="129" spans="1:20" ht="12.75">
      <c r="A129" s="169">
        <v>122</v>
      </c>
      <c r="B129" s="172" t="s">
        <v>151</v>
      </c>
      <c r="C129" s="258" t="s">
        <v>152</v>
      </c>
      <c r="D129" s="205">
        <v>0</v>
      </c>
      <c r="E129" s="205">
        <v>30082181</v>
      </c>
      <c r="F129" s="205">
        <v>81086</v>
      </c>
      <c r="G129" s="205">
        <v>0</v>
      </c>
      <c r="H129" s="205">
        <v>0</v>
      </c>
      <c r="I129" s="205">
        <v>30163267</v>
      </c>
      <c r="J129" s="205">
        <v>1531741</v>
      </c>
      <c r="K129" s="205">
        <v>9859</v>
      </c>
      <c r="L129" s="205">
        <v>24430050</v>
      </c>
      <c r="M129" s="205">
        <v>2851941</v>
      </c>
      <c r="N129" s="205">
        <v>1237423</v>
      </c>
      <c r="O129" s="205">
        <v>100079</v>
      </c>
      <c r="P129" s="205">
        <v>0</v>
      </c>
      <c r="Q129" s="205">
        <v>0</v>
      </c>
      <c r="R129" s="205">
        <v>30161093</v>
      </c>
      <c r="S129" s="205">
        <v>0</v>
      </c>
      <c r="T129" s="205">
        <v>2174</v>
      </c>
    </row>
    <row r="130" spans="1:20" ht="12.75">
      <c r="A130" s="169">
        <v>123</v>
      </c>
      <c r="B130" s="172" t="s">
        <v>153</v>
      </c>
      <c r="C130" s="258" t="s">
        <v>154</v>
      </c>
      <c r="D130" s="205">
        <v>0</v>
      </c>
      <c r="E130" s="205">
        <v>30273132</v>
      </c>
      <c r="F130" s="205">
        <v>9363942</v>
      </c>
      <c r="G130" s="205">
        <v>0</v>
      </c>
      <c r="H130" s="205">
        <v>0</v>
      </c>
      <c r="I130" s="205">
        <v>39637074</v>
      </c>
      <c r="J130" s="205">
        <v>4230650</v>
      </c>
      <c r="K130" s="205">
        <v>17497552</v>
      </c>
      <c r="L130" s="205">
        <v>0</v>
      </c>
      <c r="M130" s="205">
        <v>350924</v>
      </c>
      <c r="N130" s="205">
        <v>17195290</v>
      </c>
      <c r="O130" s="205">
        <v>124826</v>
      </c>
      <c r="P130" s="205">
        <v>0</v>
      </c>
      <c r="Q130" s="205">
        <v>0</v>
      </c>
      <c r="R130" s="205">
        <v>39399242</v>
      </c>
      <c r="S130" s="205">
        <v>0</v>
      </c>
      <c r="T130" s="205">
        <v>237832</v>
      </c>
    </row>
    <row r="131" spans="1:20" ht="12.75">
      <c r="A131" s="169">
        <v>124</v>
      </c>
      <c r="B131" s="172" t="s">
        <v>155</v>
      </c>
      <c r="C131" s="258" t="s">
        <v>156</v>
      </c>
      <c r="D131" s="205">
        <v>0</v>
      </c>
      <c r="E131" s="205">
        <v>21747397</v>
      </c>
      <c r="F131" s="205">
        <v>116000</v>
      </c>
      <c r="G131" s="205">
        <v>0</v>
      </c>
      <c r="H131" s="205">
        <v>0</v>
      </c>
      <c r="I131" s="205">
        <v>21863397</v>
      </c>
      <c r="J131" s="205">
        <v>877219</v>
      </c>
      <c r="K131" s="205">
        <v>0</v>
      </c>
      <c r="L131" s="205">
        <v>10510135</v>
      </c>
      <c r="M131" s="205">
        <v>2102027</v>
      </c>
      <c r="N131" s="205">
        <v>8408108</v>
      </c>
      <c r="O131" s="205">
        <v>123130</v>
      </c>
      <c r="P131" s="205">
        <v>0</v>
      </c>
      <c r="Q131" s="205">
        <v>0</v>
      </c>
      <c r="R131" s="205">
        <v>22020619</v>
      </c>
      <c r="S131" s="205">
        <v>0</v>
      </c>
      <c r="T131" s="205">
        <v>-157222</v>
      </c>
    </row>
    <row r="132" spans="1:20" ht="12.75">
      <c r="A132" s="169">
        <v>125</v>
      </c>
      <c r="B132" s="172" t="s">
        <v>157</v>
      </c>
      <c r="C132" s="258" t="s">
        <v>158</v>
      </c>
      <c r="D132" s="205">
        <v>0</v>
      </c>
      <c r="E132" s="205">
        <v>31998562</v>
      </c>
      <c r="F132" s="205">
        <v>21937</v>
      </c>
      <c r="G132" s="205">
        <v>0</v>
      </c>
      <c r="H132" s="205">
        <v>0</v>
      </c>
      <c r="I132" s="205">
        <v>32020499</v>
      </c>
      <c r="J132" s="205">
        <v>150000</v>
      </c>
      <c r="K132" s="205">
        <v>94081</v>
      </c>
      <c r="L132" s="205">
        <v>15623824</v>
      </c>
      <c r="M132" s="205">
        <v>3124764</v>
      </c>
      <c r="N132" s="205">
        <v>12499059</v>
      </c>
      <c r="O132" s="205">
        <v>140839</v>
      </c>
      <c r="P132" s="205">
        <v>0</v>
      </c>
      <c r="Q132" s="205">
        <v>0</v>
      </c>
      <c r="R132" s="205">
        <v>31632567</v>
      </c>
      <c r="S132" s="205">
        <v>0</v>
      </c>
      <c r="T132" s="205">
        <v>387931</v>
      </c>
    </row>
    <row r="133" spans="1:20" ht="12.75">
      <c r="A133" s="169">
        <v>126</v>
      </c>
      <c r="B133" s="172" t="s">
        <v>159</v>
      </c>
      <c r="C133" s="258" t="s">
        <v>160</v>
      </c>
      <c r="D133" s="205">
        <v>0</v>
      </c>
      <c r="E133" s="205">
        <v>72287380</v>
      </c>
      <c r="F133" s="205">
        <v>51576</v>
      </c>
      <c r="G133" s="205">
        <v>-274180</v>
      </c>
      <c r="H133" s="205">
        <v>0</v>
      </c>
      <c r="I133" s="205">
        <v>72064776</v>
      </c>
      <c r="J133" s="205">
        <v>5670025</v>
      </c>
      <c r="K133" s="205">
        <v>324378</v>
      </c>
      <c r="L133" s="205">
        <v>34569179</v>
      </c>
      <c r="M133" s="205">
        <v>13827671</v>
      </c>
      <c r="N133" s="205">
        <v>20741507</v>
      </c>
      <c r="O133" s="205">
        <v>0</v>
      </c>
      <c r="P133" s="205">
        <v>0</v>
      </c>
      <c r="Q133" s="205">
        <v>0</v>
      </c>
      <c r="R133" s="205">
        <v>75132760</v>
      </c>
      <c r="S133" s="205">
        <v>0</v>
      </c>
      <c r="T133" s="205">
        <v>-3067983</v>
      </c>
    </row>
    <row r="134" spans="1:20" ht="12.75">
      <c r="A134" s="169">
        <v>127</v>
      </c>
      <c r="B134" s="172" t="s">
        <v>161</v>
      </c>
      <c r="C134" s="258" t="s">
        <v>162</v>
      </c>
      <c r="D134" s="205">
        <v>0</v>
      </c>
      <c r="E134" s="205">
        <v>45925034</v>
      </c>
      <c r="F134" s="205">
        <v>93640</v>
      </c>
      <c r="G134" s="205">
        <v>0</v>
      </c>
      <c r="H134" s="205">
        <v>0</v>
      </c>
      <c r="I134" s="205">
        <v>46018674</v>
      </c>
      <c r="J134" s="205">
        <v>1958794</v>
      </c>
      <c r="K134" s="205">
        <v>0</v>
      </c>
      <c r="L134" s="205">
        <v>23117741</v>
      </c>
      <c r="M134" s="205">
        <v>463490</v>
      </c>
      <c r="N134" s="205">
        <v>22711033</v>
      </c>
      <c r="O134" s="205">
        <v>313562</v>
      </c>
      <c r="P134" s="205">
        <v>0</v>
      </c>
      <c r="Q134" s="205">
        <v>0</v>
      </c>
      <c r="R134" s="205">
        <v>48564620</v>
      </c>
      <c r="S134" s="205">
        <v>935066</v>
      </c>
      <c r="T134" s="205">
        <v>-1610880</v>
      </c>
    </row>
    <row r="135" spans="1:20" ht="12.75">
      <c r="A135" s="169">
        <v>128</v>
      </c>
      <c r="B135" s="172" t="s">
        <v>163</v>
      </c>
      <c r="C135" s="258" t="s">
        <v>164</v>
      </c>
      <c r="D135" s="205">
        <v>0</v>
      </c>
      <c r="E135" s="205">
        <v>45294975</v>
      </c>
      <c r="F135" s="205">
        <v>84552</v>
      </c>
      <c r="G135" s="205">
        <v>0</v>
      </c>
      <c r="H135" s="205">
        <v>0</v>
      </c>
      <c r="I135" s="205">
        <v>45379527</v>
      </c>
      <c r="J135" s="205">
        <v>7504680</v>
      </c>
      <c r="K135" s="205">
        <v>35645</v>
      </c>
      <c r="L135" s="205">
        <v>21242341</v>
      </c>
      <c r="M135" s="205">
        <v>4248468</v>
      </c>
      <c r="N135" s="205">
        <v>16993873</v>
      </c>
      <c r="O135" s="205">
        <v>0</v>
      </c>
      <c r="P135" s="205">
        <v>0</v>
      </c>
      <c r="Q135" s="205">
        <v>0</v>
      </c>
      <c r="R135" s="205">
        <v>50025007</v>
      </c>
      <c r="S135" s="205">
        <v>0</v>
      </c>
      <c r="T135" s="205">
        <v>-4645479</v>
      </c>
    </row>
    <row r="136" spans="1:20" ht="12.75">
      <c r="A136" s="169">
        <v>129</v>
      </c>
      <c r="B136" s="172" t="s">
        <v>165</v>
      </c>
      <c r="C136" s="258" t="s">
        <v>166</v>
      </c>
      <c r="D136" s="205">
        <v>0</v>
      </c>
      <c r="E136" s="205">
        <v>23286426</v>
      </c>
      <c r="F136" s="205">
        <v>85031</v>
      </c>
      <c r="G136" s="205">
        <v>0</v>
      </c>
      <c r="H136" s="205">
        <v>0</v>
      </c>
      <c r="I136" s="205">
        <v>23371457</v>
      </c>
      <c r="J136" s="205">
        <v>305308</v>
      </c>
      <c r="K136" s="205">
        <v>0</v>
      </c>
      <c r="L136" s="205">
        <v>11574859</v>
      </c>
      <c r="M136" s="205">
        <v>2314972</v>
      </c>
      <c r="N136" s="205">
        <v>9259887</v>
      </c>
      <c r="O136" s="205">
        <v>135442</v>
      </c>
      <c r="P136" s="205">
        <v>0</v>
      </c>
      <c r="Q136" s="205">
        <v>0</v>
      </c>
      <c r="R136" s="205">
        <v>23590468</v>
      </c>
      <c r="S136" s="205">
        <v>0</v>
      </c>
      <c r="T136" s="205">
        <v>-219011</v>
      </c>
    </row>
    <row r="137" spans="1:20" ht="12.75">
      <c r="A137" s="169">
        <v>130</v>
      </c>
      <c r="B137" s="172" t="s">
        <v>167</v>
      </c>
      <c r="C137" s="258" t="s">
        <v>168</v>
      </c>
      <c r="D137" s="205">
        <v>0</v>
      </c>
      <c r="E137" s="205">
        <v>339788821</v>
      </c>
      <c r="F137" s="205">
        <v>263000</v>
      </c>
      <c r="G137" s="205">
        <v>0</v>
      </c>
      <c r="H137" s="205">
        <v>0</v>
      </c>
      <c r="I137" s="205">
        <v>340051821</v>
      </c>
      <c r="J137" s="205">
        <v>8500000</v>
      </c>
      <c r="K137" s="205">
        <v>227000</v>
      </c>
      <c r="L137" s="205">
        <v>165662411</v>
      </c>
      <c r="M137" s="205">
        <v>66264964</v>
      </c>
      <c r="N137" s="205">
        <v>99397446</v>
      </c>
      <c r="O137" s="205">
        <v>0</v>
      </c>
      <c r="P137" s="205">
        <v>0</v>
      </c>
      <c r="Q137" s="205">
        <v>0</v>
      </c>
      <c r="R137" s="205">
        <v>340051821</v>
      </c>
      <c r="S137" s="205">
        <v>0</v>
      </c>
      <c r="T137" s="205">
        <v>0</v>
      </c>
    </row>
    <row r="138" spans="1:20" ht="12.75">
      <c r="A138" s="169">
        <v>131</v>
      </c>
      <c r="B138" s="172" t="s">
        <v>169</v>
      </c>
      <c r="C138" s="258" t="s">
        <v>170</v>
      </c>
      <c r="D138" s="205">
        <v>0</v>
      </c>
      <c r="E138" s="205">
        <v>28219000</v>
      </c>
      <c r="F138" s="205">
        <v>9000</v>
      </c>
      <c r="G138" s="205">
        <v>0</v>
      </c>
      <c r="H138" s="205">
        <v>0</v>
      </c>
      <c r="I138" s="205">
        <v>28228000</v>
      </c>
      <c r="J138" s="205">
        <v>575942</v>
      </c>
      <c r="K138" s="205">
        <v>85000</v>
      </c>
      <c r="L138" s="205">
        <v>13615525</v>
      </c>
      <c r="M138" s="205">
        <v>2723106</v>
      </c>
      <c r="N138" s="205">
        <v>10892420</v>
      </c>
      <c r="O138" s="205">
        <v>222683</v>
      </c>
      <c r="P138" s="205">
        <v>0</v>
      </c>
      <c r="Q138" s="205">
        <v>0</v>
      </c>
      <c r="R138" s="205">
        <v>28114676</v>
      </c>
      <c r="S138" s="205">
        <v>0</v>
      </c>
      <c r="T138" s="205">
        <v>113324</v>
      </c>
    </row>
    <row r="139" spans="1:20" ht="12.75">
      <c r="A139" s="169">
        <v>132</v>
      </c>
      <c r="B139" s="172" t="s">
        <v>171</v>
      </c>
      <c r="C139" s="258" t="s">
        <v>172</v>
      </c>
      <c r="D139" s="205">
        <v>0</v>
      </c>
      <c r="E139" s="205">
        <v>40076966</v>
      </c>
      <c r="F139" s="205">
        <v>49382</v>
      </c>
      <c r="G139" s="205">
        <v>0</v>
      </c>
      <c r="H139" s="205">
        <v>0</v>
      </c>
      <c r="I139" s="205">
        <v>40126348</v>
      </c>
      <c r="J139" s="205">
        <v>1885344</v>
      </c>
      <c r="K139" s="205">
        <v>0</v>
      </c>
      <c r="L139" s="205">
        <v>19031821</v>
      </c>
      <c r="M139" s="205">
        <v>3806364</v>
      </c>
      <c r="N139" s="205">
        <v>15225457</v>
      </c>
      <c r="O139" s="205">
        <v>177362</v>
      </c>
      <c r="P139" s="205">
        <v>0</v>
      </c>
      <c r="Q139" s="205">
        <v>0</v>
      </c>
      <c r="R139" s="205">
        <v>40126348</v>
      </c>
      <c r="S139" s="205">
        <v>0</v>
      </c>
      <c r="T139" s="205">
        <v>0</v>
      </c>
    </row>
    <row r="140" spans="1:20" ht="12.75">
      <c r="A140" s="169">
        <v>133</v>
      </c>
      <c r="B140" s="172" t="s">
        <v>173</v>
      </c>
      <c r="C140" s="258" t="s">
        <v>174</v>
      </c>
      <c r="D140" s="205">
        <v>0</v>
      </c>
      <c r="E140" s="205">
        <v>158072455</v>
      </c>
      <c r="F140" s="205">
        <v>0</v>
      </c>
      <c r="G140" s="205">
        <v>0</v>
      </c>
      <c r="H140" s="205">
        <v>0</v>
      </c>
      <c r="I140" s="205">
        <v>158072455</v>
      </c>
      <c r="J140" s="205">
        <v>23500000</v>
      </c>
      <c r="K140" s="205">
        <v>730272</v>
      </c>
      <c r="L140" s="205">
        <v>69682469</v>
      </c>
      <c r="M140" s="205">
        <v>27872987</v>
      </c>
      <c r="N140" s="205">
        <v>41809481</v>
      </c>
      <c r="O140" s="205">
        <v>401106</v>
      </c>
      <c r="P140" s="205">
        <v>0</v>
      </c>
      <c r="Q140" s="205">
        <v>0</v>
      </c>
      <c r="R140" s="205">
        <v>163996315</v>
      </c>
      <c r="S140" s="205">
        <v>0</v>
      </c>
      <c r="T140" s="205">
        <v>-5923860</v>
      </c>
    </row>
    <row r="141" spans="1:20" ht="12.75">
      <c r="A141" s="169">
        <v>134</v>
      </c>
      <c r="B141" s="172" t="s">
        <v>175</v>
      </c>
      <c r="C141" s="258" t="s">
        <v>176</v>
      </c>
      <c r="D141" s="205">
        <v>0</v>
      </c>
      <c r="E141" s="205">
        <v>57672979</v>
      </c>
      <c r="F141" s="205">
        <v>94052</v>
      </c>
      <c r="G141" s="205">
        <v>291412</v>
      </c>
      <c r="H141" s="205">
        <v>0</v>
      </c>
      <c r="I141" s="205">
        <v>58058443</v>
      </c>
      <c r="J141" s="205">
        <v>3053996</v>
      </c>
      <c r="K141" s="205">
        <v>215197</v>
      </c>
      <c r="L141" s="205">
        <v>28674261</v>
      </c>
      <c r="M141" s="205">
        <v>5855512</v>
      </c>
      <c r="N141" s="205">
        <v>23422051</v>
      </c>
      <c r="O141" s="205">
        <v>6302</v>
      </c>
      <c r="P141" s="205">
        <v>285110</v>
      </c>
      <c r="Q141" s="205">
        <v>0</v>
      </c>
      <c r="R141" s="205">
        <v>61512429</v>
      </c>
      <c r="S141" s="205">
        <v>608000</v>
      </c>
      <c r="T141" s="205">
        <v>-2845986</v>
      </c>
    </row>
    <row r="142" spans="1:20" ht="12.75">
      <c r="A142" s="169">
        <v>135</v>
      </c>
      <c r="B142" s="172" t="s">
        <v>177</v>
      </c>
      <c r="C142" s="258" t="s">
        <v>178</v>
      </c>
      <c r="D142" s="205">
        <v>0</v>
      </c>
      <c r="E142" s="205">
        <v>20843800</v>
      </c>
      <c r="F142" s="205">
        <v>0</v>
      </c>
      <c r="G142" s="205">
        <v>0</v>
      </c>
      <c r="H142" s="205">
        <v>0</v>
      </c>
      <c r="I142" s="205">
        <v>20843800</v>
      </c>
      <c r="J142" s="205">
        <v>1228702</v>
      </c>
      <c r="K142" s="205">
        <v>103609</v>
      </c>
      <c r="L142" s="205">
        <v>10459422</v>
      </c>
      <c r="M142" s="205">
        <v>2091884</v>
      </c>
      <c r="N142" s="205">
        <v>8367538</v>
      </c>
      <c r="O142" s="205">
        <v>133530</v>
      </c>
      <c r="P142" s="205">
        <v>0</v>
      </c>
      <c r="Q142" s="205">
        <v>0</v>
      </c>
      <c r="R142" s="205">
        <v>22384685</v>
      </c>
      <c r="S142" s="205">
        <v>0</v>
      </c>
      <c r="T142" s="205">
        <v>-1540885</v>
      </c>
    </row>
    <row r="143" spans="1:20" ht="12.75">
      <c r="A143" s="169">
        <v>136</v>
      </c>
      <c r="B143" s="172" t="s">
        <v>179</v>
      </c>
      <c r="C143" s="258" t="s">
        <v>180</v>
      </c>
      <c r="D143" s="205">
        <v>0</v>
      </c>
      <c r="E143" s="205">
        <v>55447577</v>
      </c>
      <c r="F143" s="205">
        <v>135396</v>
      </c>
      <c r="G143" s="205">
        <v>192368</v>
      </c>
      <c r="H143" s="205">
        <v>0</v>
      </c>
      <c r="I143" s="205">
        <v>55775341</v>
      </c>
      <c r="J143" s="205">
        <v>2297850</v>
      </c>
      <c r="K143" s="205">
        <v>24523</v>
      </c>
      <c r="L143" s="205">
        <v>26326505</v>
      </c>
      <c r="M143" s="205">
        <v>5265301</v>
      </c>
      <c r="N143" s="205">
        <v>21061204</v>
      </c>
      <c r="O143" s="205">
        <v>192368</v>
      </c>
      <c r="P143" s="205">
        <v>0</v>
      </c>
      <c r="Q143" s="205">
        <v>0</v>
      </c>
      <c r="R143" s="205">
        <v>55167751</v>
      </c>
      <c r="S143" s="205">
        <v>0</v>
      </c>
      <c r="T143" s="205">
        <v>607590</v>
      </c>
    </row>
    <row r="144" spans="1:20" ht="12.75">
      <c r="A144" s="169">
        <v>137</v>
      </c>
      <c r="B144" s="172" t="s">
        <v>181</v>
      </c>
      <c r="C144" s="258" t="s">
        <v>182</v>
      </c>
      <c r="D144" s="205">
        <v>0</v>
      </c>
      <c r="E144" s="205">
        <v>34579803</v>
      </c>
      <c r="F144" s="205">
        <v>166135</v>
      </c>
      <c r="G144" s="205">
        <v>0</v>
      </c>
      <c r="H144" s="205">
        <v>0</v>
      </c>
      <c r="I144" s="205">
        <v>34745938</v>
      </c>
      <c r="J144" s="205">
        <v>4056000</v>
      </c>
      <c r="K144" s="205">
        <v>212714</v>
      </c>
      <c r="L144" s="205">
        <v>16882953</v>
      </c>
      <c r="M144" s="205">
        <v>0</v>
      </c>
      <c r="N144" s="205">
        <v>16882953</v>
      </c>
      <c r="O144" s="205">
        <v>250493</v>
      </c>
      <c r="P144" s="205">
        <v>0</v>
      </c>
      <c r="Q144" s="205">
        <v>0</v>
      </c>
      <c r="R144" s="205">
        <v>38285113</v>
      </c>
      <c r="S144" s="205">
        <v>0</v>
      </c>
      <c r="T144" s="205">
        <v>-3539175</v>
      </c>
    </row>
    <row r="145" spans="1:20" ht="12.75">
      <c r="A145" s="169">
        <v>138</v>
      </c>
      <c r="B145" s="172" t="s">
        <v>183</v>
      </c>
      <c r="C145" s="258" t="s">
        <v>184</v>
      </c>
      <c r="D145" s="205">
        <v>0</v>
      </c>
      <c r="E145" s="205">
        <v>1609182</v>
      </c>
      <c r="F145" s="205">
        <v>44853</v>
      </c>
      <c r="G145" s="205">
        <v>0</v>
      </c>
      <c r="H145" s="205">
        <v>0</v>
      </c>
      <c r="I145" s="205">
        <v>1654035</v>
      </c>
      <c r="J145" s="205">
        <v>45000</v>
      </c>
      <c r="K145" s="205">
        <v>3043</v>
      </c>
      <c r="L145" s="205">
        <v>827919</v>
      </c>
      <c r="M145" s="205">
        <v>0</v>
      </c>
      <c r="N145" s="205">
        <v>827919</v>
      </c>
      <c r="O145" s="205">
        <v>0</v>
      </c>
      <c r="P145" s="205">
        <v>121686</v>
      </c>
      <c r="Q145" s="205">
        <v>0</v>
      </c>
      <c r="R145" s="205">
        <v>1825567</v>
      </c>
      <c r="S145" s="205">
        <v>0</v>
      </c>
      <c r="T145" s="205">
        <v>-171532</v>
      </c>
    </row>
    <row r="146" spans="1:20" ht="12.75">
      <c r="A146" s="169">
        <v>139</v>
      </c>
      <c r="B146" s="172" t="s">
        <v>185</v>
      </c>
      <c r="C146" s="258" t="s">
        <v>187</v>
      </c>
      <c r="D146" s="205">
        <v>0</v>
      </c>
      <c r="E146" s="205">
        <v>184346353</v>
      </c>
      <c r="F146" s="205">
        <v>873035</v>
      </c>
      <c r="G146" s="205">
        <v>0</v>
      </c>
      <c r="H146" s="205">
        <v>0</v>
      </c>
      <c r="I146" s="205">
        <v>185219388</v>
      </c>
      <c r="J146" s="205">
        <v>2902000</v>
      </c>
      <c r="K146" s="205">
        <v>509557</v>
      </c>
      <c r="L146" s="205">
        <v>91409142</v>
      </c>
      <c r="M146" s="205">
        <v>36563656</v>
      </c>
      <c r="N146" s="205">
        <v>54845485</v>
      </c>
      <c r="O146" s="205">
        <v>656470</v>
      </c>
      <c r="P146" s="205">
        <v>0</v>
      </c>
      <c r="Q146" s="205">
        <v>0</v>
      </c>
      <c r="R146" s="205">
        <v>186886310</v>
      </c>
      <c r="S146" s="205">
        <v>0</v>
      </c>
      <c r="T146" s="205">
        <v>-1666922</v>
      </c>
    </row>
    <row r="147" spans="1:20" ht="12.75">
      <c r="A147" s="169">
        <v>140</v>
      </c>
      <c r="B147" s="172" t="s">
        <v>188</v>
      </c>
      <c r="C147" s="258" t="s">
        <v>189</v>
      </c>
      <c r="D147" s="205">
        <v>0</v>
      </c>
      <c r="E147" s="205">
        <v>279890610</v>
      </c>
      <c r="F147" s="205">
        <v>24993</v>
      </c>
      <c r="G147" s="205">
        <v>619513</v>
      </c>
      <c r="H147" s="205">
        <v>0</v>
      </c>
      <c r="I147" s="205">
        <v>280535116</v>
      </c>
      <c r="J147" s="205">
        <v>18148793</v>
      </c>
      <c r="K147" s="205">
        <v>564041</v>
      </c>
      <c r="L147" s="205">
        <v>130911141</v>
      </c>
      <c r="M147" s="205">
        <v>52364456</v>
      </c>
      <c r="N147" s="205">
        <v>78546685</v>
      </c>
      <c r="O147" s="205">
        <v>0</v>
      </c>
      <c r="P147" s="205">
        <v>0</v>
      </c>
      <c r="Q147" s="205">
        <v>0</v>
      </c>
      <c r="R147" s="205">
        <v>280535116</v>
      </c>
      <c r="S147" s="205">
        <v>0</v>
      </c>
      <c r="T147" s="205">
        <v>0</v>
      </c>
    </row>
    <row r="148" spans="1:20" ht="12.75">
      <c r="A148" s="169">
        <v>141</v>
      </c>
      <c r="B148" s="172" t="s">
        <v>190</v>
      </c>
      <c r="C148" s="258" t="s">
        <v>191</v>
      </c>
      <c r="D148" s="205">
        <v>0</v>
      </c>
      <c r="E148" s="205">
        <v>31118668</v>
      </c>
      <c r="F148" s="205">
        <v>21322</v>
      </c>
      <c r="G148" s="205">
        <v>0</v>
      </c>
      <c r="H148" s="205">
        <v>0</v>
      </c>
      <c r="I148" s="205">
        <v>31139990</v>
      </c>
      <c r="J148" s="205">
        <v>1300000</v>
      </c>
      <c r="K148" s="205">
        <v>266209</v>
      </c>
      <c r="L148" s="205">
        <v>14497451</v>
      </c>
      <c r="M148" s="205">
        <v>2899490</v>
      </c>
      <c r="N148" s="205">
        <v>11597961</v>
      </c>
      <c r="O148" s="205">
        <v>110894</v>
      </c>
      <c r="P148" s="205">
        <v>0</v>
      </c>
      <c r="Q148" s="205">
        <v>0</v>
      </c>
      <c r="R148" s="205">
        <v>30672005</v>
      </c>
      <c r="S148" s="205">
        <v>0</v>
      </c>
      <c r="T148" s="205">
        <v>467985</v>
      </c>
    </row>
    <row r="149" spans="1:20" ht="12.75">
      <c r="A149" s="169">
        <v>142</v>
      </c>
      <c r="B149" s="172" t="s">
        <v>192</v>
      </c>
      <c r="C149" s="258" t="s">
        <v>193</v>
      </c>
      <c r="D149" s="205">
        <v>0</v>
      </c>
      <c r="E149" s="205">
        <v>45219459</v>
      </c>
      <c r="F149" s="205">
        <v>516447</v>
      </c>
      <c r="G149" s="205">
        <v>0</v>
      </c>
      <c r="H149" s="205">
        <v>0</v>
      </c>
      <c r="I149" s="205">
        <v>45735906</v>
      </c>
      <c r="J149" s="205">
        <v>5586381</v>
      </c>
      <c r="K149" s="205">
        <v>114710</v>
      </c>
      <c r="L149" s="205">
        <v>19871181</v>
      </c>
      <c r="M149" s="205">
        <v>3974236</v>
      </c>
      <c r="N149" s="205">
        <v>15896945</v>
      </c>
      <c r="O149" s="205">
        <v>217154</v>
      </c>
      <c r="P149" s="205">
        <v>329248</v>
      </c>
      <c r="Q149" s="205">
        <v>0</v>
      </c>
      <c r="R149" s="205">
        <v>45989855</v>
      </c>
      <c r="S149" s="205">
        <v>0</v>
      </c>
      <c r="T149" s="205">
        <v>-253949</v>
      </c>
    </row>
    <row r="150" spans="1:20" ht="12.75">
      <c r="A150" s="169">
        <v>143</v>
      </c>
      <c r="B150" s="172" t="s">
        <v>194</v>
      </c>
      <c r="C150" s="258" t="s">
        <v>195</v>
      </c>
      <c r="D150" s="205">
        <v>0</v>
      </c>
      <c r="E150" s="205">
        <v>88952386</v>
      </c>
      <c r="F150" s="205">
        <v>437000</v>
      </c>
      <c r="G150" s="205">
        <v>0</v>
      </c>
      <c r="H150" s="205">
        <v>0</v>
      </c>
      <c r="I150" s="205">
        <v>89389386</v>
      </c>
      <c r="J150" s="205">
        <v>4336595</v>
      </c>
      <c r="K150" s="205">
        <v>274000</v>
      </c>
      <c r="L150" s="205">
        <v>42177066</v>
      </c>
      <c r="M150" s="205">
        <v>843541</v>
      </c>
      <c r="N150" s="205">
        <v>41333524</v>
      </c>
      <c r="O150" s="205">
        <v>424660</v>
      </c>
      <c r="P150" s="205">
        <v>0</v>
      </c>
      <c r="Q150" s="205">
        <v>0</v>
      </c>
      <c r="R150" s="205">
        <v>89389386</v>
      </c>
      <c r="S150" s="205">
        <v>0</v>
      </c>
      <c r="T150" s="205">
        <v>0</v>
      </c>
    </row>
    <row r="151" spans="1:20" ht="12.75">
      <c r="A151" s="169">
        <v>144</v>
      </c>
      <c r="B151" s="172" t="s">
        <v>196</v>
      </c>
      <c r="C151" s="258" t="s">
        <v>197</v>
      </c>
      <c r="D151" s="205">
        <v>0</v>
      </c>
      <c r="E151" s="205">
        <v>81879000</v>
      </c>
      <c r="F151" s="205">
        <v>37272</v>
      </c>
      <c r="G151" s="205">
        <v>0</v>
      </c>
      <c r="H151" s="205">
        <v>0</v>
      </c>
      <c r="I151" s="205">
        <v>81916272</v>
      </c>
      <c r="J151" s="205">
        <v>12810000</v>
      </c>
      <c r="K151" s="205">
        <v>29414</v>
      </c>
      <c r="L151" s="205">
        <v>37969238</v>
      </c>
      <c r="M151" s="205">
        <v>15187695</v>
      </c>
      <c r="N151" s="205">
        <v>22781543</v>
      </c>
      <c r="O151" s="205">
        <v>0</v>
      </c>
      <c r="P151" s="205">
        <v>0</v>
      </c>
      <c r="Q151" s="205">
        <v>0</v>
      </c>
      <c r="R151" s="205">
        <v>88777890</v>
      </c>
      <c r="S151" s="205">
        <v>0</v>
      </c>
      <c r="T151" s="205">
        <v>-6861618</v>
      </c>
    </row>
    <row r="152" spans="1:20" ht="12.75">
      <c r="A152" s="169">
        <v>145</v>
      </c>
      <c r="B152" s="172" t="s">
        <v>198</v>
      </c>
      <c r="C152" s="258" t="s">
        <v>199</v>
      </c>
      <c r="D152" s="205">
        <v>0</v>
      </c>
      <c r="E152" s="205">
        <v>106694917</v>
      </c>
      <c r="F152" s="205">
        <v>0</v>
      </c>
      <c r="G152" s="205">
        <v>614074</v>
      </c>
      <c r="H152" s="205">
        <v>0</v>
      </c>
      <c r="I152" s="205">
        <v>107308991</v>
      </c>
      <c r="J152" s="205">
        <v>5417291</v>
      </c>
      <c r="K152" s="205">
        <v>137402</v>
      </c>
      <c r="L152" s="205">
        <v>52222258</v>
      </c>
      <c r="M152" s="205">
        <v>1044445</v>
      </c>
      <c r="N152" s="205">
        <v>51177812</v>
      </c>
      <c r="O152" s="205">
        <v>614074</v>
      </c>
      <c r="P152" s="205">
        <v>0</v>
      </c>
      <c r="Q152" s="205">
        <v>0</v>
      </c>
      <c r="R152" s="205">
        <v>110613282</v>
      </c>
      <c r="S152" s="205">
        <v>0</v>
      </c>
      <c r="T152" s="205">
        <v>-3304291</v>
      </c>
    </row>
    <row r="153" spans="1:20" ht="12.75">
      <c r="A153" s="169">
        <v>146</v>
      </c>
      <c r="B153" s="172" t="s">
        <v>200</v>
      </c>
      <c r="C153" s="258" t="s">
        <v>201</v>
      </c>
      <c r="D153" s="205">
        <v>0</v>
      </c>
      <c r="E153" s="205">
        <v>42774185</v>
      </c>
      <c r="F153" s="205">
        <v>0</v>
      </c>
      <c r="G153" s="205">
        <v>0</v>
      </c>
      <c r="H153" s="205">
        <v>0</v>
      </c>
      <c r="I153" s="205">
        <v>42774185</v>
      </c>
      <c r="J153" s="205">
        <v>3396919</v>
      </c>
      <c r="K153" s="205">
        <v>807</v>
      </c>
      <c r="L153" s="205">
        <v>19726676</v>
      </c>
      <c r="M153" s="205">
        <v>394534</v>
      </c>
      <c r="N153" s="205">
        <v>19332142</v>
      </c>
      <c r="O153" s="205">
        <v>135690</v>
      </c>
      <c r="P153" s="205">
        <v>0</v>
      </c>
      <c r="Q153" s="205">
        <v>0</v>
      </c>
      <c r="R153" s="205">
        <v>42986768</v>
      </c>
      <c r="S153" s="205">
        <v>0</v>
      </c>
      <c r="T153" s="205">
        <v>-212583</v>
      </c>
    </row>
    <row r="154" spans="1:20" ht="12.75">
      <c r="A154" s="169">
        <v>147</v>
      </c>
      <c r="B154" s="172" t="s">
        <v>202</v>
      </c>
      <c r="C154" s="258" t="s">
        <v>203</v>
      </c>
      <c r="D154" s="205">
        <v>0</v>
      </c>
      <c r="E154" s="205">
        <v>124292556</v>
      </c>
      <c r="F154" s="205">
        <v>36675</v>
      </c>
      <c r="G154" s="205">
        <v>0</v>
      </c>
      <c r="H154" s="205">
        <v>0</v>
      </c>
      <c r="I154" s="205">
        <v>124329231</v>
      </c>
      <c r="J154" s="205">
        <v>11535467</v>
      </c>
      <c r="K154" s="205">
        <v>828080</v>
      </c>
      <c r="L154" s="205">
        <v>56076483</v>
      </c>
      <c r="M154" s="205">
        <v>22430593</v>
      </c>
      <c r="N154" s="205">
        <v>33645890</v>
      </c>
      <c r="O154" s="205">
        <v>480534</v>
      </c>
      <c r="P154" s="205">
        <v>0</v>
      </c>
      <c r="Q154" s="205">
        <v>0</v>
      </c>
      <c r="R154" s="205">
        <v>124997047</v>
      </c>
      <c r="S154" s="205">
        <v>0</v>
      </c>
      <c r="T154" s="205">
        <v>-667816</v>
      </c>
    </row>
    <row r="155" spans="1:20" ht="12.75">
      <c r="A155" s="169">
        <v>148</v>
      </c>
      <c r="B155" s="172" t="s">
        <v>204</v>
      </c>
      <c r="C155" s="258" t="s">
        <v>205</v>
      </c>
      <c r="D155" s="205">
        <v>0</v>
      </c>
      <c r="E155" s="205">
        <v>49054981</v>
      </c>
      <c r="F155" s="205">
        <v>19986704</v>
      </c>
      <c r="G155" s="205">
        <v>211950</v>
      </c>
      <c r="H155" s="205">
        <v>0</v>
      </c>
      <c r="I155" s="205">
        <v>69253635</v>
      </c>
      <c r="J155" s="205">
        <v>19511411</v>
      </c>
      <c r="K155" s="205">
        <v>0</v>
      </c>
      <c r="L155" s="205">
        <v>30931082</v>
      </c>
      <c r="M155" s="205">
        <v>6186217</v>
      </c>
      <c r="N155" s="205">
        <v>24744865</v>
      </c>
      <c r="O155" s="205">
        <v>444954</v>
      </c>
      <c r="P155" s="205">
        <v>0</v>
      </c>
      <c r="Q155" s="205">
        <v>0</v>
      </c>
      <c r="R155" s="205">
        <v>81818529</v>
      </c>
      <c r="S155" s="205">
        <v>0</v>
      </c>
      <c r="T155" s="205">
        <v>-12564895</v>
      </c>
    </row>
    <row r="156" spans="1:20" ht="12.75">
      <c r="A156" s="169">
        <v>149</v>
      </c>
      <c r="B156" s="172" t="s">
        <v>206</v>
      </c>
      <c r="C156" s="258" t="s">
        <v>207</v>
      </c>
      <c r="D156" s="205">
        <v>0</v>
      </c>
      <c r="E156" s="205">
        <v>377634938</v>
      </c>
      <c r="F156" s="205">
        <v>0</v>
      </c>
      <c r="G156" s="205">
        <v>150019</v>
      </c>
      <c r="H156" s="205">
        <v>0</v>
      </c>
      <c r="I156" s="205">
        <v>377784957</v>
      </c>
      <c r="J156" s="205">
        <v>32787977</v>
      </c>
      <c r="K156" s="205">
        <v>410761</v>
      </c>
      <c r="L156" s="205">
        <v>178723643</v>
      </c>
      <c r="M156" s="205">
        <v>3577472</v>
      </c>
      <c r="N156" s="205">
        <v>175296170</v>
      </c>
      <c r="O156" s="205">
        <v>1384021</v>
      </c>
      <c r="P156" s="205">
        <v>0</v>
      </c>
      <c r="Q156" s="205">
        <v>0</v>
      </c>
      <c r="R156" s="205">
        <v>392180044</v>
      </c>
      <c r="S156" s="205">
        <v>15499172</v>
      </c>
      <c r="T156" s="205">
        <v>1104085</v>
      </c>
    </row>
    <row r="157" spans="1:20" ht="12.75">
      <c r="A157" s="169">
        <v>150</v>
      </c>
      <c r="B157" s="172" t="s">
        <v>208</v>
      </c>
      <c r="C157" s="258" t="s">
        <v>209</v>
      </c>
      <c r="D157" s="205">
        <v>0</v>
      </c>
      <c r="E157" s="205">
        <v>102053958</v>
      </c>
      <c r="F157" s="205">
        <v>98420</v>
      </c>
      <c r="G157" s="205">
        <v>0</v>
      </c>
      <c r="H157" s="205">
        <v>0</v>
      </c>
      <c r="I157" s="205">
        <v>102152378</v>
      </c>
      <c r="J157" s="205">
        <v>9748012</v>
      </c>
      <c r="K157" s="205">
        <v>47081</v>
      </c>
      <c r="L157" s="205">
        <v>46914408</v>
      </c>
      <c r="M157" s="205">
        <v>938288</v>
      </c>
      <c r="N157" s="205">
        <v>45976119</v>
      </c>
      <c r="O157" s="205">
        <v>488470</v>
      </c>
      <c r="P157" s="205">
        <v>0</v>
      </c>
      <c r="Q157" s="205">
        <v>0</v>
      </c>
      <c r="R157" s="205">
        <v>104112378</v>
      </c>
      <c r="S157" s="205">
        <v>0</v>
      </c>
      <c r="T157" s="205">
        <v>-1960000</v>
      </c>
    </row>
    <row r="158" spans="1:20" ht="12.75">
      <c r="A158" s="169">
        <v>151</v>
      </c>
      <c r="B158" s="172" t="s">
        <v>210</v>
      </c>
      <c r="C158" s="258" t="s">
        <v>211</v>
      </c>
      <c r="D158" s="205">
        <v>0</v>
      </c>
      <c r="E158" s="205">
        <v>24499020</v>
      </c>
      <c r="F158" s="205">
        <v>64651</v>
      </c>
      <c r="G158" s="205">
        <v>0</v>
      </c>
      <c r="H158" s="205">
        <v>0</v>
      </c>
      <c r="I158" s="205">
        <v>24563671</v>
      </c>
      <c r="J158" s="205">
        <v>990000</v>
      </c>
      <c r="K158" s="205">
        <v>138347</v>
      </c>
      <c r="L158" s="205">
        <v>11652804</v>
      </c>
      <c r="M158" s="205">
        <v>2330561</v>
      </c>
      <c r="N158" s="205">
        <v>9322243</v>
      </c>
      <c r="O158" s="205">
        <v>129716</v>
      </c>
      <c r="P158" s="205">
        <v>0</v>
      </c>
      <c r="Q158" s="205">
        <v>0</v>
      </c>
      <c r="R158" s="205">
        <v>24563671</v>
      </c>
      <c r="S158" s="205">
        <v>0</v>
      </c>
      <c r="T158" s="205">
        <v>0</v>
      </c>
    </row>
    <row r="159" spans="1:20" ht="12.75">
      <c r="A159" s="169">
        <v>152</v>
      </c>
      <c r="B159" s="172" t="s">
        <v>212</v>
      </c>
      <c r="C159" s="258" t="s">
        <v>213</v>
      </c>
      <c r="D159" s="205">
        <v>0</v>
      </c>
      <c r="E159" s="205">
        <v>51821068</v>
      </c>
      <c r="F159" s="205">
        <v>176368</v>
      </c>
      <c r="G159" s="205">
        <v>306296</v>
      </c>
      <c r="H159" s="205">
        <v>0</v>
      </c>
      <c r="I159" s="205">
        <v>52303732</v>
      </c>
      <c r="J159" s="205">
        <v>1730056</v>
      </c>
      <c r="K159" s="205">
        <v>131162</v>
      </c>
      <c r="L159" s="205">
        <v>24095067</v>
      </c>
      <c r="M159" s="205">
        <v>9638027</v>
      </c>
      <c r="N159" s="205">
        <v>14457040</v>
      </c>
      <c r="O159" s="205">
        <v>0</v>
      </c>
      <c r="P159" s="205">
        <v>0</v>
      </c>
      <c r="Q159" s="205">
        <v>0</v>
      </c>
      <c r="R159" s="205">
        <v>50051352</v>
      </c>
      <c r="S159" s="205">
        <v>0</v>
      </c>
      <c r="T159" s="205">
        <v>2252380</v>
      </c>
    </row>
    <row r="160" spans="1:20" ht="12.75">
      <c r="A160" s="169">
        <v>153</v>
      </c>
      <c r="B160" s="172" t="s">
        <v>214</v>
      </c>
      <c r="C160" s="258" t="s">
        <v>215</v>
      </c>
      <c r="D160" s="205">
        <v>0</v>
      </c>
      <c r="E160" s="205">
        <v>32782338</v>
      </c>
      <c r="F160" s="205">
        <v>63198</v>
      </c>
      <c r="G160" s="205">
        <v>0</v>
      </c>
      <c r="H160" s="205">
        <v>0</v>
      </c>
      <c r="I160" s="205">
        <v>32845536</v>
      </c>
      <c r="J160" s="205">
        <v>1778243</v>
      </c>
      <c r="K160" s="205">
        <v>191970</v>
      </c>
      <c r="L160" s="205">
        <v>15757860</v>
      </c>
      <c r="M160" s="205">
        <v>3151572</v>
      </c>
      <c r="N160" s="205">
        <v>12606288</v>
      </c>
      <c r="O160" s="205">
        <v>0</v>
      </c>
      <c r="P160" s="205">
        <v>0</v>
      </c>
      <c r="Q160" s="205">
        <v>0</v>
      </c>
      <c r="R160" s="205">
        <v>33485933</v>
      </c>
      <c r="S160" s="205">
        <v>0</v>
      </c>
      <c r="T160" s="205">
        <v>-640397</v>
      </c>
    </row>
    <row r="161" spans="1:20" ht="12.75">
      <c r="A161" s="169">
        <v>154</v>
      </c>
      <c r="B161" s="172" t="s">
        <v>216</v>
      </c>
      <c r="C161" s="258" t="s">
        <v>217</v>
      </c>
      <c r="D161" s="205">
        <v>0</v>
      </c>
      <c r="E161" s="205">
        <v>41001560</v>
      </c>
      <c r="F161" s="205">
        <v>0</v>
      </c>
      <c r="G161" s="205">
        <v>0</v>
      </c>
      <c r="H161" s="205">
        <v>0</v>
      </c>
      <c r="I161" s="205">
        <v>41001560</v>
      </c>
      <c r="J161" s="205">
        <v>3222645</v>
      </c>
      <c r="K161" s="205">
        <v>237820</v>
      </c>
      <c r="L161" s="205">
        <v>32946445</v>
      </c>
      <c r="M161" s="205">
        <v>4119667</v>
      </c>
      <c r="N161" s="205">
        <v>4130554</v>
      </c>
      <c r="O161" s="205">
        <v>151340</v>
      </c>
      <c r="P161" s="205">
        <v>0</v>
      </c>
      <c r="Q161" s="205">
        <v>0</v>
      </c>
      <c r="R161" s="205">
        <v>44808471</v>
      </c>
      <c r="S161" s="205">
        <v>2401316</v>
      </c>
      <c r="T161" s="205">
        <v>-1405595</v>
      </c>
    </row>
    <row r="162" spans="1:20" ht="12.75">
      <c r="A162" s="169">
        <v>155</v>
      </c>
      <c r="B162" s="172" t="s">
        <v>218</v>
      </c>
      <c r="C162" s="258" t="s">
        <v>219</v>
      </c>
      <c r="D162" s="205">
        <v>0</v>
      </c>
      <c r="E162" s="205">
        <v>195266471</v>
      </c>
      <c r="F162" s="205">
        <v>0</v>
      </c>
      <c r="G162" s="205">
        <v>0</v>
      </c>
      <c r="H162" s="205">
        <v>0</v>
      </c>
      <c r="I162" s="205">
        <v>195266471</v>
      </c>
      <c r="J162" s="205">
        <v>17549325</v>
      </c>
      <c r="K162" s="205">
        <v>2061594</v>
      </c>
      <c r="L162" s="205">
        <v>94089810</v>
      </c>
      <c r="M162" s="205">
        <v>1881796</v>
      </c>
      <c r="N162" s="205">
        <v>92208014</v>
      </c>
      <c r="O162" s="205">
        <v>0</v>
      </c>
      <c r="P162" s="205">
        <v>762931</v>
      </c>
      <c r="Q162" s="205">
        <v>0</v>
      </c>
      <c r="R162" s="205">
        <v>208553470</v>
      </c>
      <c r="S162" s="205">
        <v>8583440</v>
      </c>
      <c r="T162" s="205">
        <v>-4703559</v>
      </c>
    </row>
    <row r="163" spans="1:20" ht="12.75">
      <c r="A163" s="169">
        <v>156</v>
      </c>
      <c r="B163" s="172" t="s">
        <v>220</v>
      </c>
      <c r="C163" s="258" t="s">
        <v>221</v>
      </c>
      <c r="D163" s="205">
        <v>0</v>
      </c>
      <c r="E163" s="205">
        <v>64116839</v>
      </c>
      <c r="F163" s="205">
        <v>0</v>
      </c>
      <c r="G163" s="205">
        <v>0</v>
      </c>
      <c r="H163" s="205">
        <v>0</v>
      </c>
      <c r="I163" s="205">
        <v>64116839</v>
      </c>
      <c r="J163" s="205">
        <v>3807115</v>
      </c>
      <c r="K163" s="205">
        <v>235036</v>
      </c>
      <c r="L163" s="205">
        <v>31703707</v>
      </c>
      <c r="M163" s="205">
        <v>634074</v>
      </c>
      <c r="N163" s="205">
        <v>31069632</v>
      </c>
      <c r="O163" s="205">
        <v>0</v>
      </c>
      <c r="P163" s="205">
        <v>259196</v>
      </c>
      <c r="Q163" s="205">
        <v>0</v>
      </c>
      <c r="R163" s="205">
        <v>67708760</v>
      </c>
      <c r="S163" s="205">
        <v>0</v>
      </c>
      <c r="T163" s="205">
        <v>-3591921</v>
      </c>
    </row>
    <row r="164" spans="1:20" ht="12.75">
      <c r="A164" s="169">
        <v>157</v>
      </c>
      <c r="B164" s="172" t="s">
        <v>222</v>
      </c>
      <c r="C164" s="258" t="s">
        <v>223</v>
      </c>
      <c r="D164" s="205">
        <v>0</v>
      </c>
      <c r="E164" s="205">
        <v>56607619</v>
      </c>
      <c r="F164" s="205">
        <v>0</v>
      </c>
      <c r="G164" s="205">
        <v>0</v>
      </c>
      <c r="H164" s="205">
        <v>0</v>
      </c>
      <c r="I164" s="205">
        <v>56607619</v>
      </c>
      <c r="J164" s="205">
        <v>6550644</v>
      </c>
      <c r="K164" s="205">
        <v>34150</v>
      </c>
      <c r="L164" s="205">
        <v>27457771</v>
      </c>
      <c r="M164" s="205">
        <v>5491554</v>
      </c>
      <c r="N164" s="205">
        <v>21966217</v>
      </c>
      <c r="O164" s="205">
        <v>0</v>
      </c>
      <c r="P164" s="205">
        <v>206753</v>
      </c>
      <c r="Q164" s="205">
        <v>0</v>
      </c>
      <c r="R164" s="205">
        <v>61707089</v>
      </c>
      <c r="S164" s="205">
        <v>3309409</v>
      </c>
      <c r="T164" s="205">
        <v>-1790061</v>
      </c>
    </row>
    <row r="165" spans="1:20" ht="12.75">
      <c r="A165" s="169">
        <v>158</v>
      </c>
      <c r="B165" s="172" t="s">
        <v>224</v>
      </c>
      <c r="C165" s="258" t="s">
        <v>225</v>
      </c>
      <c r="D165" s="205">
        <v>0</v>
      </c>
      <c r="E165" s="205">
        <v>13661525</v>
      </c>
      <c r="F165" s="205">
        <v>0</v>
      </c>
      <c r="G165" s="205">
        <v>0</v>
      </c>
      <c r="H165" s="205">
        <v>0</v>
      </c>
      <c r="I165" s="205">
        <v>13661525</v>
      </c>
      <c r="J165" s="205">
        <v>546357</v>
      </c>
      <c r="K165" s="205">
        <v>48795</v>
      </c>
      <c r="L165" s="205">
        <v>6367427</v>
      </c>
      <c r="M165" s="205">
        <v>1273486</v>
      </c>
      <c r="N165" s="205">
        <v>5093941</v>
      </c>
      <c r="O165" s="205">
        <v>92237</v>
      </c>
      <c r="P165" s="205">
        <v>164768</v>
      </c>
      <c r="Q165" s="205">
        <v>0</v>
      </c>
      <c r="R165" s="205">
        <v>13587010</v>
      </c>
      <c r="S165" s="205">
        <v>0</v>
      </c>
      <c r="T165" s="205">
        <v>74515</v>
      </c>
    </row>
    <row r="166" spans="1:20" ht="12.75">
      <c r="A166" s="169">
        <v>159</v>
      </c>
      <c r="B166" s="172" t="s">
        <v>226</v>
      </c>
      <c r="C166" s="258" t="s">
        <v>227</v>
      </c>
      <c r="D166" s="205">
        <v>0</v>
      </c>
      <c r="E166" s="205">
        <v>15488225</v>
      </c>
      <c r="F166" s="205">
        <v>79194</v>
      </c>
      <c r="G166" s="205">
        <v>16221</v>
      </c>
      <c r="H166" s="205">
        <v>0</v>
      </c>
      <c r="I166" s="205">
        <v>15583640</v>
      </c>
      <c r="J166" s="205">
        <v>515321</v>
      </c>
      <c r="K166" s="205">
        <v>-12581</v>
      </c>
      <c r="L166" s="205">
        <v>7486452</v>
      </c>
      <c r="M166" s="205">
        <v>1497290</v>
      </c>
      <c r="N166" s="205">
        <v>5989162</v>
      </c>
      <c r="O166" s="205">
        <v>0</v>
      </c>
      <c r="P166" s="205">
        <v>0</v>
      </c>
      <c r="Q166" s="205">
        <v>0</v>
      </c>
      <c r="R166" s="205">
        <v>15475644</v>
      </c>
      <c r="S166" s="205">
        <v>-107996</v>
      </c>
      <c r="T166" s="205">
        <v>0</v>
      </c>
    </row>
    <row r="167" spans="1:20" ht="12.75">
      <c r="A167" s="169">
        <v>160</v>
      </c>
      <c r="B167" s="172" t="s">
        <v>228</v>
      </c>
      <c r="C167" s="258" t="s">
        <v>229</v>
      </c>
      <c r="D167" s="205">
        <v>0</v>
      </c>
      <c r="E167" s="205">
        <v>334412868</v>
      </c>
      <c r="F167" s="205">
        <v>982316</v>
      </c>
      <c r="G167" s="205">
        <v>0</v>
      </c>
      <c r="H167" s="205">
        <v>0</v>
      </c>
      <c r="I167" s="205">
        <v>335395184</v>
      </c>
      <c r="J167" s="205">
        <v>77690180</v>
      </c>
      <c r="K167" s="205">
        <v>2168417</v>
      </c>
      <c r="L167" s="205">
        <v>140951201</v>
      </c>
      <c r="M167" s="205">
        <v>2819827</v>
      </c>
      <c r="N167" s="205">
        <v>138171527</v>
      </c>
      <c r="O167" s="205">
        <v>1108164</v>
      </c>
      <c r="P167" s="205">
        <v>189546</v>
      </c>
      <c r="Q167" s="205">
        <v>0</v>
      </c>
      <c r="R167" s="205">
        <v>363098862</v>
      </c>
      <c r="S167" s="205">
        <v>0</v>
      </c>
      <c r="T167" s="205">
        <v>-27703678</v>
      </c>
    </row>
    <row r="168" spans="1:20" ht="12.75">
      <c r="A168" s="169">
        <v>161</v>
      </c>
      <c r="B168" s="172" t="s">
        <v>230</v>
      </c>
      <c r="C168" s="258" t="s">
        <v>231</v>
      </c>
      <c r="D168" s="205">
        <v>0</v>
      </c>
      <c r="E168" s="205">
        <v>28579879</v>
      </c>
      <c r="F168" s="205">
        <v>124458</v>
      </c>
      <c r="G168" s="205">
        <v>129143</v>
      </c>
      <c r="H168" s="205">
        <v>0</v>
      </c>
      <c r="I168" s="205">
        <v>28833480</v>
      </c>
      <c r="J168" s="205">
        <v>1009153</v>
      </c>
      <c r="K168" s="205">
        <v>36804</v>
      </c>
      <c r="L168" s="205">
        <v>14747924</v>
      </c>
      <c r="M168" s="205">
        <v>2949584</v>
      </c>
      <c r="N168" s="205">
        <v>11798339</v>
      </c>
      <c r="O168" s="205">
        <v>129143</v>
      </c>
      <c r="P168" s="205">
        <v>0</v>
      </c>
      <c r="Q168" s="205">
        <v>0</v>
      </c>
      <c r="R168" s="205">
        <v>30670947</v>
      </c>
      <c r="S168" s="205">
        <v>344772</v>
      </c>
      <c r="T168" s="205">
        <v>-1492695</v>
      </c>
    </row>
    <row r="169" spans="1:20" ht="12.75">
      <c r="A169" s="169">
        <v>162</v>
      </c>
      <c r="B169" s="172" t="s">
        <v>232</v>
      </c>
      <c r="C169" s="258" t="s">
        <v>233</v>
      </c>
      <c r="D169" s="205">
        <v>0</v>
      </c>
      <c r="E169" s="205">
        <v>79271059</v>
      </c>
      <c r="F169" s="205">
        <v>1519784</v>
      </c>
      <c r="G169" s="205">
        <v>0</v>
      </c>
      <c r="H169" s="205">
        <v>0</v>
      </c>
      <c r="I169" s="205">
        <v>80790843</v>
      </c>
      <c r="J169" s="205">
        <v>3263103</v>
      </c>
      <c r="K169" s="205">
        <v>0</v>
      </c>
      <c r="L169" s="205">
        <v>40648084</v>
      </c>
      <c r="M169" s="205">
        <v>812962</v>
      </c>
      <c r="N169" s="205">
        <v>39835122</v>
      </c>
      <c r="O169" s="205">
        <v>0</v>
      </c>
      <c r="P169" s="205">
        <v>0</v>
      </c>
      <c r="Q169" s="205">
        <v>0</v>
      </c>
      <c r="R169" s="205">
        <v>84559271</v>
      </c>
      <c r="S169" s="205">
        <v>4863962</v>
      </c>
      <c r="T169" s="205">
        <v>1095534</v>
      </c>
    </row>
    <row r="170" spans="1:20" ht="12.75">
      <c r="A170" s="169">
        <v>163</v>
      </c>
      <c r="B170" s="172" t="s">
        <v>234</v>
      </c>
      <c r="C170" s="258" t="s">
        <v>235</v>
      </c>
      <c r="D170" s="205">
        <v>0</v>
      </c>
      <c r="E170" s="205">
        <v>13071609</v>
      </c>
      <c r="F170" s="205">
        <v>65491</v>
      </c>
      <c r="G170" s="205">
        <v>0</v>
      </c>
      <c r="H170" s="205">
        <v>0</v>
      </c>
      <c r="I170" s="205">
        <v>13137100</v>
      </c>
      <c r="J170" s="205">
        <v>547984</v>
      </c>
      <c r="K170" s="205">
        <v>0</v>
      </c>
      <c r="L170" s="205">
        <v>6405581</v>
      </c>
      <c r="M170" s="205">
        <v>1281116</v>
      </c>
      <c r="N170" s="205">
        <v>5124465</v>
      </c>
      <c r="O170" s="205">
        <v>61924</v>
      </c>
      <c r="P170" s="205">
        <v>0</v>
      </c>
      <c r="Q170" s="205">
        <v>0</v>
      </c>
      <c r="R170" s="205">
        <v>13421070</v>
      </c>
      <c r="S170" s="205">
        <v>0</v>
      </c>
      <c r="T170" s="205">
        <v>-283970</v>
      </c>
    </row>
    <row r="171" spans="1:20" ht="12.75">
      <c r="A171" s="169">
        <v>164</v>
      </c>
      <c r="B171" s="172" t="s">
        <v>236</v>
      </c>
      <c r="C171" s="258" t="s">
        <v>237</v>
      </c>
      <c r="D171" s="205">
        <v>0</v>
      </c>
      <c r="E171" s="205">
        <v>33744647</v>
      </c>
      <c r="F171" s="205">
        <v>96599</v>
      </c>
      <c r="G171" s="205">
        <v>162142</v>
      </c>
      <c r="H171" s="205">
        <v>0</v>
      </c>
      <c r="I171" s="205">
        <v>34003387</v>
      </c>
      <c r="J171" s="205">
        <v>1700000</v>
      </c>
      <c r="K171" s="205">
        <v>97294</v>
      </c>
      <c r="L171" s="205">
        <v>15813250</v>
      </c>
      <c r="M171" s="205">
        <v>3162650</v>
      </c>
      <c r="N171" s="205">
        <v>12650600</v>
      </c>
      <c r="O171" s="205">
        <v>0</v>
      </c>
      <c r="P171" s="205">
        <v>0</v>
      </c>
      <c r="Q171" s="205">
        <v>0</v>
      </c>
      <c r="R171" s="205">
        <v>33423794</v>
      </c>
      <c r="S171" s="205">
        <v>0</v>
      </c>
      <c r="T171" s="205">
        <v>579593</v>
      </c>
    </row>
    <row r="172" spans="1:20" ht="12.75">
      <c r="A172" s="169">
        <v>165</v>
      </c>
      <c r="B172" s="172" t="s">
        <v>238</v>
      </c>
      <c r="C172" s="258" t="s">
        <v>239</v>
      </c>
      <c r="D172" s="205">
        <v>0</v>
      </c>
      <c r="E172" s="205">
        <v>85626097</v>
      </c>
      <c r="F172" s="205">
        <v>152559</v>
      </c>
      <c r="G172" s="205">
        <v>0</v>
      </c>
      <c r="H172" s="205">
        <v>0</v>
      </c>
      <c r="I172" s="205">
        <v>85778656</v>
      </c>
      <c r="J172" s="205">
        <v>4845057</v>
      </c>
      <c r="K172" s="205">
        <v>317823</v>
      </c>
      <c r="L172" s="205">
        <v>40787499</v>
      </c>
      <c r="M172" s="205">
        <v>16314999</v>
      </c>
      <c r="N172" s="205">
        <v>24472499</v>
      </c>
      <c r="O172" s="205">
        <v>280580</v>
      </c>
      <c r="P172" s="205">
        <v>0</v>
      </c>
      <c r="Q172" s="205">
        <v>0</v>
      </c>
      <c r="R172" s="205">
        <v>87018457</v>
      </c>
      <c r="S172" s="205">
        <v>0</v>
      </c>
      <c r="T172" s="205">
        <v>-1239801</v>
      </c>
    </row>
    <row r="173" spans="1:20" ht="12.75">
      <c r="A173" s="169">
        <v>166</v>
      </c>
      <c r="B173" s="172" t="s">
        <v>240</v>
      </c>
      <c r="C173" s="258" t="s">
        <v>241</v>
      </c>
      <c r="D173" s="205">
        <v>0</v>
      </c>
      <c r="E173" s="205">
        <v>14616902</v>
      </c>
      <c r="F173" s="205">
        <v>12247</v>
      </c>
      <c r="G173" s="205">
        <v>0</v>
      </c>
      <c r="H173" s="205">
        <v>0</v>
      </c>
      <c r="I173" s="205">
        <v>14629149</v>
      </c>
      <c r="J173" s="205">
        <v>150469</v>
      </c>
      <c r="K173" s="205">
        <v>94696</v>
      </c>
      <c r="L173" s="205">
        <v>7271215</v>
      </c>
      <c r="M173" s="205">
        <v>1454243</v>
      </c>
      <c r="N173" s="205">
        <v>5816972</v>
      </c>
      <c r="O173" s="205">
        <v>129504</v>
      </c>
      <c r="P173" s="205">
        <v>0</v>
      </c>
      <c r="Q173" s="205">
        <v>0</v>
      </c>
      <c r="R173" s="205">
        <v>14917099</v>
      </c>
      <c r="S173" s="205">
        <v>0</v>
      </c>
      <c r="T173" s="205">
        <v>-287950</v>
      </c>
    </row>
    <row r="174" spans="1:20" ht="12.75">
      <c r="A174" s="169">
        <v>167</v>
      </c>
      <c r="B174" s="172" t="s">
        <v>242</v>
      </c>
      <c r="C174" s="258" t="s">
        <v>243</v>
      </c>
      <c r="D174" s="205">
        <v>0</v>
      </c>
      <c r="E174" s="205">
        <v>20933732</v>
      </c>
      <c r="F174" s="205">
        <v>41412</v>
      </c>
      <c r="G174" s="205">
        <v>128540</v>
      </c>
      <c r="H174" s="205">
        <v>0</v>
      </c>
      <c r="I174" s="205">
        <v>21103684</v>
      </c>
      <c r="J174" s="205">
        <v>527360</v>
      </c>
      <c r="K174" s="205">
        <v>9442</v>
      </c>
      <c r="L174" s="205">
        <v>10375640</v>
      </c>
      <c r="M174" s="205">
        <v>2075128</v>
      </c>
      <c r="N174" s="205">
        <v>8300512</v>
      </c>
      <c r="O174" s="205">
        <v>169302</v>
      </c>
      <c r="P174" s="205">
        <v>0</v>
      </c>
      <c r="Q174" s="205">
        <v>0</v>
      </c>
      <c r="R174" s="205">
        <v>21457384</v>
      </c>
      <c r="S174" s="205">
        <v>0</v>
      </c>
      <c r="T174" s="205">
        <v>-353700</v>
      </c>
    </row>
    <row r="175" spans="1:20" ht="12.75">
      <c r="A175" s="169">
        <v>168</v>
      </c>
      <c r="B175" s="172" t="s">
        <v>244</v>
      </c>
      <c r="C175" s="258" t="s">
        <v>245</v>
      </c>
      <c r="D175" s="205">
        <v>0</v>
      </c>
      <c r="E175" s="205">
        <v>41803922</v>
      </c>
      <c r="F175" s="205">
        <v>0</v>
      </c>
      <c r="G175" s="205">
        <v>0</v>
      </c>
      <c r="H175" s="205">
        <v>0</v>
      </c>
      <c r="I175" s="205">
        <v>41803922</v>
      </c>
      <c r="J175" s="205">
        <v>1089249</v>
      </c>
      <c r="K175" s="205">
        <v>10137</v>
      </c>
      <c r="L175" s="205">
        <v>20197032</v>
      </c>
      <c r="M175" s="205">
        <v>4039406</v>
      </c>
      <c r="N175" s="205">
        <v>16157626</v>
      </c>
      <c r="O175" s="205">
        <v>172028</v>
      </c>
      <c r="P175" s="205">
        <v>0</v>
      </c>
      <c r="Q175" s="205">
        <v>0</v>
      </c>
      <c r="R175" s="205">
        <v>41665478</v>
      </c>
      <c r="S175" s="205">
        <v>0</v>
      </c>
      <c r="T175" s="205">
        <v>138444</v>
      </c>
    </row>
    <row r="176" spans="1:20" ht="12.75">
      <c r="A176" s="169">
        <v>169</v>
      </c>
      <c r="B176" s="172" t="s">
        <v>246</v>
      </c>
      <c r="C176" s="258" t="s">
        <v>247</v>
      </c>
      <c r="D176" s="205">
        <v>0</v>
      </c>
      <c r="E176" s="205">
        <v>41779761</v>
      </c>
      <c r="F176" s="205">
        <v>313889</v>
      </c>
      <c r="G176" s="205">
        <v>0</v>
      </c>
      <c r="H176" s="205">
        <v>0</v>
      </c>
      <c r="I176" s="205">
        <v>42093650</v>
      </c>
      <c r="J176" s="205">
        <v>3460430</v>
      </c>
      <c r="K176" s="205">
        <v>-32433</v>
      </c>
      <c r="L176" s="205">
        <v>19282169</v>
      </c>
      <c r="M176" s="205">
        <v>385643</v>
      </c>
      <c r="N176" s="205">
        <v>18896526</v>
      </c>
      <c r="O176" s="205">
        <v>179446</v>
      </c>
      <c r="P176" s="205">
        <v>0</v>
      </c>
      <c r="Q176" s="205">
        <v>0</v>
      </c>
      <c r="R176" s="205">
        <v>42171781</v>
      </c>
      <c r="S176" s="205">
        <v>0</v>
      </c>
      <c r="T176" s="205">
        <v>-78131</v>
      </c>
    </row>
    <row r="177" spans="1:20" ht="12.75">
      <c r="A177" s="169">
        <v>170</v>
      </c>
      <c r="B177" s="172" t="s">
        <v>248</v>
      </c>
      <c r="C177" s="258" t="s">
        <v>249</v>
      </c>
      <c r="D177" s="205">
        <v>0</v>
      </c>
      <c r="E177" s="205">
        <v>150849000</v>
      </c>
      <c r="F177" s="205">
        <v>0</v>
      </c>
      <c r="G177" s="205">
        <v>0</v>
      </c>
      <c r="H177" s="205">
        <v>0</v>
      </c>
      <c r="I177" s="205">
        <v>150849000</v>
      </c>
      <c r="J177" s="205">
        <v>15155541</v>
      </c>
      <c r="K177" s="205">
        <v>1897000</v>
      </c>
      <c r="L177" s="205">
        <v>69300212</v>
      </c>
      <c r="M177" s="205">
        <v>1386004</v>
      </c>
      <c r="N177" s="205">
        <v>67914208</v>
      </c>
      <c r="O177" s="205">
        <v>0</v>
      </c>
      <c r="P177" s="205">
        <v>0</v>
      </c>
      <c r="Q177" s="205">
        <v>0</v>
      </c>
      <c r="R177" s="205">
        <v>155652965</v>
      </c>
      <c r="S177" s="205">
        <v>0</v>
      </c>
      <c r="T177" s="205">
        <v>-4803965</v>
      </c>
    </row>
    <row r="178" spans="1:20" ht="12.75">
      <c r="A178" s="169">
        <v>171</v>
      </c>
      <c r="B178" s="172" t="s">
        <v>250</v>
      </c>
      <c r="C178" s="258" t="s">
        <v>251</v>
      </c>
      <c r="D178" s="205">
        <v>0</v>
      </c>
      <c r="E178" s="205">
        <v>36801729</v>
      </c>
      <c r="F178" s="205">
        <v>30314</v>
      </c>
      <c r="G178" s="205">
        <v>250000</v>
      </c>
      <c r="H178" s="205">
        <v>0</v>
      </c>
      <c r="I178" s="205">
        <v>37082043</v>
      </c>
      <c r="J178" s="205">
        <v>1670000</v>
      </c>
      <c r="K178" s="205">
        <v>2454</v>
      </c>
      <c r="L178" s="205">
        <v>17539484</v>
      </c>
      <c r="M178" s="205">
        <v>3507897</v>
      </c>
      <c r="N178" s="205">
        <v>14031587</v>
      </c>
      <c r="O178" s="205">
        <v>0</v>
      </c>
      <c r="P178" s="205">
        <v>0</v>
      </c>
      <c r="Q178" s="205">
        <v>0</v>
      </c>
      <c r="R178" s="205">
        <v>36751422</v>
      </c>
      <c r="S178" s="205">
        <v>0</v>
      </c>
      <c r="T178" s="205">
        <v>330621</v>
      </c>
    </row>
    <row r="179" spans="1:20" ht="12.75">
      <c r="A179" s="169">
        <v>172</v>
      </c>
      <c r="B179" s="172" t="s">
        <v>252</v>
      </c>
      <c r="C179" s="258" t="s">
        <v>253</v>
      </c>
      <c r="D179" s="205">
        <v>0</v>
      </c>
      <c r="E179" s="205">
        <v>62046297</v>
      </c>
      <c r="F179" s="205">
        <v>1163615</v>
      </c>
      <c r="G179" s="205">
        <v>0</v>
      </c>
      <c r="H179" s="205">
        <v>0</v>
      </c>
      <c r="I179" s="205">
        <v>63209912</v>
      </c>
      <c r="J179" s="205">
        <v>6296370</v>
      </c>
      <c r="K179" s="205">
        <v>0</v>
      </c>
      <c r="L179" s="205">
        <v>28281813</v>
      </c>
      <c r="M179" s="205">
        <v>5656362</v>
      </c>
      <c r="N179" s="205">
        <v>22625450</v>
      </c>
      <c r="O179" s="205">
        <v>286160</v>
      </c>
      <c r="P179" s="205">
        <v>0</v>
      </c>
      <c r="Q179" s="205">
        <v>0</v>
      </c>
      <c r="R179" s="205">
        <v>63146155</v>
      </c>
      <c r="S179" s="205">
        <v>0</v>
      </c>
      <c r="T179" s="205">
        <v>63757</v>
      </c>
    </row>
    <row r="180" spans="1:20" ht="12.75">
      <c r="A180" s="169">
        <v>173</v>
      </c>
      <c r="B180" s="172" t="s">
        <v>254</v>
      </c>
      <c r="C180" s="258" t="s">
        <v>255</v>
      </c>
      <c r="D180" s="205">
        <v>0</v>
      </c>
      <c r="E180" s="205">
        <v>38415617</v>
      </c>
      <c r="F180" s="205">
        <v>75599</v>
      </c>
      <c r="G180" s="205">
        <v>164612</v>
      </c>
      <c r="H180" s="205">
        <v>0</v>
      </c>
      <c r="I180" s="205">
        <v>38655828</v>
      </c>
      <c r="J180" s="205">
        <v>1185000</v>
      </c>
      <c r="K180" s="205">
        <v>172632</v>
      </c>
      <c r="L180" s="205">
        <v>19050606</v>
      </c>
      <c r="M180" s="205">
        <v>3810121</v>
      </c>
      <c r="N180" s="205">
        <v>15240484</v>
      </c>
      <c r="O180" s="205">
        <v>164612</v>
      </c>
      <c r="P180" s="205">
        <v>0</v>
      </c>
      <c r="Q180" s="205">
        <v>0</v>
      </c>
      <c r="R180" s="205">
        <v>39623455</v>
      </c>
      <c r="S180" s="205">
        <v>0</v>
      </c>
      <c r="T180" s="205">
        <v>-967627</v>
      </c>
    </row>
    <row r="181" spans="1:20" ht="12.75">
      <c r="A181" s="169">
        <v>174</v>
      </c>
      <c r="B181" s="172" t="s">
        <v>256</v>
      </c>
      <c r="C181" s="258" t="s">
        <v>257</v>
      </c>
      <c r="D181" s="205">
        <v>0</v>
      </c>
      <c r="E181" s="205">
        <v>148080224</v>
      </c>
      <c r="F181" s="205">
        <v>337338</v>
      </c>
      <c r="G181" s="205">
        <v>0</v>
      </c>
      <c r="H181" s="205">
        <v>0</v>
      </c>
      <c r="I181" s="205">
        <v>148417562</v>
      </c>
      <c r="J181" s="205">
        <v>14456229</v>
      </c>
      <c r="K181" s="205">
        <v>188552</v>
      </c>
      <c r="L181" s="205">
        <v>72124081</v>
      </c>
      <c r="M181" s="205">
        <v>1442482</v>
      </c>
      <c r="N181" s="205">
        <v>70681599</v>
      </c>
      <c r="O181" s="205">
        <v>391485</v>
      </c>
      <c r="P181" s="205">
        <v>502137</v>
      </c>
      <c r="Q181" s="205">
        <v>0</v>
      </c>
      <c r="R181" s="205">
        <v>159786565</v>
      </c>
      <c r="S181" s="205">
        <v>8421535</v>
      </c>
      <c r="T181" s="205">
        <v>-2947468</v>
      </c>
    </row>
    <row r="182" spans="1:20" ht="12.75">
      <c r="A182" s="169">
        <v>175</v>
      </c>
      <c r="B182" s="172" t="s">
        <v>258</v>
      </c>
      <c r="C182" s="258" t="s">
        <v>259</v>
      </c>
      <c r="D182" s="205">
        <v>0</v>
      </c>
      <c r="E182" s="205">
        <v>34137715</v>
      </c>
      <c r="F182" s="205">
        <v>73582</v>
      </c>
      <c r="G182" s="205">
        <v>0</v>
      </c>
      <c r="H182" s="205">
        <v>0</v>
      </c>
      <c r="I182" s="205">
        <v>34211297</v>
      </c>
      <c r="J182" s="205">
        <v>491300</v>
      </c>
      <c r="K182" s="205">
        <v>36102</v>
      </c>
      <c r="L182" s="205">
        <v>17186039</v>
      </c>
      <c r="M182" s="205">
        <v>3437207</v>
      </c>
      <c r="N182" s="205">
        <v>13748831</v>
      </c>
      <c r="O182" s="205">
        <v>141676</v>
      </c>
      <c r="P182" s="205">
        <v>0</v>
      </c>
      <c r="Q182" s="205">
        <v>0</v>
      </c>
      <c r="R182" s="205">
        <v>35041155</v>
      </c>
      <c r="S182" s="205">
        <v>0</v>
      </c>
      <c r="T182" s="205">
        <v>-829858</v>
      </c>
    </row>
    <row r="183" spans="1:20" ht="12.75">
      <c r="A183" s="169">
        <v>176</v>
      </c>
      <c r="B183" s="172" t="s">
        <v>260</v>
      </c>
      <c r="C183" s="258" t="s">
        <v>261</v>
      </c>
      <c r="D183" s="205">
        <v>0</v>
      </c>
      <c r="E183" s="205">
        <v>129193470</v>
      </c>
      <c r="F183" s="205">
        <v>0</v>
      </c>
      <c r="G183" s="205">
        <v>0</v>
      </c>
      <c r="H183" s="205">
        <v>0</v>
      </c>
      <c r="I183" s="205">
        <v>129193470</v>
      </c>
      <c r="J183" s="205">
        <v>6126882</v>
      </c>
      <c r="K183" s="205">
        <v>223798</v>
      </c>
      <c r="L183" s="205">
        <v>64333351</v>
      </c>
      <c r="M183" s="205">
        <v>25793934</v>
      </c>
      <c r="N183" s="205">
        <v>38690902</v>
      </c>
      <c r="O183" s="205">
        <v>614137</v>
      </c>
      <c r="P183" s="205">
        <v>0</v>
      </c>
      <c r="Q183" s="205">
        <v>0</v>
      </c>
      <c r="R183" s="205">
        <v>135783004</v>
      </c>
      <c r="S183" s="205">
        <v>0</v>
      </c>
      <c r="T183" s="205">
        <v>-6589534</v>
      </c>
    </row>
    <row r="184" spans="1:20" ht="12.75">
      <c r="A184" s="169">
        <v>177</v>
      </c>
      <c r="B184" s="172" t="s">
        <v>262</v>
      </c>
      <c r="C184" s="258" t="s">
        <v>263</v>
      </c>
      <c r="D184" s="205">
        <v>0</v>
      </c>
      <c r="E184" s="205">
        <v>32113795</v>
      </c>
      <c r="F184" s="205">
        <v>230634</v>
      </c>
      <c r="G184" s="205">
        <v>0</v>
      </c>
      <c r="H184" s="205">
        <v>0</v>
      </c>
      <c r="I184" s="205">
        <v>32344429</v>
      </c>
      <c r="J184" s="205">
        <v>1068940</v>
      </c>
      <c r="K184" s="205">
        <v>52374</v>
      </c>
      <c r="L184" s="205">
        <v>16491820</v>
      </c>
      <c r="M184" s="205">
        <v>3298364</v>
      </c>
      <c r="N184" s="205">
        <v>13193456</v>
      </c>
      <c r="O184" s="205">
        <v>202305</v>
      </c>
      <c r="P184" s="205">
        <v>0</v>
      </c>
      <c r="Q184" s="205">
        <v>0</v>
      </c>
      <c r="R184" s="205">
        <v>34307259</v>
      </c>
      <c r="S184" s="205">
        <v>0</v>
      </c>
      <c r="T184" s="205">
        <v>-1962830</v>
      </c>
    </row>
    <row r="185" spans="1:20" ht="12.75">
      <c r="A185" s="169">
        <v>178</v>
      </c>
      <c r="B185" s="172" t="s">
        <v>264</v>
      </c>
      <c r="C185" s="258" t="s">
        <v>265</v>
      </c>
      <c r="D185" s="205">
        <v>0</v>
      </c>
      <c r="E185" s="205">
        <v>13744021</v>
      </c>
      <c r="F185" s="205">
        <v>0</v>
      </c>
      <c r="G185" s="205">
        <v>0</v>
      </c>
      <c r="H185" s="205">
        <v>0</v>
      </c>
      <c r="I185" s="205">
        <v>13744021</v>
      </c>
      <c r="J185" s="205">
        <v>833439</v>
      </c>
      <c r="K185" s="205">
        <v>77596</v>
      </c>
      <c r="L185" s="205">
        <v>6598319</v>
      </c>
      <c r="M185" s="205">
        <v>1319663</v>
      </c>
      <c r="N185" s="205">
        <v>5278665</v>
      </c>
      <c r="O185" s="205">
        <v>91750</v>
      </c>
      <c r="P185" s="205">
        <v>0</v>
      </c>
      <c r="Q185" s="205">
        <v>0</v>
      </c>
      <c r="R185" s="205">
        <v>14199432</v>
      </c>
      <c r="S185" s="205">
        <v>0</v>
      </c>
      <c r="T185" s="205">
        <v>-455412</v>
      </c>
    </row>
    <row r="186" spans="1:20" ht="12.75">
      <c r="A186" s="169">
        <v>179</v>
      </c>
      <c r="B186" s="172" t="s">
        <v>266</v>
      </c>
      <c r="C186" s="258" t="s">
        <v>267</v>
      </c>
      <c r="D186" s="205">
        <v>0</v>
      </c>
      <c r="E186" s="205">
        <v>15427057</v>
      </c>
      <c r="F186" s="205">
        <v>40619</v>
      </c>
      <c r="G186" s="205">
        <v>0</v>
      </c>
      <c r="H186" s="205">
        <v>0</v>
      </c>
      <c r="I186" s="205">
        <v>15467676</v>
      </c>
      <c r="J186" s="205">
        <v>1607371</v>
      </c>
      <c r="K186" s="205">
        <v>0</v>
      </c>
      <c r="L186" s="205">
        <v>6980024</v>
      </c>
      <c r="M186" s="205">
        <v>1396004</v>
      </c>
      <c r="N186" s="205">
        <v>5584019</v>
      </c>
      <c r="O186" s="205">
        <v>97498</v>
      </c>
      <c r="P186" s="205">
        <v>0</v>
      </c>
      <c r="Q186" s="205">
        <v>0</v>
      </c>
      <c r="R186" s="205">
        <v>15664916</v>
      </c>
      <c r="S186" s="205">
        <v>0</v>
      </c>
      <c r="T186" s="205">
        <v>-197240</v>
      </c>
    </row>
    <row r="187" spans="1:20" ht="12.75">
      <c r="A187" s="169">
        <v>180</v>
      </c>
      <c r="B187" s="172" t="s">
        <v>268</v>
      </c>
      <c r="C187" s="258" t="s">
        <v>269</v>
      </c>
      <c r="D187" s="205">
        <v>0</v>
      </c>
      <c r="E187" s="205">
        <v>67666311</v>
      </c>
      <c r="F187" s="205">
        <v>329101</v>
      </c>
      <c r="G187" s="205">
        <v>0</v>
      </c>
      <c r="H187" s="205">
        <v>0</v>
      </c>
      <c r="I187" s="205">
        <v>67995412</v>
      </c>
      <c r="J187" s="205">
        <v>6678237</v>
      </c>
      <c r="K187" s="205">
        <v>0</v>
      </c>
      <c r="L187" s="205">
        <v>31999072</v>
      </c>
      <c r="M187" s="205">
        <v>639981</v>
      </c>
      <c r="N187" s="205">
        <v>31359091</v>
      </c>
      <c r="O187" s="205">
        <v>241084</v>
      </c>
      <c r="P187" s="205">
        <v>0</v>
      </c>
      <c r="Q187" s="205">
        <v>0</v>
      </c>
      <c r="R187" s="205">
        <v>70917465</v>
      </c>
      <c r="S187" s="205">
        <v>2622404</v>
      </c>
      <c r="T187" s="205">
        <v>-299649</v>
      </c>
    </row>
    <row r="188" spans="1:20" ht="12.75">
      <c r="A188" s="169">
        <v>181</v>
      </c>
      <c r="B188" s="172" t="s">
        <v>270</v>
      </c>
      <c r="C188" s="258" t="s">
        <v>271</v>
      </c>
      <c r="D188" s="205">
        <v>0</v>
      </c>
      <c r="E188" s="205">
        <v>39478578</v>
      </c>
      <c r="F188" s="205">
        <v>-45000</v>
      </c>
      <c r="G188" s="205">
        <v>0</v>
      </c>
      <c r="H188" s="205">
        <v>0</v>
      </c>
      <c r="I188" s="205">
        <v>39433578</v>
      </c>
      <c r="J188" s="205">
        <v>1700000</v>
      </c>
      <c r="K188" s="205">
        <v>300000</v>
      </c>
      <c r="L188" s="205">
        <v>18572802</v>
      </c>
      <c r="M188" s="205">
        <v>3714560</v>
      </c>
      <c r="N188" s="205">
        <v>14858242</v>
      </c>
      <c r="O188" s="205">
        <v>183381</v>
      </c>
      <c r="P188" s="205">
        <v>0</v>
      </c>
      <c r="Q188" s="205">
        <v>0</v>
      </c>
      <c r="R188" s="205">
        <v>39328985</v>
      </c>
      <c r="S188" s="205">
        <v>0</v>
      </c>
      <c r="T188" s="205">
        <v>104593</v>
      </c>
    </row>
    <row r="189" spans="1:20" ht="12.75">
      <c r="A189" s="169">
        <v>182</v>
      </c>
      <c r="B189" s="172" t="s">
        <v>272</v>
      </c>
      <c r="C189" s="258" t="s">
        <v>273</v>
      </c>
      <c r="D189" s="205">
        <v>0</v>
      </c>
      <c r="E189" s="205">
        <v>23244661</v>
      </c>
      <c r="F189" s="205">
        <v>27412</v>
      </c>
      <c r="G189" s="205">
        <v>0</v>
      </c>
      <c r="H189" s="205">
        <v>0</v>
      </c>
      <c r="I189" s="205">
        <v>23272073</v>
      </c>
      <c r="J189" s="205">
        <v>1516123</v>
      </c>
      <c r="K189" s="205">
        <v>8021</v>
      </c>
      <c r="L189" s="205">
        <v>11062837</v>
      </c>
      <c r="M189" s="205">
        <v>2212567</v>
      </c>
      <c r="N189" s="205">
        <v>8850270</v>
      </c>
      <c r="O189" s="205">
        <v>122912</v>
      </c>
      <c r="P189" s="205">
        <v>0</v>
      </c>
      <c r="Q189" s="205">
        <v>0</v>
      </c>
      <c r="R189" s="205">
        <v>23772730</v>
      </c>
      <c r="S189" s="205">
        <v>0</v>
      </c>
      <c r="T189" s="205">
        <v>-500657</v>
      </c>
    </row>
    <row r="190" spans="1:20" ht="12.75">
      <c r="A190" s="169">
        <v>183</v>
      </c>
      <c r="B190" s="172" t="s">
        <v>274</v>
      </c>
      <c r="C190" s="258" t="s">
        <v>275</v>
      </c>
      <c r="D190" s="205">
        <v>0</v>
      </c>
      <c r="E190" s="205">
        <v>87334828</v>
      </c>
      <c r="F190" s="205">
        <v>2892043</v>
      </c>
      <c r="G190" s="205">
        <v>0</v>
      </c>
      <c r="H190" s="205">
        <v>0</v>
      </c>
      <c r="I190" s="205">
        <v>90226871</v>
      </c>
      <c r="J190" s="205">
        <v>8697474</v>
      </c>
      <c r="K190" s="205">
        <v>0</v>
      </c>
      <c r="L190" s="205">
        <v>40552216</v>
      </c>
      <c r="M190" s="205">
        <v>811044</v>
      </c>
      <c r="N190" s="205">
        <v>39741172</v>
      </c>
      <c r="O190" s="205">
        <v>255809</v>
      </c>
      <c r="P190" s="205">
        <v>157894</v>
      </c>
      <c r="Q190" s="205">
        <v>0</v>
      </c>
      <c r="R190" s="205">
        <v>90215609</v>
      </c>
      <c r="S190" s="205">
        <v>0</v>
      </c>
      <c r="T190" s="205">
        <v>11262</v>
      </c>
    </row>
    <row r="191" spans="1:20" ht="12.75">
      <c r="A191" s="169">
        <v>184</v>
      </c>
      <c r="B191" s="172" t="s">
        <v>276</v>
      </c>
      <c r="C191" s="258" t="s">
        <v>277</v>
      </c>
      <c r="D191" s="205">
        <v>0</v>
      </c>
      <c r="E191" s="205">
        <v>23952947</v>
      </c>
      <c r="F191" s="205">
        <v>323652</v>
      </c>
      <c r="G191" s="205">
        <v>0</v>
      </c>
      <c r="H191" s="205">
        <v>0</v>
      </c>
      <c r="I191" s="205">
        <v>24276599</v>
      </c>
      <c r="J191" s="205">
        <v>549372</v>
      </c>
      <c r="K191" s="205">
        <v>0</v>
      </c>
      <c r="L191" s="205">
        <v>11738205</v>
      </c>
      <c r="M191" s="205">
        <v>2347641</v>
      </c>
      <c r="N191" s="205">
        <v>9390564</v>
      </c>
      <c r="O191" s="205">
        <v>249017</v>
      </c>
      <c r="P191" s="205">
        <v>0</v>
      </c>
      <c r="Q191" s="205">
        <v>0</v>
      </c>
      <c r="R191" s="205">
        <v>24274799</v>
      </c>
      <c r="S191" s="205">
        <v>0</v>
      </c>
      <c r="T191" s="205">
        <v>1800</v>
      </c>
    </row>
    <row r="192" spans="1:20" ht="12.75">
      <c r="A192" s="169">
        <v>185</v>
      </c>
      <c r="B192" s="172" t="s">
        <v>278</v>
      </c>
      <c r="C192" s="258" t="s">
        <v>279</v>
      </c>
      <c r="D192" s="205">
        <v>0</v>
      </c>
      <c r="E192" s="205">
        <v>59233765</v>
      </c>
      <c r="F192" s="205">
        <v>34069</v>
      </c>
      <c r="G192" s="205">
        <v>0</v>
      </c>
      <c r="H192" s="205">
        <v>0</v>
      </c>
      <c r="I192" s="205">
        <v>59267834</v>
      </c>
      <c r="J192" s="205">
        <v>5141323</v>
      </c>
      <c r="K192" s="205">
        <v>106584</v>
      </c>
      <c r="L192" s="205">
        <v>28018437</v>
      </c>
      <c r="M192" s="205">
        <v>560369</v>
      </c>
      <c r="N192" s="205">
        <v>27458068</v>
      </c>
      <c r="O192" s="205">
        <v>259619</v>
      </c>
      <c r="P192" s="205">
        <v>0</v>
      </c>
      <c r="Q192" s="205">
        <v>0</v>
      </c>
      <c r="R192" s="205">
        <v>61544400</v>
      </c>
      <c r="S192" s="205">
        <v>0</v>
      </c>
      <c r="T192" s="205">
        <v>-2276566</v>
      </c>
    </row>
    <row r="193" spans="1:20" ht="12.75">
      <c r="A193" s="169">
        <v>186</v>
      </c>
      <c r="B193" s="172" t="s">
        <v>280</v>
      </c>
      <c r="C193" s="258" t="s">
        <v>281</v>
      </c>
      <c r="D193" s="205">
        <v>0</v>
      </c>
      <c r="E193" s="205">
        <v>59627079</v>
      </c>
      <c r="F193" s="205">
        <v>162621</v>
      </c>
      <c r="G193" s="205">
        <v>529875</v>
      </c>
      <c r="H193" s="205">
        <v>0</v>
      </c>
      <c r="I193" s="205">
        <v>60319575</v>
      </c>
      <c r="J193" s="205">
        <v>4875822</v>
      </c>
      <c r="K193" s="205">
        <v>78962</v>
      </c>
      <c r="L193" s="205">
        <v>28857369</v>
      </c>
      <c r="M193" s="205">
        <v>577995</v>
      </c>
      <c r="N193" s="205">
        <v>28321763</v>
      </c>
      <c r="O193" s="205">
        <v>228416</v>
      </c>
      <c r="P193" s="205">
        <v>516416</v>
      </c>
      <c r="Q193" s="205">
        <v>0</v>
      </c>
      <c r="R193" s="205">
        <v>63456743</v>
      </c>
      <c r="S193" s="205">
        <v>0</v>
      </c>
      <c r="T193" s="205">
        <v>-3137168</v>
      </c>
    </row>
    <row r="194" spans="1:20" ht="12.75">
      <c r="A194" s="169">
        <v>187</v>
      </c>
      <c r="B194" s="172" t="s">
        <v>282</v>
      </c>
      <c r="C194" s="258" t="s">
        <v>283</v>
      </c>
      <c r="D194" s="205">
        <v>0</v>
      </c>
      <c r="E194" s="205">
        <v>42311000</v>
      </c>
      <c r="F194" s="205">
        <v>68000</v>
      </c>
      <c r="G194" s="205">
        <v>0</v>
      </c>
      <c r="H194" s="205">
        <v>0</v>
      </c>
      <c r="I194" s="205">
        <v>42379000</v>
      </c>
      <c r="J194" s="205">
        <v>4150000</v>
      </c>
      <c r="K194" s="205">
        <v>98000</v>
      </c>
      <c r="L194" s="205">
        <v>19615051</v>
      </c>
      <c r="M194" s="205">
        <v>3923010</v>
      </c>
      <c r="N194" s="205">
        <v>15692041</v>
      </c>
      <c r="O194" s="205">
        <v>110454</v>
      </c>
      <c r="P194" s="205">
        <v>0</v>
      </c>
      <c r="Q194" s="205">
        <v>0</v>
      </c>
      <c r="R194" s="205">
        <v>43588556</v>
      </c>
      <c r="S194" s="205">
        <v>0</v>
      </c>
      <c r="T194" s="205">
        <v>-1209556</v>
      </c>
    </row>
    <row r="195" spans="1:20" ht="12.75">
      <c r="A195" s="169">
        <v>188</v>
      </c>
      <c r="B195" s="172" t="s">
        <v>305</v>
      </c>
      <c r="C195" s="258" t="s">
        <v>306</v>
      </c>
      <c r="D195" s="205">
        <v>0</v>
      </c>
      <c r="E195" s="205">
        <v>49349000</v>
      </c>
      <c r="F195" s="205">
        <v>27147</v>
      </c>
      <c r="G195" s="205">
        <v>0</v>
      </c>
      <c r="H195" s="205">
        <v>0</v>
      </c>
      <c r="I195" s="205">
        <v>49376147</v>
      </c>
      <c r="J195" s="205">
        <v>1153512</v>
      </c>
      <c r="K195" s="205">
        <v>51000</v>
      </c>
      <c r="L195" s="205">
        <v>22554609</v>
      </c>
      <c r="M195" s="205">
        <v>4510922</v>
      </c>
      <c r="N195" s="205">
        <v>18043687</v>
      </c>
      <c r="O195" s="205">
        <v>145672</v>
      </c>
      <c r="P195" s="205">
        <v>0</v>
      </c>
      <c r="Q195" s="205">
        <v>0</v>
      </c>
      <c r="R195" s="205">
        <v>46459403</v>
      </c>
      <c r="S195" s="205">
        <v>0</v>
      </c>
      <c r="T195" s="205">
        <v>2916745</v>
      </c>
    </row>
    <row r="196" spans="1:20" ht="12.75">
      <c r="A196" s="169">
        <v>189</v>
      </c>
      <c r="B196" s="172" t="s">
        <v>307</v>
      </c>
      <c r="C196" s="258" t="s">
        <v>308</v>
      </c>
      <c r="D196" s="205">
        <v>0</v>
      </c>
      <c r="E196" s="205">
        <v>100713992</v>
      </c>
      <c r="F196" s="205">
        <v>69628</v>
      </c>
      <c r="G196" s="205">
        <v>0</v>
      </c>
      <c r="H196" s="205">
        <v>0</v>
      </c>
      <c r="I196" s="205">
        <v>100783620</v>
      </c>
      <c r="J196" s="205">
        <v>1377389</v>
      </c>
      <c r="K196" s="205">
        <v>721305</v>
      </c>
      <c r="L196" s="205">
        <v>48888877</v>
      </c>
      <c r="M196" s="205">
        <v>10021575</v>
      </c>
      <c r="N196" s="205">
        <v>40086301</v>
      </c>
      <c r="O196" s="205">
        <v>301115</v>
      </c>
      <c r="P196" s="205">
        <v>1839730</v>
      </c>
      <c r="Q196" s="205">
        <v>0</v>
      </c>
      <c r="R196" s="205">
        <v>103236292</v>
      </c>
      <c r="S196" s="205">
        <v>228000</v>
      </c>
      <c r="T196" s="205">
        <v>-2224672</v>
      </c>
    </row>
    <row r="197" spans="1:20" ht="12.75">
      <c r="A197" s="169">
        <v>190</v>
      </c>
      <c r="B197" s="172" t="s">
        <v>309</v>
      </c>
      <c r="C197" s="258" t="s">
        <v>310</v>
      </c>
      <c r="D197" s="205">
        <v>0</v>
      </c>
      <c r="E197" s="205">
        <v>75965512</v>
      </c>
      <c r="F197" s="205">
        <v>294164</v>
      </c>
      <c r="G197" s="205">
        <v>387926</v>
      </c>
      <c r="H197" s="205">
        <v>0</v>
      </c>
      <c r="I197" s="205">
        <v>76647602</v>
      </c>
      <c r="J197" s="205">
        <v>7915724</v>
      </c>
      <c r="K197" s="205">
        <v>18634</v>
      </c>
      <c r="L197" s="205">
        <v>36390859</v>
      </c>
      <c r="M197" s="205">
        <v>0</v>
      </c>
      <c r="N197" s="205">
        <v>36402281</v>
      </c>
      <c r="O197" s="205">
        <v>1263091</v>
      </c>
      <c r="P197" s="205">
        <v>0</v>
      </c>
      <c r="Q197" s="205">
        <v>0</v>
      </c>
      <c r="R197" s="205">
        <v>81990589</v>
      </c>
      <c r="S197" s="205">
        <v>0</v>
      </c>
      <c r="T197" s="205">
        <v>-5342988</v>
      </c>
    </row>
    <row r="198" spans="1:20" ht="12.75">
      <c r="A198" s="169">
        <v>191</v>
      </c>
      <c r="B198" s="172" t="s">
        <v>311</v>
      </c>
      <c r="C198" s="258" t="s">
        <v>312</v>
      </c>
      <c r="D198" s="205">
        <v>0</v>
      </c>
      <c r="E198" s="205">
        <v>79842564</v>
      </c>
      <c r="F198" s="205">
        <v>0</v>
      </c>
      <c r="G198" s="205">
        <v>0</v>
      </c>
      <c r="H198" s="205">
        <v>0</v>
      </c>
      <c r="I198" s="205">
        <v>79842564</v>
      </c>
      <c r="J198" s="205">
        <v>3776897</v>
      </c>
      <c r="K198" s="205">
        <v>903175</v>
      </c>
      <c r="L198" s="205">
        <v>37636740</v>
      </c>
      <c r="M198" s="205">
        <v>7527348</v>
      </c>
      <c r="N198" s="205">
        <v>30109392</v>
      </c>
      <c r="O198" s="205">
        <v>268738</v>
      </c>
      <c r="P198" s="205">
        <v>0</v>
      </c>
      <c r="Q198" s="205">
        <v>0</v>
      </c>
      <c r="R198" s="205">
        <v>80222290</v>
      </c>
      <c r="S198" s="205">
        <v>0</v>
      </c>
      <c r="T198" s="205">
        <v>-379726</v>
      </c>
    </row>
    <row r="199" spans="1:20" ht="12.75">
      <c r="A199" s="169">
        <v>192</v>
      </c>
      <c r="B199" s="172" t="s">
        <v>313</v>
      </c>
      <c r="C199" s="258" t="s">
        <v>314</v>
      </c>
      <c r="D199" s="205">
        <v>0</v>
      </c>
      <c r="E199" s="205">
        <v>127100000</v>
      </c>
      <c r="F199" s="205">
        <v>30000</v>
      </c>
      <c r="G199" s="205">
        <v>0</v>
      </c>
      <c r="H199" s="205">
        <v>0</v>
      </c>
      <c r="I199" s="205">
        <v>127130000</v>
      </c>
      <c r="J199" s="205">
        <v>15711776</v>
      </c>
      <c r="K199" s="205">
        <v>917000</v>
      </c>
      <c r="L199" s="205">
        <v>54793234</v>
      </c>
      <c r="M199" s="205">
        <v>1096945</v>
      </c>
      <c r="N199" s="205">
        <v>53750289</v>
      </c>
      <c r="O199" s="205">
        <v>497329</v>
      </c>
      <c r="P199" s="205">
        <v>0</v>
      </c>
      <c r="Q199" s="205">
        <v>0</v>
      </c>
      <c r="R199" s="205">
        <v>126766573</v>
      </c>
      <c r="S199" s="205">
        <v>0</v>
      </c>
      <c r="T199" s="205">
        <v>363427</v>
      </c>
    </row>
    <row r="200" spans="1:20" ht="12.75">
      <c r="A200" s="169">
        <v>193</v>
      </c>
      <c r="B200" s="172" t="s">
        <v>315</v>
      </c>
      <c r="C200" s="258" t="s">
        <v>316</v>
      </c>
      <c r="D200" s="205">
        <v>0</v>
      </c>
      <c r="E200" s="205">
        <v>33592625</v>
      </c>
      <c r="F200" s="205">
        <v>19851</v>
      </c>
      <c r="G200" s="205">
        <v>0</v>
      </c>
      <c r="H200" s="205">
        <v>0</v>
      </c>
      <c r="I200" s="205">
        <v>33612476</v>
      </c>
      <c r="J200" s="205">
        <v>1214280</v>
      </c>
      <c r="K200" s="205">
        <v>0</v>
      </c>
      <c r="L200" s="205">
        <v>16533258</v>
      </c>
      <c r="M200" s="205">
        <v>3306652</v>
      </c>
      <c r="N200" s="205">
        <v>13226606</v>
      </c>
      <c r="O200" s="205">
        <v>136145</v>
      </c>
      <c r="P200" s="205">
        <v>0</v>
      </c>
      <c r="Q200" s="205">
        <v>0</v>
      </c>
      <c r="R200" s="205">
        <v>34416941</v>
      </c>
      <c r="S200" s="205">
        <v>0</v>
      </c>
      <c r="T200" s="205">
        <v>-804465</v>
      </c>
    </row>
    <row r="201" spans="1:20" ht="12.75">
      <c r="A201" s="169">
        <v>194</v>
      </c>
      <c r="B201" s="172" t="s">
        <v>317</v>
      </c>
      <c r="C201" s="258" t="s">
        <v>318</v>
      </c>
      <c r="D201" s="205">
        <v>0</v>
      </c>
      <c r="E201" s="205">
        <v>11677000</v>
      </c>
      <c r="F201" s="205">
        <v>0</v>
      </c>
      <c r="G201" s="205">
        <v>0</v>
      </c>
      <c r="H201" s="205">
        <v>0</v>
      </c>
      <c r="I201" s="205">
        <v>11677000</v>
      </c>
      <c r="J201" s="205">
        <v>557000</v>
      </c>
      <c r="K201" s="205">
        <v>4000</v>
      </c>
      <c r="L201" s="205">
        <v>5649062</v>
      </c>
      <c r="M201" s="205">
        <v>1129812</v>
      </c>
      <c r="N201" s="205">
        <v>4519250</v>
      </c>
      <c r="O201" s="205">
        <v>56189</v>
      </c>
      <c r="P201" s="205">
        <v>0</v>
      </c>
      <c r="Q201" s="205">
        <v>0</v>
      </c>
      <c r="R201" s="205">
        <v>11915313</v>
      </c>
      <c r="S201" s="205">
        <v>0</v>
      </c>
      <c r="T201" s="205">
        <v>-238313</v>
      </c>
    </row>
    <row r="202" spans="1:20" ht="12.75">
      <c r="A202" s="169">
        <v>195</v>
      </c>
      <c r="B202" s="172" t="s">
        <v>319</v>
      </c>
      <c r="C202" s="258" t="s">
        <v>320</v>
      </c>
      <c r="D202" s="205">
        <v>0</v>
      </c>
      <c r="E202" s="205">
        <v>55890155</v>
      </c>
      <c r="F202" s="205">
        <v>0</v>
      </c>
      <c r="G202" s="205">
        <v>0</v>
      </c>
      <c r="H202" s="205">
        <v>0</v>
      </c>
      <c r="I202" s="205">
        <v>55890155</v>
      </c>
      <c r="J202" s="205">
        <v>2996000</v>
      </c>
      <c r="K202" s="205">
        <v>0</v>
      </c>
      <c r="L202" s="205">
        <v>28305098</v>
      </c>
      <c r="M202" s="205">
        <v>566102</v>
      </c>
      <c r="N202" s="205">
        <v>27738996</v>
      </c>
      <c r="O202" s="205">
        <v>309623</v>
      </c>
      <c r="P202" s="205">
        <v>0</v>
      </c>
      <c r="Q202" s="205">
        <v>0</v>
      </c>
      <c r="R202" s="205">
        <v>59915819</v>
      </c>
      <c r="S202" s="205">
        <v>0</v>
      </c>
      <c r="T202" s="205">
        <v>-4025664</v>
      </c>
    </row>
    <row r="203" spans="1:20" ht="12.75">
      <c r="A203" s="169">
        <v>196</v>
      </c>
      <c r="B203" s="172" t="s">
        <v>321</v>
      </c>
      <c r="C203" s="258" t="s">
        <v>322</v>
      </c>
      <c r="D203" s="205">
        <v>0</v>
      </c>
      <c r="E203" s="205">
        <v>83378297</v>
      </c>
      <c r="F203" s="205">
        <v>60629</v>
      </c>
      <c r="G203" s="205">
        <v>0</v>
      </c>
      <c r="H203" s="205">
        <v>0</v>
      </c>
      <c r="I203" s="205">
        <v>83438926</v>
      </c>
      <c r="J203" s="205">
        <v>3547285</v>
      </c>
      <c r="K203" s="205">
        <v>330237</v>
      </c>
      <c r="L203" s="205">
        <v>40378830</v>
      </c>
      <c r="M203" s="205">
        <v>8075766</v>
      </c>
      <c r="N203" s="205">
        <v>32303064</v>
      </c>
      <c r="O203" s="205">
        <v>220001</v>
      </c>
      <c r="P203" s="205">
        <v>0</v>
      </c>
      <c r="Q203" s="205">
        <v>0</v>
      </c>
      <c r="R203" s="205">
        <v>84855183</v>
      </c>
      <c r="S203" s="205">
        <v>0</v>
      </c>
      <c r="T203" s="205">
        <v>-1416257</v>
      </c>
    </row>
    <row r="204" spans="1:20" ht="12.75">
      <c r="A204" s="169">
        <v>197</v>
      </c>
      <c r="B204" s="172" t="s">
        <v>323</v>
      </c>
      <c r="C204" s="258" t="s">
        <v>324</v>
      </c>
      <c r="D204" s="205">
        <v>0</v>
      </c>
      <c r="E204" s="205">
        <v>19606671</v>
      </c>
      <c r="F204" s="205">
        <v>81421</v>
      </c>
      <c r="G204" s="205">
        <v>0</v>
      </c>
      <c r="H204" s="205">
        <v>0</v>
      </c>
      <c r="I204" s="205">
        <v>19688092</v>
      </c>
      <c r="J204" s="205">
        <v>2164405</v>
      </c>
      <c r="K204" s="205">
        <v>59781</v>
      </c>
      <c r="L204" s="205">
        <v>9015341</v>
      </c>
      <c r="M204" s="205">
        <v>1803068</v>
      </c>
      <c r="N204" s="205">
        <v>7212272</v>
      </c>
      <c r="O204" s="205">
        <v>137523</v>
      </c>
      <c r="P204" s="205">
        <v>0</v>
      </c>
      <c r="Q204" s="205">
        <v>0</v>
      </c>
      <c r="R204" s="205">
        <v>20392390</v>
      </c>
      <c r="S204" s="205">
        <v>0</v>
      </c>
      <c r="T204" s="205">
        <v>-704298</v>
      </c>
    </row>
    <row r="205" spans="1:20" ht="12.75">
      <c r="A205" s="169">
        <v>198</v>
      </c>
      <c r="B205" s="172" t="s">
        <v>325</v>
      </c>
      <c r="C205" s="258" t="s">
        <v>326</v>
      </c>
      <c r="D205" s="205">
        <v>0</v>
      </c>
      <c r="E205" s="205">
        <v>95158119</v>
      </c>
      <c r="F205" s="205">
        <v>1570556</v>
      </c>
      <c r="G205" s="205">
        <v>0</v>
      </c>
      <c r="H205" s="205">
        <v>0</v>
      </c>
      <c r="I205" s="205">
        <v>96728675</v>
      </c>
      <c r="J205" s="205">
        <v>11831440</v>
      </c>
      <c r="K205" s="205">
        <v>239675</v>
      </c>
      <c r="L205" s="205">
        <v>44010538</v>
      </c>
      <c r="M205" s="205">
        <v>880211</v>
      </c>
      <c r="N205" s="205">
        <v>43130327</v>
      </c>
      <c r="O205" s="205">
        <v>275537</v>
      </c>
      <c r="P205" s="205">
        <v>0</v>
      </c>
      <c r="Q205" s="205">
        <v>0</v>
      </c>
      <c r="R205" s="205">
        <v>100367728</v>
      </c>
      <c r="S205" s="205">
        <v>4964064</v>
      </c>
      <c r="T205" s="205">
        <v>1325011</v>
      </c>
    </row>
    <row r="206" spans="1:20" ht="12.75">
      <c r="A206" s="169">
        <v>199</v>
      </c>
      <c r="B206" s="172" t="s">
        <v>327</v>
      </c>
      <c r="C206" s="258" t="s">
        <v>328</v>
      </c>
      <c r="D206" s="205">
        <v>0</v>
      </c>
      <c r="E206" s="205">
        <v>88867925</v>
      </c>
      <c r="F206" s="205">
        <v>0</v>
      </c>
      <c r="G206" s="205">
        <v>0</v>
      </c>
      <c r="H206" s="205">
        <v>0</v>
      </c>
      <c r="I206" s="205">
        <v>88867925</v>
      </c>
      <c r="J206" s="205">
        <v>2099063</v>
      </c>
      <c r="K206" s="205">
        <v>179158</v>
      </c>
      <c r="L206" s="205">
        <v>42994017</v>
      </c>
      <c r="M206" s="205">
        <v>859880</v>
      </c>
      <c r="N206" s="205">
        <v>42134137</v>
      </c>
      <c r="O206" s="205">
        <v>310279</v>
      </c>
      <c r="P206" s="205">
        <v>0</v>
      </c>
      <c r="Q206" s="205">
        <v>0</v>
      </c>
      <c r="R206" s="205">
        <v>88576534</v>
      </c>
      <c r="S206" s="205">
        <v>0</v>
      </c>
      <c r="T206" s="205">
        <v>291391</v>
      </c>
    </row>
    <row r="207" spans="1:20" ht="12.75">
      <c r="A207" s="169">
        <v>200</v>
      </c>
      <c r="B207" s="172" t="s">
        <v>329</v>
      </c>
      <c r="C207" s="258" t="s">
        <v>330</v>
      </c>
      <c r="D207" s="205">
        <v>0</v>
      </c>
      <c r="E207" s="205">
        <v>61631003</v>
      </c>
      <c r="F207" s="205">
        <v>45770</v>
      </c>
      <c r="G207" s="205">
        <v>0</v>
      </c>
      <c r="H207" s="205">
        <v>0</v>
      </c>
      <c r="I207" s="205">
        <v>61676773</v>
      </c>
      <c r="J207" s="205">
        <v>3994921</v>
      </c>
      <c r="K207" s="205">
        <v>32803</v>
      </c>
      <c r="L207" s="205">
        <v>29796814</v>
      </c>
      <c r="M207" s="205">
        <v>595936</v>
      </c>
      <c r="N207" s="205">
        <v>29200877</v>
      </c>
      <c r="O207" s="205">
        <v>239641</v>
      </c>
      <c r="P207" s="205">
        <v>0</v>
      </c>
      <c r="Q207" s="205">
        <v>0</v>
      </c>
      <c r="R207" s="205">
        <v>63860992</v>
      </c>
      <c r="S207" s="205">
        <v>1492786</v>
      </c>
      <c r="T207" s="205">
        <v>-691433</v>
      </c>
    </row>
    <row r="208" spans="1:20" ht="12.75">
      <c r="A208" s="169">
        <v>201</v>
      </c>
      <c r="B208" s="172" t="s">
        <v>331</v>
      </c>
      <c r="C208" s="258" t="s">
        <v>332</v>
      </c>
      <c r="D208" s="205">
        <v>0</v>
      </c>
      <c r="E208" s="205">
        <v>85569070</v>
      </c>
      <c r="F208" s="205">
        <v>72256</v>
      </c>
      <c r="G208" s="205">
        <v>280689</v>
      </c>
      <c r="H208" s="205">
        <v>0</v>
      </c>
      <c r="I208" s="205">
        <v>85922015</v>
      </c>
      <c r="J208" s="205">
        <v>18386436</v>
      </c>
      <c r="K208" s="205">
        <v>2421716</v>
      </c>
      <c r="L208" s="205">
        <v>39564900</v>
      </c>
      <c r="M208" s="205">
        <v>791300</v>
      </c>
      <c r="N208" s="205">
        <v>38773600</v>
      </c>
      <c r="O208" s="205">
        <v>280689</v>
      </c>
      <c r="P208" s="205">
        <v>0</v>
      </c>
      <c r="Q208" s="205">
        <v>0</v>
      </c>
      <c r="R208" s="205">
        <v>100218641</v>
      </c>
      <c r="S208" s="205">
        <v>0</v>
      </c>
      <c r="T208" s="205">
        <v>-14296626</v>
      </c>
    </row>
    <row r="209" spans="1:20" ht="12.75">
      <c r="A209" s="169">
        <v>202</v>
      </c>
      <c r="B209" s="172" t="s">
        <v>333</v>
      </c>
      <c r="C209" s="258" t="s">
        <v>334</v>
      </c>
      <c r="D209" s="205">
        <v>0</v>
      </c>
      <c r="E209" s="205">
        <v>66657340</v>
      </c>
      <c r="F209" s="205">
        <v>0</v>
      </c>
      <c r="G209" s="205">
        <v>0</v>
      </c>
      <c r="H209" s="205">
        <v>0</v>
      </c>
      <c r="I209" s="205">
        <v>66657340</v>
      </c>
      <c r="J209" s="205">
        <v>5066433</v>
      </c>
      <c r="K209" s="205">
        <v>88093</v>
      </c>
      <c r="L209" s="205">
        <v>31855892</v>
      </c>
      <c r="M209" s="205">
        <v>6371179</v>
      </c>
      <c r="N209" s="205">
        <v>25484714</v>
      </c>
      <c r="O209" s="205">
        <v>239401</v>
      </c>
      <c r="P209" s="205">
        <v>0</v>
      </c>
      <c r="Q209" s="205">
        <v>0</v>
      </c>
      <c r="R209" s="205">
        <v>69105712</v>
      </c>
      <c r="S209" s="205">
        <v>0</v>
      </c>
      <c r="T209" s="205">
        <v>-2448372</v>
      </c>
    </row>
    <row r="210" spans="1:20" ht="12.75">
      <c r="A210" s="169">
        <v>203</v>
      </c>
      <c r="B210" s="172" t="s">
        <v>335</v>
      </c>
      <c r="C210" s="258" t="s">
        <v>336</v>
      </c>
      <c r="D210" s="205">
        <v>0</v>
      </c>
      <c r="E210" s="205">
        <v>17820693</v>
      </c>
      <c r="F210" s="205">
        <v>0</v>
      </c>
      <c r="G210" s="205">
        <v>0</v>
      </c>
      <c r="H210" s="205">
        <v>0</v>
      </c>
      <c r="I210" s="205">
        <v>17820693</v>
      </c>
      <c r="J210" s="205">
        <v>259468</v>
      </c>
      <c r="K210" s="205">
        <v>63241</v>
      </c>
      <c r="L210" s="205">
        <v>8476825</v>
      </c>
      <c r="M210" s="205">
        <v>1695364</v>
      </c>
      <c r="N210" s="205">
        <v>6781460</v>
      </c>
      <c r="O210" s="205">
        <v>93946</v>
      </c>
      <c r="P210" s="205">
        <v>0</v>
      </c>
      <c r="Q210" s="205">
        <v>0</v>
      </c>
      <c r="R210" s="205">
        <v>17370304</v>
      </c>
      <c r="S210" s="205">
        <v>0</v>
      </c>
      <c r="T210" s="205">
        <v>450389</v>
      </c>
    </row>
    <row r="211" spans="1:20" ht="12.75">
      <c r="A211" s="169">
        <v>204</v>
      </c>
      <c r="B211" s="172" t="s">
        <v>337</v>
      </c>
      <c r="C211" s="258" t="s">
        <v>338</v>
      </c>
      <c r="D211" s="205">
        <v>0</v>
      </c>
      <c r="E211" s="205">
        <v>103216247</v>
      </c>
      <c r="F211" s="205">
        <v>440854</v>
      </c>
      <c r="G211" s="205">
        <v>269167</v>
      </c>
      <c r="H211" s="205">
        <v>0</v>
      </c>
      <c r="I211" s="205">
        <v>103926268</v>
      </c>
      <c r="J211" s="205">
        <v>13500000</v>
      </c>
      <c r="K211" s="205">
        <v>228922</v>
      </c>
      <c r="L211" s="205">
        <v>48942193</v>
      </c>
      <c r="M211" s="205">
        <v>978844</v>
      </c>
      <c r="N211" s="205">
        <v>47963349</v>
      </c>
      <c r="O211" s="205">
        <v>0</v>
      </c>
      <c r="P211" s="205">
        <v>0</v>
      </c>
      <c r="Q211" s="205">
        <v>0</v>
      </c>
      <c r="R211" s="205">
        <v>111613308</v>
      </c>
      <c r="S211" s="205">
        <v>8100000</v>
      </c>
      <c r="T211" s="205">
        <v>412960</v>
      </c>
    </row>
    <row r="212" spans="1:20" ht="12.75">
      <c r="A212" s="169">
        <v>205</v>
      </c>
      <c r="B212" s="172" t="s">
        <v>339</v>
      </c>
      <c r="C212" s="258" t="s">
        <v>340</v>
      </c>
      <c r="D212" s="205">
        <v>0</v>
      </c>
      <c r="E212" s="205">
        <v>55333843</v>
      </c>
      <c r="F212" s="205">
        <v>358085</v>
      </c>
      <c r="G212" s="205">
        <v>0</v>
      </c>
      <c r="H212" s="205">
        <v>0</v>
      </c>
      <c r="I212" s="205">
        <v>55691929</v>
      </c>
      <c r="J212" s="205">
        <v>4412251</v>
      </c>
      <c r="K212" s="205">
        <v>0</v>
      </c>
      <c r="L212" s="205">
        <v>25939225</v>
      </c>
      <c r="M212" s="205">
        <v>10375690</v>
      </c>
      <c r="N212" s="205">
        <v>15563535</v>
      </c>
      <c r="O212" s="205">
        <v>278679</v>
      </c>
      <c r="P212" s="205">
        <v>0</v>
      </c>
      <c r="Q212" s="205">
        <v>0</v>
      </c>
      <c r="R212" s="205">
        <v>56569380</v>
      </c>
      <c r="S212" s="205">
        <v>0</v>
      </c>
      <c r="T212" s="205">
        <v>-877452</v>
      </c>
    </row>
    <row r="213" spans="1:20" ht="12.75">
      <c r="A213" s="169">
        <v>206</v>
      </c>
      <c r="B213" s="172" t="s">
        <v>341</v>
      </c>
      <c r="C213" s="258" t="s">
        <v>342</v>
      </c>
      <c r="D213" s="205">
        <v>0</v>
      </c>
      <c r="E213" s="205">
        <v>34258101</v>
      </c>
      <c r="F213" s="205">
        <v>37951</v>
      </c>
      <c r="G213" s="205">
        <v>171732</v>
      </c>
      <c r="H213" s="205">
        <v>0</v>
      </c>
      <c r="I213" s="205">
        <v>34467784</v>
      </c>
      <c r="J213" s="205">
        <v>4206145</v>
      </c>
      <c r="K213" s="205">
        <v>704224</v>
      </c>
      <c r="L213" s="205">
        <v>20236527</v>
      </c>
      <c r="M213" s="205">
        <v>404861</v>
      </c>
      <c r="N213" s="205">
        <v>0</v>
      </c>
      <c r="O213" s="205">
        <v>9366</v>
      </c>
      <c r="P213" s="205">
        <v>19838166</v>
      </c>
      <c r="Q213" s="205">
        <v>8514558</v>
      </c>
      <c r="R213" s="205">
        <v>53913847</v>
      </c>
      <c r="S213" s="205">
        <v>841229</v>
      </c>
      <c r="T213" s="205">
        <v>-18604834</v>
      </c>
    </row>
    <row r="214" spans="1:20" ht="12.75">
      <c r="A214" s="169">
        <v>207</v>
      </c>
      <c r="B214" s="172" t="s">
        <v>343</v>
      </c>
      <c r="C214" s="258" t="s">
        <v>344</v>
      </c>
      <c r="D214" s="205">
        <v>0</v>
      </c>
      <c r="E214" s="205">
        <v>34692099</v>
      </c>
      <c r="F214" s="205">
        <v>0</v>
      </c>
      <c r="G214" s="205">
        <v>0</v>
      </c>
      <c r="H214" s="205">
        <v>0</v>
      </c>
      <c r="I214" s="205">
        <v>34692099</v>
      </c>
      <c r="J214" s="205">
        <v>1389264</v>
      </c>
      <c r="K214" s="205">
        <v>294970</v>
      </c>
      <c r="L214" s="205">
        <v>17802959</v>
      </c>
      <c r="M214" s="205">
        <v>3560592</v>
      </c>
      <c r="N214" s="205">
        <v>14242367</v>
      </c>
      <c r="O214" s="205">
        <v>111657</v>
      </c>
      <c r="P214" s="205">
        <v>0</v>
      </c>
      <c r="Q214" s="205">
        <v>0</v>
      </c>
      <c r="R214" s="205">
        <v>37401809</v>
      </c>
      <c r="S214" s="205">
        <v>1459211</v>
      </c>
      <c r="T214" s="205">
        <v>-1250499</v>
      </c>
    </row>
    <row r="215" spans="1:20" ht="12.75">
      <c r="A215" s="169">
        <v>208</v>
      </c>
      <c r="B215" s="172" t="s">
        <v>345</v>
      </c>
      <c r="C215" s="258" t="s">
        <v>346</v>
      </c>
      <c r="D215" s="205">
        <v>0</v>
      </c>
      <c r="E215" s="205">
        <v>50916766</v>
      </c>
      <c r="F215" s="205">
        <v>0</v>
      </c>
      <c r="G215" s="205">
        <v>0</v>
      </c>
      <c r="H215" s="205">
        <v>0</v>
      </c>
      <c r="I215" s="205">
        <v>50916766</v>
      </c>
      <c r="J215" s="205">
        <v>2148280</v>
      </c>
      <c r="K215" s="205">
        <v>0</v>
      </c>
      <c r="L215" s="205">
        <v>24244885</v>
      </c>
      <c r="M215" s="205">
        <v>4848977</v>
      </c>
      <c r="N215" s="205">
        <v>19395908</v>
      </c>
      <c r="O215" s="205">
        <v>0</v>
      </c>
      <c r="P215" s="205">
        <v>0</v>
      </c>
      <c r="Q215" s="205">
        <v>0</v>
      </c>
      <c r="R215" s="205">
        <v>50638050</v>
      </c>
      <c r="S215" s="205">
        <v>0</v>
      </c>
      <c r="T215" s="205">
        <v>278716</v>
      </c>
    </row>
    <row r="216" spans="1:20" ht="12.75">
      <c r="A216" s="169">
        <v>209</v>
      </c>
      <c r="B216" s="172" t="s">
        <v>347</v>
      </c>
      <c r="C216" s="258" t="s">
        <v>348</v>
      </c>
      <c r="D216" s="205">
        <v>0</v>
      </c>
      <c r="E216" s="205">
        <v>14144434</v>
      </c>
      <c r="F216" s="205">
        <v>111370</v>
      </c>
      <c r="G216" s="205">
        <v>0</v>
      </c>
      <c r="H216" s="205">
        <v>0</v>
      </c>
      <c r="I216" s="205">
        <v>14255804</v>
      </c>
      <c r="J216" s="205">
        <v>470244</v>
      </c>
      <c r="K216" s="205">
        <v>19437</v>
      </c>
      <c r="L216" s="205">
        <v>6800937</v>
      </c>
      <c r="M216" s="205">
        <v>1360188</v>
      </c>
      <c r="N216" s="205">
        <v>5440750</v>
      </c>
      <c r="O216" s="205">
        <v>88943</v>
      </c>
      <c r="P216" s="205">
        <v>0</v>
      </c>
      <c r="Q216" s="205">
        <v>0</v>
      </c>
      <c r="R216" s="205">
        <v>14180499</v>
      </c>
      <c r="S216" s="205">
        <v>0</v>
      </c>
      <c r="T216" s="205">
        <v>75305</v>
      </c>
    </row>
    <row r="217" spans="1:20" ht="12.75">
      <c r="A217" s="169">
        <v>210</v>
      </c>
      <c r="B217" s="172" t="s">
        <v>349</v>
      </c>
      <c r="C217" s="258" t="s">
        <v>350</v>
      </c>
      <c r="D217" s="205">
        <v>0</v>
      </c>
      <c r="E217" s="205">
        <v>82980783</v>
      </c>
      <c r="F217" s="205">
        <v>362859</v>
      </c>
      <c r="G217" s="205">
        <v>0</v>
      </c>
      <c r="H217" s="205">
        <v>0</v>
      </c>
      <c r="I217" s="205">
        <v>83343642</v>
      </c>
      <c r="J217" s="205">
        <v>3153742</v>
      </c>
      <c r="K217" s="205">
        <v>79430</v>
      </c>
      <c r="L217" s="205">
        <v>39351242</v>
      </c>
      <c r="M217" s="205">
        <v>15740497</v>
      </c>
      <c r="N217" s="205">
        <v>23610745</v>
      </c>
      <c r="O217" s="205">
        <v>304564</v>
      </c>
      <c r="P217" s="205">
        <v>0</v>
      </c>
      <c r="Q217" s="205">
        <v>0</v>
      </c>
      <c r="R217" s="205">
        <v>82240220</v>
      </c>
      <c r="S217" s="205">
        <v>0</v>
      </c>
      <c r="T217" s="205">
        <v>1103422</v>
      </c>
    </row>
    <row r="218" spans="1:20" ht="12.75">
      <c r="A218" s="169">
        <v>211</v>
      </c>
      <c r="B218" s="172" t="s">
        <v>351</v>
      </c>
      <c r="C218" s="258" t="s">
        <v>352</v>
      </c>
      <c r="D218" s="205">
        <v>0</v>
      </c>
      <c r="E218" s="205">
        <v>13016609</v>
      </c>
      <c r="F218" s="205">
        <v>7668</v>
      </c>
      <c r="G218" s="205">
        <v>0</v>
      </c>
      <c r="H218" s="205">
        <v>0</v>
      </c>
      <c r="I218" s="205">
        <v>13024277</v>
      </c>
      <c r="J218" s="205">
        <v>562617</v>
      </c>
      <c r="K218" s="205">
        <v>0</v>
      </c>
      <c r="L218" s="205">
        <v>6406816</v>
      </c>
      <c r="M218" s="205">
        <v>1281363</v>
      </c>
      <c r="N218" s="205">
        <v>5125453</v>
      </c>
      <c r="O218" s="205">
        <v>96435</v>
      </c>
      <c r="P218" s="205">
        <v>0</v>
      </c>
      <c r="Q218" s="205">
        <v>0</v>
      </c>
      <c r="R218" s="205">
        <v>13472684</v>
      </c>
      <c r="S218" s="205">
        <v>0</v>
      </c>
      <c r="T218" s="205">
        <v>-448407</v>
      </c>
    </row>
    <row r="219" spans="1:20" ht="12.75">
      <c r="A219" s="169">
        <v>212</v>
      </c>
      <c r="B219" s="172" t="s">
        <v>353</v>
      </c>
      <c r="C219" s="258" t="s">
        <v>354</v>
      </c>
      <c r="D219" s="205">
        <v>0</v>
      </c>
      <c r="E219" s="205">
        <v>64689863</v>
      </c>
      <c r="F219" s="205">
        <v>868293</v>
      </c>
      <c r="G219" s="205">
        <v>0</v>
      </c>
      <c r="H219" s="205">
        <v>0</v>
      </c>
      <c r="I219" s="205">
        <v>65558156</v>
      </c>
      <c r="J219" s="205">
        <v>6224853</v>
      </c>
      <c r="K219" s="205">
        <v>104080</v>
      </c>
      <c r="L219" s="205">
        <v>30161821</v>
      </c>
      <c r="M219" s="205">
        <v>603236</v>
      </c>
      <c r="N219" s="205">
        <v>29558584</v>
      </c>
      <c r="O219" s="205">
        <v>285612</v>
      </c>
      <c r="P219" s="205">
        <v>0</v>
      </c>
      <c r="Q219" s="205">
        <v>0</v>
      </c>
      <c r="R219" s="205">
        <v>66938186</v>
      </c>
      <c r="S219" s="205">
        <v>0</v>
      </c>
      <c r="T219" s="205">
        <v>-1380030</v>
      </c>
    </row>
    <row r="220" spans="1:20" ht="12.75">
      <c r="A220" s="169">
        <v>213</v>
      </c>
      <c r="B220" s="172" t="s">
        <v>355</v>
      </c>
      <c r="C220" s="258" t="s">
        <v>356</v>
      </c>
      <c r="D220" s="205">
        <v>0</v>
      </c>
      <c r="E220" s="205">
        <v>16100000</v>
      </c>
      <c r="F220" s="205">
        <v>11007</v>
      </c>
      <c r="G220" s="205">
        <v>0</v>
      </c>
      <c r="H220" s="205">
        <v>0</v>
      </c>
      <c r="I220" s="205">
        <v>16111007</v>
      </c>
      <c r="J220" s="205">
        <v>130996</v>
      </c>
      <c r="K220" s="205">
        <v>40169</v>
      </c>
      <c r="L220" s="205">
        <v>7789997</v>
      </c>
      <c r="M220" s="205">
        <v>1557999</v>
      </c>
      <c r="N220" s="205">
        <v>6231987</v>
      </c>
      <c r="O220" s="205">
        <v>0</v>
      </c>
      <c r="P220" s="205">
        <v>0</v>
      </c>
      <c r="Q220" s="205">
        <v>0</v>
      </c>
      <c r="R220" s="205">
        <v>15751148</v>
      </c>
      <c r="S220" s="205">
        <v>0</v>
      </c>
      <c r="T220" s="205">
        <v>359859</v>
      </c>
    </row>
    <row r="221" spans="1:20" ht="12.75">
      <c r="A221" s="169">
        <v>214</v>
      </c>
      <c r="B221" s="172" t="s">
        <v>357</v>
      </c>
      <c r="C221" s="258" t="s">
        <v>358</v>
      </c>
      <c r="D221" s="205">
        <v>0</v>
      </c>
      <c r="E221" s="205">
        <v>13450635</v>
      </c>
      <c r="F221" s="205">
        <v>78905</v>
      </c>
      <c r="G221" s="205">
        <v>0</v>
      </c>
      <c r="H221" s="205">
        <v>0</v>
      </c>
      <c r="I221" s="205">
        <v>13529540</v>
      </c>
      <c r="J221" s="205">
        <v>1203912</v>
      </c>
      <c r="K221" s="205">
        <v>71109</v>
      </c>
      <c r="L221" s="205">
        <v>6251577</v>
      </c>
      <c r="M221" s="205">
        <v>1246266</v>
      </c>
      <c r="N221" s="205">
        <v>5001262</v>
      </c>
      <c r="O221" s="205">
        <v>101000</v>
      </c>
      <c r="P221" s="205">
        <v>0</v>
      </c>
      <c r="Q221" s="205">
        <v>0</v>
      </c>
      <c r="R221" s="205">
        <v>13875126</v>
      </c>
      <c r="S221" s="205">
        <v>0</v>
      </c>
      <c r="T221" s="205">
        <v>-345586</v>
      </c>
    </row>
    <row r="222" spans="1:20" ht="12.75">
      <c r="A222" s="169">
        <v>215</v>
      </c>
      <c r="B222" s="172" t="s">
        <v>359</v>
      </c>
      <c r="C222" s="258" t="s">
        <v>360</v>
      </c>
      <c r="D222" s="205">
        <v>0</v>
      </c>
      <c r="E222" s="205">
        <v>16723963</v>
      </c>
      <c r="F222" s="205">
        <v>16670</v>
      </c>
      <c r="G222" s="205">
        <v>0</v>
      </c>
      <c r="H222" s="205">
        <v>0</v>
      </c>
      <c r="I222" s="205">
        <v>16740633</v>
      </c>
      <c r="J222" s="205">
        <v>1328000</v>
      </c>
      <c r="K222" s="205">
        <v>0</v>
      </c>
      <c r="L222" s="205">
        <v>8062588</v>
      </c>
      <c r="M222" s="205">
        <v>1612518</v>
      </c>
      <c r="N222" s="205">
        <v>6450070</v>
      </c>
      <c r="O222" s="205">
        <v>136326</v>
      </c>
      <c r="P222" s="205">
        <v>0</v>
      </c>
      <c r="Q222" s="205">
        <v>0</v>
      </c>
      <c r="R222" s="205">
        <v>17589502</v>
      </c>
      <c r="S222" s="205">
        <v>0</v>
      </c>
      <c r="T222" s="205">
        <v>-848869</v>
      </c>
    </row>
    <row r="223" spans="1:20" ht="12.75">
      <c r="A223" s="169">
        <v>216</v>
      </c>
      <c r="B223" s="172" t="s">
        <v>361</v>
      </c>
      <c r="C223" s="258" t="s">
        <v>362</v>
      </c>
      <c r="D223" s="205">
        <v>0</v>
      </c>
      <c r="E223" s="205">
        <v>73466214</v>
      </c>
      <c r="F223" s="205">
        <v>54620</v>
      </c>
      <c r="G223" s="205">
        <v>0</v>
      </c>
      <c r="H223" s="205">
        <v>0</v>
      </c>
      <c r="I223" s="205">
        <v>73520834</v>
      </c>
      <c r="J223" s="205">
        <v>4269879</v>
      </c>
      <c r="K223" s="205">
        <v>0</v>
      </c>
      <c r="L223" s="205">
        <v>35685985</v>
      </c>
      <c r="M223" s="205">
        <v>721796</v>
      </c>
      <c r="N223" s="205">
        <v>35368001</v>
      </c>
      <c r="O223" s="205">
        <v>398319</v>
      </c>
      <c r="P223" s="205">
        <v>140686</v>
      </c>
      <c r="Q223" s="205">
        <v>0</v>
      </c>
      <c r="R223" s="205">
        <v>76584666</v>
      </c>
      <c r="S223" s="205">
        <v>0</v>
      </c>
      <c r="T223" s="205">
        <v>-3063832</v>
      </c>
    </row>
    <row r="224" spans="1:20" ht="12.75">
      <c r="A224" s="169">
        <v>217</v>
      </c>
      <c r="B224" s="172" t="s">
        <v>363</v>
      </c>
      <c r="C224" s="258" t="s">
        <v>364</v>
      </c>
      <c r="D224" s="205">
        <v>0</v>
      </c>
      <c r="E224" s="205">
        <v>40800000</v>
      </c>
      <c r="F224" s="205">
        <v>47446</v>
      </c>
      <c r="G224" s="205">
        <v>0</v>
      </c>
      <c r="H224" s="205">
        <v>0</v>
      </c>
      <c r="I224" s="205">
        <v>40847446</v>
      </c>
      <c r="J224" s="205">
        <v>1956370</v>
      </c>
      <c r="K224" s="205">
        <v>0</v>
      </c>
      <c r="L224" s="205">
        <v>20222121</v>
      </c>
      <c r="M224" s="205">
        <v>4044424</v>
      </c>
      <c r="N224" s="205">
        <v>16177697</v>
      </c>
      <c r="O224" s="205">
        <v>135187</v>
      </c>
      <c r="P224" s="205">
        <v>0</v>
      </c>
      <c r="Q224" s="205">
        <v>0</v>
      </c>
      <c r="R224" s="205">
        <v>42535799</v>
      </c>
      <c r="S224" s="205">
        <v>0</v>
      </c>
      <c r="T224" s="205">
        <v>-1688353</v>
      </c>
    </row>
    <row r="225" spans="1:20" ht="12.75">
      <c r="A225" s="169">
        <v>218</v>
      </c>
      <c r="B225" s="172" t="s">
        <v>365</v>
      </c>
      <c r="C225" s="258" t="s">
        <v>366</v>
      </c>
      <c r="D225" s="205">
        <v>0</v>
      </c>
      <c r="E225" s="205">
        <v>44500000</v>
      </c>
      <c r="F225" s="205">
        <v>11231</v>
      </c>
      <c r="G225" s="205">
        <v>128572</v>
      </c>
      <c r="H225" s="205">
        <v>0</v>
      </c>
      <c r="I225" s="205">
        <v>44639803</v>
      </c>
      <c r="J225" s="205">
        <v>729421</v>
      </c>
      <c r="K225" s="205">
        <v>49345</v>
      </c>
      <c r="L225" s="205">
        <v>22116088</v>
      </c>
      <c r="M225" s="205">
        <v>4423218</v>
      </c>
      <c r="N225" s="205">
        <v>17692870</v>
      </c>
      <c r="O225" s="205">
        <v>128572</v>
      </c>
      <c r="P225" s="205">
        <v>1062006</v>
      </c>
      <c r="Q225" s="205">
        <v>0</v>
      </c>
      <c r="R225" s="205">
        <v>46201521</v>
      </c>
      <c r="S225" s="205">
        <v>0</v>
      </c>
      <c r="T225" s="205">
        <v>-1561717</v>
      </c>
    </row>
    <row r="226" spans="1:20" ht="12.75">
      <c r="A226" s="169">
        <v>219</v>
      </c>
      <c r="B226" s="172" t="s">
        <v>367</v>
      </c>
      <c r="C226" s="258" t="s">
        <v>368</v>
      </c>
      <c r="D226" s="205">
        <v>0</v>
      </c>
      <c r="E226" s="205">
        <v>24487657</v>
      </c>
      <c r="F226" s="205">
        <v>1676241</v>
      </c>
      <c r="G226" s="205">
        <v>0</v>
      </c>
      <c r="H226" s="205">
        <v>0</v>
      </c>
      <c r="I226" s="205">
        <v>26163898</v>
      </c>
      <c r="J226" s="205">
        <v>980000</v>
      </c>
      <c r="K226" s="205">
        <v>300156</v>
      </c>
      <c r="L226" s="205">
        <v>13428688</v>
      </c>
      <c r="M226" s="205">
        <v>2685738</v>
      </c>
      <c r="N226" s="205">
        <v>10742950</v>
      </c>
      <c r="O226" s="205">
        <v>0</v>
      </c>
      <c r="P226" s="205">
        <v>0</v>
      </c>
      <c r="Q226" s="205">
        <v>0</v>
      </c>
      <c r="R226" s="205">
        <v>28137532</v>
      </c>
      <c r="S226" s="205">
        <v>588000</v>
      </c>
      <c r="T226" s="205">
        <v>-1385635</v>
      </c>
    </row>
    <row r="227" spans="1:20" ht="12.75">
      <c r="A227" s="169">
        <v>220</v>
      </c>
      <c r="B227" s="172" t="s">
        <v>369</v>
      </c>
      <c r="C227" s="258" t="s">
        <v>370</v>
      </c>
      <c r="D227" s="205">
        <v>0</v>
      </c>
      <c r="E227" s="205">
        <v>44569324</v>
      </c>
      <c r="F227" s="205">
        <v>0</v>
      </c>
      <c r="G227" s="205">
        <v>0</v>
      </c>
      <c r="H227" s="205">
        <v>0</v>
      </c>
      <c r="I227" s="205">
        <v>44569324</v>
      </c>
      <c r="J227" s="205">
        <v>12995386</v>
      </c>
      <c r="K227" s="205">
        <v>636104</v>
      </c>
      <c r="L227" s="205">
        <v>20998834</v>
      </c>
      <c r="M227" s="205">
        <v>4199767</v>
      </c>
      <c r="N227" s="205">
        <v>16799067</v>
      </c>
      <c r="O227" s="205">
        <v>124561</v>
      </c>
      <c r="P227" s="205">
        <v>0</v>
      </c>
      <c r="Q227" s="205">
        <v>0</v>
      </c>
      <c r="R227" s="205">
        <v>55753719</v>
      </c>
      <c r="S227" s="205">
        <v>0</v>
      </c>
      <c r="T227" s="205">
        <v>-11184395</v>
      </c>
    </row>
    <row r="228" spans="1:20" ht="12.75">
      <c r="A228" s="169">
        <v>221</v>
      </c>
      <c r="B228" s="172" t="s">
        <v>371</v>
      </c>
      <c r="C228" s="258" t="s">
        <v>372</v>
      </c>
      <c r="D228" s="205">
        <v>0</v>
      </c>
      <c r="E228" s="205">
        <v>9849249</v>
      </c>
      <c r="F228" s="205">
        <v>16837</v>
      </c>
      <c r="G228" s="205">
        <v>0</v>
      </c>
      <c r="H228" s="205">
        <v>0</v>
      </c>
      <c r="I228" s="205">
        <v>9866086</v>
      </c>
      <c r="J228" s="205">
        <v>70841</v>
      </c>
      <c r="K228" s="205">
        <v>0</v>
      </c>
      <c r="L228" s="205">
        <v>4814001</v>
      </c>
      <c r="M228" s="205">
        <v>96280</v>
      </c>
      <c r="N228" s="205">
        <v>4717721</v>
      </c>
      <c r="O228" s="205">
        <v>53206</v>
      </c>
      <c r="P228" s="205">
        <v>0</v>
      </c>
      <c r="Q228" s="205">
        <v>0</v>
      </c>
      <c r="R228" s="205">
        <v>9752049</v>
      </c>
      <c r="S228" s="205">
        <v>0</v>
      </c>
      <c r="T228" s="205">
        <v>114037</v>
      </c>
    </row>
    <row r="229" spans="1:20" ht="12.75">
      <c r="A229" s="169">
        <v>222</v>
      </c>
      <c r="B229" s="172" t="s">
        <v>373</v>
      </c>
      <c r="C229" s="258" t="s">
        <v>374</v>
      </c>
      <c r="D229" s="205">
        <v>0</v>
      </c>
      <c r="E229" s="205">
        <v>16707944</v>
      </c>
      <c r="F229" s="205">
        <v>148562</v>
      </c>
      <c r="G229" s="205">
        <v>0</v>
      </c>
      <c r="H229" s="205">
        <v>0</v>
      </c>
      <c r="I229" s="205">
        <v>16856506</v>
      </c>
      <c r="J229" s="205">
        <v>1543000</v>
      </c>
      <c r="K229" s="205">
        <v>0</v>
      </c>
      <c r="L229" s="205">
        <v>8139038</v>
      </c>
      <c r="M229" s="205">
        <v>1627808</v>
      </c>
      <c r="N229" s="205">
        <v>6511230</v>
      </c>
      <c r="O229" s="205">
        <v>111364</v>
      </c>
      <c r="P229" s="205">
        <v>0</v>
      </c>
      <c r="Q229" s="205">
        <v>0</v>
      </c>
      <c r="R229" s="205">
        <v>17932440</v>
      </c>
      <c r="S229" s="205">
        <v>0</v>
      </c>
      <c r="T229" s="205">
        <v>-1075934</v>
      </c>
    </row>
    <row r="230" spans="1:20" ht="12.75">
      <c r="A230" s="169">
        <v>223</v>
      </c>
      <c r="B230" s="172" t="s">
        <v>375</v>
      </c>
      <c r="C230" s="258" t="s">
        <v>376</v>
      </c>
      <c r="D230" s="205">
        <v>0</v>
      </c>
      <c r="E230" s="205">
        <v>104474662</v>
      </c>
      <c r="F230" s="205">
        <v>0</v>
      </c>
      <c r="G230" s="205">
        <v>0</v>
      </c>
      <c r="H230" s="205">
        <v>0</v>
      </c>
      <c r="I230" s="205">
        <v>104474662</v>
      </c>
      <c r="J230" s="205">
        <v>15982790</v>
      </c>
      <c r="K230" s="205">
        <v>372098</v>
      </c>
      <c r="L230" s="205">
        <v>40774881</v>
      </c>
      <c r="M230" s="205">
        <v>815498</v>
      </c>
      <c r="N230" s="205">
        <v>39959383</v>
      </c>
      <c r="O230" s="205">
        <v>439400</v>
      </c>
      <c r="P230" s="205">
        <v>0</v>
      </c>
      <c r="Q230" s="205">
        <v>0</v>
      </c>
      <c r="R230" s="205">
        <v>98344050</v>
      </c>
      <c r="S230" s="205">
        <v>0</v>
      </c>
      <c r="T230" s="205">
        <v>6130612</v>
      </c>
    </row>
    <row r="231" spans="1:20" ht="12.75">
      <c r="A231" s="169">
        <v>224</v>
      </c>
      <c r="B231" s="172" t="s">
        <v>377</v>
      </c>
      <c r="C231" s="258" t="s">
        <v>378</v>
      </c>
      <c r="D231" s="205">
        <v>0</v>
      </c>
      <c r="E231" s="205">
        <v>101613557</v>
      </c>
      <c r="F231" s="205">
        <v>0</v>
      </c>
      <c r="G231" s="205">
        <v>0</v>
      </c>
      <c r="H231" s="205">
        <v>0</v>
      </c>
      <c r="I231" s="205">
        <v>101613557</v>
      </c>
      <c r="J231" s="205">
        <v>5500000</v>
      </c>
      <c r="K231" s="205">
        <v>1331286</v>
      </c>
      <c r="L231" s="205">
        <v>48319194</v>
      </c>
      <c r="M231" s="205">
        <v>966384</v>
      </c>
      <c r="N231" s="205">
        <v>47352810</v>
      </c>
      <c r="O231" s="205">
        <v>438871</v>
      </c>
      <c r="P231" s="205">
        <v>0</v>
      </c>
      <c r="Q231" s="205">
        <v>0</v>
      </c>
      <c r="R231" s="205">
        <v>103908545</v>
      </c>
      <c r="S231" s="205">
        <v>0</v>
      </c>
      <c r="T231" s="205">
        <v>-2294988</v>
      </c>
    </row>
    <row r="232" spans="1:20" ht="12.75">
      <c r="A232" s="169">
        <v>225</v>
      </c>
      <c r="B232" s="172" t="s">
        <v>379</v>
      </c>
      <c r="C232" s="258" t="s">
        <v>380</v>
      </c>
      <c r="D232" s="205">
        <v>0</v>
      </c>
      <c r="E232" s="205">
        <v>34333225</v>
      </c>
      <c r="F232" s="205">
        <v>0</v>
      </c>
      <c r="G232" s="205">
        <v>0</v>
      </c>
      <c r="H232" s="205">
        <v>0</v>
      </c>
      <c r="I232" s="205">
        <v>34333225</v>
      </c>
      <c r="J232" s="205">
        <v>1494870</v>
      </c>
      <c r="K232" s="205">
        <v>542000</v>
      </c>
      <c r="L232" s="205">
        <v>15667706</v>
      </c>
      <c r="M232" s="205">
        <v>3133541</v>
      </c>
      <c r="N232" s="205">
        <v>12534165</v>
      </c>
      <c r="O232" s="205">
        <v>247588</v>
      </c>
      <c r="P232" s="205">
        <v>0</v>
      </c>
      <c r="Q232" s="205">
        <v>0</v>
      </c>
      <c r="R232" s="205">
        <v>33619870</v>
      </c>
      <c r="S232" s="205">
        <v>0</v>
      </c>
      <c r="T232" s="205">
        <v>713355</v>
      </c>
    </row>
    <row r="233" spans="1:20" ht="12.75">
      <c r="A233" s="169">
        <v>226</v>
      </c>
      <c r="B233" s="172" t="s">
        <v>381</v>
      </c>
      <c r="C233" s="258" t="s">
        <v>383</v>
      </c>
      <c r="D233" s="205">
        <v>0</v>
      </c>
      <c r="E233" s="205">
        <v>35451199</v>
      </c>
      <c r="F233" s="205">
        <v>21712</v>
      </c>
      <c r="G233" s="205">
        <v>7820</v>
      </c>
      <c r="H233" s="205">
        <v>0</v>
      </c>
      <c r="I233" s="205">
        <v>35480731</v>
      </c>
      <c r="J233" s="205">
        <v>2932449</v>
      </c>
      <c r="K233" s="205">
        <v>0</v>
      </c>
      <c r="L233" s="205">
        <v>16962506</v>
      </c>
      <c r="M233" s="205">
        <v>3392501</v>
      </c>
      <c r="N233" s="205">
        <v>13570005</v>
      </c>
      <c r="O233" s="205">
        <v>171773</v>
      </c>
      <c r="P233" s="205">
        <v>0</v>
      </c>
      <c r="Q233" s="205">
        <v>0</v>
      </c>
      <c r="R233" s="205">
        <v>37029234</v>
      </c>
      <c r="S233" s="205">
        <v>0</v>
      </c>
      <c r="T233" s="205">
        <v>-1548503</v>
      </c>
    </row>
    <row r="234" spans="1:20" ht="12.75">
      <c r="A234" s="169">
        <v>227</v>
      </c>
      <c r="B234" s="172" t="s">
        <v>384</v>
      </c>
      <c r="C234" s="258" t="s">
        <v>385</v>
      </c>
      <c r="D234" s="205">
        <v>0</v>
      </c>
      <c r="E234" s="205">
        <v>67689392</v>
      </c>
      <c r="F234" s="205">
        <v>1960518</v>
      </c>
      <c r="G234" s="205">
        <v>0</v>
      </c>
      <c r="H234" s="205">
        <v>0</v>
      </c>
      <c r="I234" s="205">
        <v>69649910</v>
      </c>
      <c r="J234" s="205">
        <v>8815440</v>
      </c>
      <c r="K234" s="205">
        <v>0</v>
      </c>
      <c r="L234" s="205">
        <v>32772619</v>
      </c>
      <c r="M234" s="205">
        <v>655452</v>
      </c>
      <c r="N234" s="205">
        <v>32117167</v>
      </c>
      <c r="O234" s="205">
        <v>322252</v>
      </c>
      <c r="P234" s="205">
        <v>0</v>
      </c>
      <c r="Q234" s="205">
        <v>0</v>
      </c>
      <c r="R234" s="205">
        <v>74682930</v>
      </c>
      <c r="S234" s="205">
        <v>1984800</v>
      </c>
      <c r="T234" s="205">
        <v>-3048220</v>
      </c>
    </row>
    <row r="235" spans="1:20" ht="12.75">
      <c r="A235" s="169">
        <v>228</v>
      </c>
      <c r="B235" s="172" t="s">
        <v>386</v>
      </c>
      <c r="C235" s="258" t="s">
        <v>387</v>
      </c>
      <c r="D235" s="205">
        <v>0</v>
      </c>
      <c r="E235" s="205">
        <v>37780707</v>
      </c>
      <c r="F235" s="205">
        <v>324805</v>
      </c>
      <c r="G235" s="205">
        <v>0</v>
      </c>
      <c r="H235" s="205">
        <v>0</v>
      </c>
      <c r="I235" s="205">
        <v>38105512</v>
      </c>
      <c r="J235" s="205">
        <v>1015076</v>
      </c>
      <c r="K235" s="205">
        <v>35292</v>
      </c>
      <c r="L235" s="205">
        <v>21941547</v>
      </c>
      <c r="M235" s="205">
        <v>4388309</v>
      </c>
      <c r="N235" s="205">
        <v>17553238</v>
      </c>
      <c r="O235" s="205">
        <v>120601</v>
      </c>
      <c r="P235" s="205">
        <v>0</v>
      </c>
      <c r="Q235" s="205">
        <v>0</v>
      </c>
      <c r="R235" s="205">
        <v>45054063</v>
      </c>
      <c r="S235" s="205">
        <v>0</v>
      </c>
      <c r="T235" s="205">
        <v>-6948551</v>
      </c>
    </row>
    <row r="236" spans="1:20" ht="12.75">
      <c r="A236" s="169">
        <v>229</v>
      </c>
      <c r="B236" s="172" t="s">
        <v>388</v>
      </c>
      <c r="C236" s="258" t="s">
        <v>389</v>
      </c>
      <c r="D236" s="205">
        <v>0</v>
      </c>
      <c r="E236" s="205">
        <v>35451012</v>
      </c>
      <c r="F236" s="205">
        <v>39303</v>
      </c>
      <c r="G236" s="205">
        <v>170087</v>
      </c>
      <c r="H236" s="205">
        <v>0</v>
      </c>
      <c r="I236" s="205">
        <v>35660402</v>
      </c>
      <c r="J236" s="205">
        <v>4830000</v>
      </c>
      <c r="K236" s="205">
        <v>66074</v>
      </c>
      <c r="L236" s="205">
        <v>16838434</v>
      </c>
      <c r="M236" s="205">
        <v>3367687</v>
      </c>
      <c r="N236" s="205">
        <v>13470747</v>
      </c>
      <c r="O236" s="205">
        <v>170087</v>
      </c>
      <c r="P236" s="205">
        <v>0</v>
      </c>
      <c r="Q236" s="205">
        <v>0</v>
      </c>
      <c r="R236" s="205">
        <v>38743029</v>
      </c>
      <c r="S236" s="205">
        <v>0</v>
      </c>
      <c r="T236" s="205">
        <v>-3082627</v>
      </c>
    </row>
    <row r="237" spans="1:20" ht="12.75">
      <c r="A237" s="169">
        <v>230</v>
      </c>
      <c r="B237" s="172" t="s">
        <v>390</v>
      </c>
      <c r="C237" s="258" t="s">
        <v>391</v>
      </c>
      <c r="D237" s="205">
        <v>0</v>
      </c>
      <c r="E237" s="205">
        <v>211589425</v>
      </c>
      <c r="F237" s="205">
        <v>113045</v>
      </c>
      <c r="G237" s="205">
        <v>0</v>
      </c>
      <c r="H237" s="205">
        <v>0</v>
      </c>
      <c r="I237" s="205">
        <v>211702470</v>
      </c>
      <c r="J237" s="205">
        <v>14800000</v>
      </c>
      <c r="K237" s="205">
        <v>0</v>
      </c>
      <c r="L237" s="205">
        <v>97153990</v>
      </c>
      <c r="M237" s="205">
        <v>1944180</v>
      </c>
      <c r="N237" s="205">
        <v>95264810</v>
      </c>
      <c r="O237" s="205">
        <v>2539490</v>
      </c>
      <c r="P237" s="205">
        <v>0</v>
      </c>
      <c r="Q237" s="205">
        <v>0</v>
      </c>
      <c r="R237" s="205">
        <v>211702470</v>
      </c>
      <c r="S237" s="205">
        <v>0</v>
      </c>
      <c r="T237" s="205">
        <v>0</v>
      </c>
    </row>
    <row r="238" spans="1:20" ht="12.75">
      <c r="A238" s="169">
        <v>231</v>
      </c>
      <c r="B238" s="172" t="s">
        <v>392</v>
      </c>
      <c r="C238" s="258" t="s">
        <v>393</v>
      </c>
      <c r="D238" s="205">
        <v>0</v>
      </c>
      <c r="E238" s="205">
        <v>28603292</v>
      </c>
      <c r="F238" s="205">
        <v>0</v>
      </c>
      <c r="G238" s="205">
        <v>0</v>
      </c>
      <c r="H238" s="205">
        <v>0</v>
      </c>
      <c r="I238" s="205">
        <v>28603292</v>
      </c>
      <c r="J238" s="205">
        <v>2356634</v>
      </c>
      <c r="K238" s="205">
        <v>222275</v>
      </c>
      <c r="L238" s="205">
        <v>13048900</v>
      </c>
      <c r="M238" s="205">
        <v>2609780</v>
      </c>
      <c r="N238" s="205">
        <v>10439120</v>
      </c>
      <c r="O238" s="205">
        <v>152929</v>
      </c>
      <c r="P238" s="205">
        <v>0</v>
      </c>
      <c r="Q238" s="205">
        <v>0</v>
      </c>
      <c r="R238" s="205">
        <v>28829638</v>
      </c>
      <c r="S238" s="205">
        <v>0</v>
      </c>
      <c r="T238" s="205">
        <v>-226346</v>
      </c>
    </row>
    <row r="239" spans="1:20" ht="12.75">
      <c r="A239" s="169">
        <v>232</v>
      </c>
      <c r="B239" s="172" t="s">
        <v>394</v>
      </c>
      <c r="C239" s="258" t="s">
        <v>395</v>
      </c>
      <c r="D239" s="205">
        <v>0</v>
      </c>
      <c r="E239" s="205">
        <v>76516550</v>
      </c>
      <c r="F239" s="205">
        <v>223834</v>
      </c>
      <c r="G239" s="205">
        <v>0</v>
      </c>
      <c r="H239" s="205">
        <v>0</v>
      </c>
      <c r="I239" s="205">
        <v>76740384</v>
      </c>
      <c r="J239" s="205">
        <v>1789787</v>
      </c>
      <c r="K239" s="205">
        <v>0</v>
      </c>
      <c r="L239" s="205">
        <v>38248922</v>
      </c>
      <c r="M239" s="205">
        <v>764978</v>
      </c>
      <c r="N239" s="205">
        <v>37483944</v>
      </c>
      <c r="O239" s="205">
        <v>463653</v>
      </c>
      <c r="P239" s="205">
        <v>0</v>
      </c>
      <c r="Q239" s="205">
        <v>0</v>
      </c>
      <c r="R239" s="205">
        <v>78751284</v>
      </c>
      <c r="S239" s="205">
        <v>0</v>
      </c>
      <c r="T239" s="205">
        <v>-2010900</v>
      </c>
    </row>
    <row r="240" spans="1:20" ht="12.75">
      <c r="A240" s="169">
        <v>233</v>
      </c>
      <c r="B240" s="172" t="s">
        <v>396</v>
      </c>
      <c r="C240" s="258" t="s">
        <v>397</v>
      </c>
      <c r="D240" s="205">
        <v>0</v>
      </c>
      <c r="E240" s="205">
        <v>95136787</v>
      </c>
      <c r="F240" s="205">
        <v>0</v>
      </c>
      <c r="G240" s="205">
        <v>210291</v>
      </c>
      <c r="H240" s="205">
        <v>0</v>
      </c>
      <c r="I240" s="205">
        <v>95347078</v>
      </c>
      <c r="J240" s="205">
        <v>1970228</v>
      </c>
      <c r="K240" s="205">
        <v>616184</v>
      </c>
      <c r="L240" s="205">
        <v>44809675</v>
      </c>
      <c r="M240" s="205">
        <v>896193</v>
      </c>
      <c r="N240" s="205">
        <v>43913481</v>
      </c>
      <c r="O240" s="205">
        <v>4153092</v>
      </c>
      <c r="P240" s="205">
        <v>0</v>
      </c>
      <c r="Q240" s="205">
        <v>0</v>
      </c>
      <c r="R240" s="205">
        <v>96358853</v>
      </c>
      <c r="S240" s="205">
        <v>0</v>
      </c>
      <c r="T240" s="205">
        <v>-1011775</v>
      </c>
    </row>
    <row r="241" spans="1:20" ht="12.75">
      <c r="A241" s="169">
        <v>234</v>
      </c>
      <c r="B241" s="172" t="s">
        <v>398</v>
      </c>
      <c r="C241" s="258" t="s">
        <v>399</v>
      </c>
      <c r="D241" s="205">
        <v>0</v>
      </c>
      <c r="E241" s="205">
        <v>109707363</v>
      </c>
      <c r="F241" s="205">
        <v>0</v>
      </c>
      <c r="G241" s="205">
        <v>0</v>
      </c>
      <c r="H241" s="205">
        <v>0</v>
      </c>
      <c r="I241" s="205">
        <v>109707363</v>
      </c>
      <c r="J241" s="205">
        <v>7222764</v>
      </c>
      <c r="K241" s="205">
        <v>1148511</v>
      </c>
      <c r="L241" s="205">
        <v>56075916</v>
      </c>
      <c r="M241" s="205">
        <v>1121518</v>
      </c>
      <c r="N241" s="205">
        <v>54954398</v>
      </c>
      <c r="O241" s="205">
        <v>242567</v>
      </c>
      <c r="P241" s="205">
        <v>0</v>
      </c>
      <c r="Q241" s="205">
        <v>0</v>
      </c>
      <c r="R241" s="205">
        <v>120765674</v>
      </c>
      <c r="S241" s="205">
        <v>3865018</v>
      </c>
      <c r="T241" s="205">
        <v>-7193293</v>
      </c>
    </row>
    <row r="242" spans="1:20" ht="12.75">
      <c r="A242" s="169">
        <v>235</v>
      </c>
      <c r="B242" s="172" t="s">
        <v>400</v>
      </c>
      <c r="C242" s="258" t="s">
        <v>401</v>
      </c>
      <c r="D242" s="205">
        <v>0</v>
      </c>
      <c r="E242" s="205">
        <v>28995129</v>
      </c>
      <c r="F242" s="205">
        <v>74080</v>
      </c>
      <c r="G242" s="205">
        <v>0</v>
      </c>
      <c r="H242" s="205">
        <v>0</v>
      </c>
      <c r="I242" s="205">
        <v>29069209</v>
      </c>
      <c r="J242" s="205">
        <v>2008151</v>
      </c>
      <c r="K242" s="205">
        <v>47998</v>
      </c>
      <c r="L242" s="205">
        <v>14540844</v>
      </c>
      <c r="M242" s="205">
        <v>2908169</v>
      </c>
      <c r="N242" s="205">
        <v>11632675</v>
      </c>
      <c r="O242" s="205">
        <v>99868</v>
      </c>
      <c r="P242" s="205">
        <v>0</v>
      </c>
      <c r="Q242" s="205">
        <v>0</v>
      </c>
      <c r="R242" s="205">
        <v>31237705</v>
      </c>
      <c r="S242" s="205">
        <v>0</v>
      </c>
      <c r="T242" s="205">
        <v>-2168496</v>
      </c>
    </row>
    <row r="243" spans="1:20" ht="12.75">
      <c r="A243" s="169">
        <v>236</v>
      </c>
      <c r="B243" s="172" t="s">
        <v>402</v>
      </c>
      <c r="C243" s="258" t="s">
        <v>403</v>
      </c>
      <c r="D243" s="205">
        <v>0</v>
      </c>
      <c r="E243" s="205">
        <v>67510600</v>
      </c>
      <c r="F243" s="205">
        <v>92927</v>
      </c>
      <c r="G243" s="205">
        <v>0</v>
      </c>
      <c r="H243" s="205">
        <v>0</v>
      </c>
      <c r="I243" s="205">
        <v>67603527</v>
      </c>
      <c r="J243" s="205">
        <v>2840400</v>
      </c>
      <c r="K243" s="205">
        <v>0</v>
      </c>
      <c r="L243" s="205">
        <v>35060758</v>
      </c>
      <c r="M243" s="205">
        <v>7012151</v>
      </c>
      <c r="N243" s="205">
        <v>28048606</v>
      </c>
      <c r="O243" s="205">
        <v>218656</v>
      </c>
      <c r="P243" s="205">
        <v>0</v>
      </c>
      <c r="Q243" s="205">
        <v>0</v>
      </c>
      <c r="R243" s="205">
        <v>73180571</v>
      </c>
      <c r="S243" s="205">
        <v>0</v>
      </c>
      <c r="T243" s="205">
        <v>-5577044</v>
      </c>
    </row>
    <row r="244" spans="1:20" ht="12.75">
      <c r="A244" s="169">
        <v>237</v>
      </c>
      <c r="B244" s="172" t="s">
        <v>404</v>
      </c>
      <c r="C244" s="258" t="s">
        <v>405</v>
      </c>
      <c r="D244" s="205">
        <v>0</v>
      </c>
      <c r="E244" s="205">
        <v>20665183</v>
      </c>
      <c r="F244" s="205">
        <v>0</v>
      </c>
      <c r="G244" s="205">
        <v>0</v>
      </c>
      <c r="H244" s="205">
        <v>0</v>
      </c>
      <c r="I244" s="205">
        <v>20665183</v>
      </c>
      <c r="J244" s="205">
        <v>0</v>
      </c>
      <c r="K244" s="205">
        <v>0</v>
      </c>
      <c r="L244" s="205">
        <v>16347157</v>
      </c>
      <c r="M244" s="205">
        <v>2066518</v>
      </c>
      <c r="N244" s="205">
        <v>2251508</v>
      </c>
      <c r="O244" s="205">
        <v>0</v>
      </c>
      <c r="P244" s="205">
        <v>0</v>
      </c>
      <c r="Q244" s="205">
        <v>0</v>
      </c>
      <c r="R244" s="205">
        <v>20665183</v>
      </c>
      <c r="S244" s="205">
        <v>0</v>
      </c>
      <c r="T244" s="205">
        <v>0</v>
      </c>
    </row>
    <row r="245" spans="1:20" ht="12.75">
      <c r="A245" s="169">
        <v>238</v>
      </c>
      <c r="B245" s="172" t="s">
        <v>406</v>
      </c>
      <c r="C245" s="258" t="s">
        <v>407</v>
      </c>
      <c r="D245" s="205">
        <v>0</v>
      </c>
      <c r="E245" s="205">
        <v>133834837</v>
      </c>
      <c r="F245" s="205">
        <v>542493</v>
      </c>
      <c r="G245" s="205">
        <v>0</v>
      </c>
      <c r="H245" s="205">
        <v>0</v>
      </c>
      <c r="I245" s="205">
        <v>134377330</v>
      </c>
      <c r="J245" s="205">
        <v>3800000</v>
      </c>
      <c r="K245" s="205">
        <v>14950</v>
      </c>
      <c r="L245" s="205">
        <v>65097427</v>
      </c>
      <c r="M245" s="205">
        <v>1301949</v>
      </c>
      <c r="N245" s="205">
        <v>63795479</v>
      </c>
      <c r="O245" s="205">
        <v>330468</v>
      </c>
      <c r="P245" s="205">
        <v>0</v>
      </c>
      <c r="Q245" s="205">
        <v>0</v>
      </c>
      <c r="R245" s="205">
        <v>134340273</v>
      </c>
      <c r="S245" s="205">
        <v>0</v>
      </c>
      <c r="T245" s="205">
        <v>37057</v>
      </c>
    </row>
    <row r="246" spans="1:20" ht="12.75">
      <c r="A246" s="169">
        <v>239</v>
      </c>
      <c r="B246" s="172" t="s">
        <v>408</v>
      </c>
      <c r="C246" s="258" t="s">
        <v>409</v>
      </c>
      <c r="D246" s="205">
        <v>0</v>
      </c>
      <c r="E246" s="205">
        <v>28640706</v>
      </c>
      <c r="F246" s="205">
        <v>2500467</v>
      </c>
      <c r="G246" s="205">
        <v>0</v>
      </c>
      <c r="H246" s="205">
        <v>0</v>
      </c>
      <c r="I246" s="205">
        <v>31141173</v>
      </c>
      <c r="J246" s="205">
        <v>1954736</v>
      </c>
      <c r="K246" s="205">
        <v>49005</v>
      </c>
      <c r="L246" s="205">
        <v>15784853</v>
      </c>
      <c r="M246" s="205">
        <v>3156970</v>
      </c>
      <c r="N246" s="205">
        <v>12627882</v>
      </c>
      <c r="O246" s="205">
        <v>206226</v>
      </c>
      <c r="P246" s="205">
        <v>0</v>
      </c>
      <c r="Q246" s="205">
        <v>0</v>
      </c>
      <c r="R246" s="205">
        <v>33779672</v>
      </c>
      <c r="S246" s="205">
        <v>0</v>
      </c>
      <c r="T246" s="205">
        <v>-2638499</v>
      </c>
    </row>
    <row r="247" spans="1:20" ht="12.75">
      <c r="A247" s="169">
        <v>240</v>
      </c>
      <c r="B247" s="172" t="s">
        <v>410</v>
      </c>
      <c r="C247" s="258" t="s">
        <v>411</v>
      </c>
      <c r="D247" s="205">
        <v>0</v>
      </c>
      <c r="E247" s="205">
        <v>24542266</v>
      </c>
      <c r="F247" s="205">
        <v>1410268</v>
      </c>
      <c r="G247" s="205">
        <v>0</v>
      </c>
      <c r="H247" s="205">
        <v>0</v>
      </c>
      <c r="I247" s="205">
        <v>25952534</v>
      </c>
      <c r="J247" s="205">
        <v>1440287</v>
      </c>
      <c r="K247" s="205">
        <v>0</v>
      </c>
      <c r="L247" s="205">
        <v>12221910</v>
      </c>
      <c r="M247" s="205">
        <v>2444382</v>
      </c>
      <c r="N247" s="205">
        <v>9777528</v>
      </c>
      <c r="O247" s="205">
        <v>113511</v>
      </c>
      <c r="P247" s="205">
        <v>193097</v>
      </c>
      <c r="Q247" s="205">
        <v>0</v>
      </c>
      <c r="R247" s="205">
        <v>26190715</v>
      </c>
      <c r="S247" s="205">
        <v>0</v>
      </c>
      <c r="T247" s="205">
        <v>-238181</v>
      </c>
    </row>
    <row r="248" spans="1:20" ht="12.75">
      <c r="A248" s="169">
        <v>241</v>
      </c>
      <c r="B248" s="172" t="s">
        <v>412</v>
      </c>
      <c r="C248" s="258" t="s">
        <v>413</v>
      </c>
      <c r="D248" s="205">
        <v>0</v>
      </c>
      <c r="E248" s="205">
        <v>39747723</v>
      </c>
      <c r="F248" s="205">
        <v>0</v>
      </c>
      <c r="G248" s="205">
        <v>0</v>
      </c>
      <c r="H248" s="205">
        <v>0</v>
      </c>
      <c r="I248" s="205">
        <v>39747723</v>
      </c>
      <c r="J248" s="205">
        <v>2007443</v>
      </c>
      <c r="K248" s="205">
        <v>10502</v>
      </c>
      <c r="L248" s="205">
        <v>18689270</v>
      </c>
      <c r="M248" s="205">
        <v>3737854</v>
      </c>
      <c r="N248" s="205">
        <v>14951416</v>
      </c>
      <c r="O248" s="205">
        <v>179287</v>
      </c>
      <c r="P248" s="205">
        <v>0</v>
      </c>
      <c r="Q248" s="205">
        <v>0</v>
      </c>
      <c r="R248" s="205">
        <v>39575772</v>
      </c>
      <c r="S248" s="205">
        <v>0</v>
      </c>
      <c r="T248" s="205">
        <v>171951</v>
      </c>
    </row>
    <row r="249" spans="1:20" ht="12.75">
      <c r="A249" s="169">
        <v>242</v>
      </c>
      <c r="B249" s="172" t="s">
        <v>414</v>
      </c>
      <c r="C249" s="258" t="s">
        <v>415</v>
      </c>
      <c r="D249" s="205">
        <v>0</v>
      </c>
      <c r="E249" s="205">
        <v>40067386</v>
      </c>
      <c r="F249" s="205">
        <v>102424</v>
      </c>
      <c r="G249" s="205">
        <v>296593</v>
      </c>
      <c r="H249" s="205">
        <v>0</v>
      </c>
      <c r="I249" s="205">
        <v>40466403</v>
      </c>
      <c r="J249" s="205">
        <v>1471718</v>
      </c>
      <c r="K249" s="205">
        <v>0</v>
      </c>
      <c r="L249" s="205">
        <v>19275149</v>
      </c>
      <c r="M249" s="205">
        <v>3855030</v>
      </c>
      <c r="N249" s="205">
        <v>15420119</v>
      </c>
      <c r="O249" s="205">
        <v>296593</v>
      </c>
      <c r="P249" s="205">
        <v>0</v>
      </c>
      <c r="Q249" s="205">
        <v>0</v>
      </c>
      <c r="R249" s="205">
        <v>40318609</v>
      </c>
      <c r="S249" s="205">
        <v>0</v>
      </c>
      <c r="T249" s="205">
        <v>147794</v>
      </c>
    </row>
    <row r="250" spans="1:20" ht="12.75">
      <c r="A250" s="169">
        <v>243</v>
      </c>
      <c r="B250" s="172" t="s">
        <v>416</v>
      </c>
      <c r="C250" s="258" t="s">
        <v>417</v>
      </c>
      <c r="D250" s="205">
        <v>0</v>
      </c>
      <c r="E250" s="205">
        <v>28199702</v>
      </c>
      <c r="F250" s="205">
        <v>129748</v>
      </c>
      <c r="G250" s="205">
        <v>20000</v>
      </c>
      <c r="H250" s="205">
        <v>0</v>
      </c>
      <c r="I250" s="205">
        <v>28349450</v>
      </c>
      <c r="J250" s="205">
        <v>147630</v>
      </c>
      <c r="K250" s="205">
        <v>0</v>
      </c>
      <c r="L250" s="205">
        <v>13781178</v>
      </c>
      <c r="M250" s="205">
        <v>2756236</v>
      </c>
      <c r="N250" s="205">
        <v>11024942</v>
      </c>
      <c r="O250" s="205">
        <v>0</v>
      </c>
      <c r="P250" s="205">
        <v>0</v>
      </c>
      <c r="Q250" s="205">
        <v>0</v>
      </c>
      <c r="R250" s="205">
        <v>27709986</v>
      </c>
      <c r="S250" s="205">
        <v>0</v>
      </c>
      <c r="T250" s="205">
        <v>639464</v>
      </c>
    </row>
    <row r="251" spans="1:20" ht="12.75">
      <c r="A251" s="169">
        <v>244</v>
      </c>
      <c r="B251" s="172" t="s">
        <v>418</v>
      </c>
      <c r="C251" s="258" t="s">
        <v>419</v>
      </c>
      <c r="D251" s="205">
        <v>0</v>
      </c>
      <c r="E251" s="205">
        <v>20312052</v>
      </c>
      <c r="F251" s="205">
        <v>28870</v>
      </c>
      <c r="G251" s="205">
        <v>0</v>
      </c>
      <c r="H251" s="205">
        <v>0</v>
      </c>
      <c r="I251" s="205">
        <v>20340922</v>
      </c>
      <c r="J251" s="205">
        <v>650725</v>
      </c>
      <c r="K251" s="205">
        <v>0</v>
      </c>
      <c r="L251" s="205">
        <v>10277567</v>
      </c>
      <c r="M251" s="205">
        <v>2055513</v>
      </c>
      <c r="N251" s="205">
        <v>8222053</v>
      </c>
      <c r="O251" s="205">
        <v>106988</v>
      </c>
      <c r="P251" s="205">
        <v>0</v>
      </c>
      <c r="Q251" s="205">
        <v>0</v>
      </c>
      <c r="R251" s="205">
        <v>21312846</v>
      </c>
      <c r="S251" s="205">
        <v>0</v>
      </c>
      <c r="T251" s="205">
        <v>-971924</v>
      </c>
    </row>
    <row r="252" spans="1:20" ht="12.75">
      <c r="A252" s="169">
        <v>245</v>
      </c>
      <c r="B252" s="172" t="s">
        <v>420</v>
      </c>
      <c r="C252" s="258" t="s">
        <v>421</v>
      </c>
      <c r="D252" s="205">
        <v>0</v>
      </c>
      <c r="E252" s="205">
        <v>42114528</v>
      </c>
      <c r="F252" s="205">
        <v>3423</v>
      </c>
      <c r="G252" s="205">
        <v>186629</v>
      </c>
      <c r="H252" s="205">
        <v>0</v>
      </c>
      <c r="I252" s="205">
        <v>42304580</v>
      </c>
      <c r="J252" s="205">
        <v>736000</v>
      </c>
      <c r="K252" s="205">
        <v>147986</v>
      </c>
      <c r="L252" s="205">
        <v>20413714</v>
      </c>
      <c r="M252" s="205">
        <v>4082743</v>
      </c>
      <c r="N252" s="205">
        <v>16330971</v>
      </c>
      <c r="O252" s="205">
        <v>186629</v>
      </c>
      <c r="P252" s="205">
        <v>0</v>
      </c>
      <c r="Q252" s="205">
        <v>0</v>
      </c>
      <c r="R252" s="205">
        <v>41898043</v>
      </c>
      <c r="S252" s="205">
        <v>0</v>
      </c>
      <c r="T252" s="205">
        <v>406537</v>
      </c>
    </row>
    <row r="253" spans="1:20" ht="12.75">
      <c r="A253" s="169">
        <v>246</v>
      </c>
      <c r="B253" s="172" t="s">
        <v>422</v>
      </c>
      <c r="C253" s="258" t="s">
        <v>423</v>
      </c>
      <c r="D253" s="205">
        <v>0</v>
      </c>
      <c r="E253" s="205">
        <v>36387511</v>
      </c>
      <c r="F253" s="205">
        <v>0</v>
      </c>
      <c r="G253" s="205">
        <v>0</v>
      </c>
      <c r="H253" s="205">
        <v>0</v>
      </c>
      <c r="I253" s="205">
        <v>36387511</v>
      </c>
      <c r="J253" s="205">
        <v>5010000</v>
      </c>
      <c r="K253" s="205">
        <v>222493</v>
      </c>
      <c r="L253" s="205">
        <v>17339658</v>
      </c>
      <c r="M253" s="205">
        <v>3467931</v>
      </c>
      <c r="N253" s="205">
        <v>13871726</v>
      </c>
      <c r="O253" s="205">
        <v>124367</v>
      </c>
      <c r="P253" s="205">
        <v>0</v>
      </c>
      <c r="Q253" s="205">
        <v>0</v>
      </c>
      <c r="R253" s="205">
        <v>40036175</v>
      </c>
      <c r="S253" s="205">
        <v>0</v>
      </c>
      <c r="T253" s="205">
        <v>-3648664</v>
      </c>
    </row>
    <row r="254" spans="1:20" ht="12.75">
      <c r="A254" s="169">
        <v>247</v>
      </c>
      <c r="B254" s="172" t="s">
        <v>424</v>
      </c>
      <c r="C254" s="258" t="s">
        <v>425</v>
      </c>
      <c r="D254" s="205">
        <v>0</v>
      </c>
      <c r="E254" s="205">
        <v>42598134</v>
      </c>
      <c r="F254" s="205">
        <v>99609</v>
      </c>
      <c r="G254" s="205">
        <v>12952</v>
      </c>
      <c r="H254" s="205">
        <v>0</v>
      </c>
      <c r="I254" s="205">
        <v>42710695</v>
      </c>
      <c r="J254" s="205">
        <v>2770793</v>
      </c>
      <c r="K254" s="205">
        <v>103595</v>
      </c>
      <c r="L254" s="205">
        <v>20800758</v>
      </c>
      <c r="M254" s="205">
        <v>4160151</v>
      </c>
      <c r="N254" s="205">
        <v>16640606</v>
      </c>
      <c r="O254" s="205">
        <v>243390</v>
      </c>
      <c r="P254" s="205">
        <v>0</v>
      </c>
      <c r="Q254" s="205">
        <v>0</v>
      </c>
      <c r="R254" s="205">
        <v>44719293</v>
      </c>
      <c r="S254" s="205">
        <v>0</v>
      </c>
      <c r="T254" s="205">
        <v>-2008598</v>
      </c>
    </row>
    <row r="255" spans="1:20" ht="12.75">
      <c r="A255" s="169">
        <v>248</v>
      </c>
      <c r="B255" s="172" t="s">
        <v>426</v>
      </c>
      <c r="C255" s="258" t="s">
        <v>427</v>
      </c>
      <c r="D255" s="205">
        <v>0</v>
      </c>
      <c r="E255" s="205">
        <v>21155076</v>
      </c>
      <c r="F255" s="205">
        <v>134434</v>
      </c>
      <c r="G255" s="205">
        <v>0</v>
      </c>
      <c r="H255" s="205">
        <v>0</v>
      </c>
      <c r="I255" s="205">
        <v>21289510</v>
      </c>
      <c r="J255" s="205">
        <v>1200000</v>
      </c>
      <c r="K255" s="205">
        <v>0</v>
      </c>
      <c r="L255" s="205">
        <v>9515722</v>
      </c>
      <c r="M255" s="205">
        <v>1913944</v>
      </c>
      <c r="N255" s="205">
        <v>7655805</v>
      </c>
      <c r="O255" s="205">
        <v>765593</v>
      </c>
      <c r="P255" s="205">
        <v>271935</v>
      </c>
      <c r="Q255" s="205">
        <v>0</v>
      </c>
      <c r="R255" s="205">
        <v>21322999</v>
      </c>
      <c r="S255" s="205">
        <v>0</v>
      </c>
      <c r="T255" s="205">
        <v>-33489</v>
      </c>
    </row>
    <row r="256" spans="1:20" ht="12.75">
      <c r="A256" s="169">
        <v>249</v>
      </c>
      <c r="B256" s="172" t="s">
        <v>428</v>
      </c>
      <c r="C256" s="258" t="s">
        <v>429</v>
      </c>
      <c r="D256" s="205">
        <v>0</v>
      </c>
      <c r="E256" s="205">
        <v>30617290</v>
      </c>
      <c r="F256" s="205">
        <v>8850</v>
      </c>
      <c r="G256" s="205">
        <v>150312</v>
      </c>
      <c r="H256" s="205">
        <v>0</v>
      </c>
      <c r="I256" s="205">
        <v>30776452</v>
      </c>
      <c r="J256" s="205">
        <v>1531157</v>
      </c>
      <c r="K256" s="205">
        <v>340815</v>
      </c>
      <c r="L256" s="205">
        <v>15076716</v>
      </c>
      <c r="M256" s="205">
        <v>301534</v>
      </c>
      <c r="N256" s="205">
        <v>14775182</v>
      </c>
      <c r="O256" s="205">
        <v>150312</v>
      </c>
      <c r="P256" s="205">
        <v>0</v>
      </c>
      <c r="Q256" s="205">
        <v>0</v>
      </c>
      <c r="R256" s="205">
        <v>32175716</v>
      </c>
      <c r="S256" s="205">
        <v>900000</v>
      </c>
      <c r="T256" s="205">
        <v>-499264</v>
      </c>
    </row>
    <row r="257" spans="1:20" ht="12.75">
      <c r="A257" s="169">
        <v>250</v>
      </c>
      <c r="B257" s="172" t="s">
        <v>430</v>
      </c>
      <c r="C257" s="258" t="s">
        <v>431</v>
      </c>
      <c r="D257" s="205">
        <v>0</v>
      </c>
      <c r="E257" s="205">
        <v>105740839</v>
      </c>
      <c r="F257" s="205">
        <v>0</v>
      </c>
      <c r="G257" s="205">
        <v>321850</v>
      </c>
      <c r="H257" s="205">
        <v>0</v>
      </c>
      <c r="I257" s="205">
        <v>106062689</v>
      </c>
      <c r="J257" s="205">
        <v>21406020</v>
      </c>
      <c r="K257" s="205">
        <v>891710</v>
      </c>
      <c r="L257" s="205">
        <v>50544925</v>
      </c>
      <c r="M257" s="205">
        <v>1010899</v>
      </c>
      <c r="N257" s="205">
        <v>49534027</v>
      </c>
      <c r="O257" s="205">
        <v>321850</v>
      </c>
      <c r="P257" s="205">
        <v>0</v>
      </c>
      <c r="Q257" s="205">
        <v>0</v>
      </c>
      <c r="R257" s="205">
        <v>123709431</v>
      </c>
      <c r="S257" s="205">
        <v>0</v>
      </c>
      <c r="T257" s="205">
        <v>-17646742</v>
      </c>
    </row>
    <row r="258" spans="1:20" ht="12.75">
      <c r="A258" s="169">
        <v>251</v>
      </c>
      <c r="B258" s="172" t="s">
        <v>432</v>
      </c>
      <c r="C258" s="258" t="s">
        <v>433</v>
      </c>
      <c r="D258" s="205">
        <v>0</v>
      </c>
      <c r="E258" s="205">
        <v>46150432</v>
      </c>
      <c r="F258" s="205">
        <v>78458</v>
      </c>
      <c r="G258" s="205">
        <v>0</v>
      </c>
      <c r="H258" s="205">
        <v>0</v>
      </c>
      <c r="I258" s="205">
        <v>46228890</v>
      </c>
      <c r="J258" s="205">
        <v>2269444</v>
      </c>
      <c r="K258" s="205">
        <v>41288</v>
      </c>
      <c r="L258" s="205">
        <v>21169741</v>
      </c>
      <c r="M258" s="205">
        <v>20746346</v>
      </c>
      <c r="N258" s="205">
        <v>423395</v>
      </c>
      <c r="O258" s="205">
        <v>0</v>
      </c>
      <c r="P258" s="205">
        <v>0</v>
      </c>
      <c r="Q258" s="205">
        <v>0</v>
      </c>
      <c r="R258" s="205">
        <v>44650214</v>
      </c>
      <c r="S258" s="205">
        <v>0</v>
      </c>
      <c r="T258" s="205">
        <v>1578676</v>
      </c>
    </row>
    <row r="259" spans="1:20" ht="12.75">
      <c r="A259" s="169">
        <v>252</v>
      </c>
      <c r="B259" s="172" t="s">
        <v>434</v>
      </c>
      <c r="C259" s="258" t="s">
        <v>435</v>
      </c>
      <c r="D259" s="205">
        <v>0</v>
      </c>
      <c r="E259" s="205">
        <v>200090610</v>
      </c>
      <c r="F259" s="205">
        <v>0</v>
      </c>
      <c r="G259" s="205">
        <v>0</v>
      </c>
      <c r="H259" s="205">
        <v>0</v>
      </c>
      <c r="I259" s="205">
        <v>200090610</v>
      </c>
      <c r="J259" s="205">
        <v>21223412</v>
      </c>
      <c r="K259" s="205">
        <v>1152310</v>
      </c>
      <c r="L259" s="205">
        <v>95292701</v>
      </c>
      <c r="M259" s="205">
        <v>38117080</v>
      </c>
      <c r="N259" s="205">
        <v>57175620</v>
      </c>
      <c r="O259" s="205">
        <v>655771</v>
      </c>
      <c r="P259" s="205">
        <v>0</v>
      </c>
      <c r="Q259" s="205">
        <v>0</v>
      </c>
      <c r="R259" s="205">
        <v>213616894</v>
      </c>
      <c r="S259" s="205">
        <v>13563019</v>
      </c>
      <c r="T259" s="205">
        <v>36735</v>
      </c>
    </row>
    <row r="260" spans="1:20" ht="12.75">
      <c r="A260" s="169">
        <v>253</v>
      </c>
      <c r="B260" s="172" t="s">
        <v>436</v>
      </c>
      <c r="C260" s="258" t="s">
        <v>437</v>
      </c>
      <c r="D260" s="205">
        <v>0</v>
      </c>
      <c r="E260" s="205">
        <v>42571750</v>
      </c>
      <c r="F260" s="205">
        <v>7590</v>
      </c>
      <c r="G260" s="205">
        <v>130309</v>
      </c>
      <c r="H260" s="205">
        <v>0</v>
      </c>
      <c r="I260" s="205">
        <v>42709649</v>
      </c>
      <c r="J260" s="205">
        <v>2750000</v>
      </c>
      <c r="K260" s="205">
        <v>0</v>
      </c>
      <c r="L260" s="205">
        <v>21224516</v>
      </c>
      <c r="M260" s="205">
        <v>4244903</v>
      </c>
      <c r="N260" s="205">
        <v>16979612</v>
      </c>
      <c r="O260" s="205">
        <v>130309</v>
      </c>
      <c r="P260" s="205">
        <v>0</v>
      </c>
      <c r="Q260" s="205">
        <v>0</v>
      </c>
      <c r="R260" s="205">
        <v>45329340</v>
      </c>
      <c r="S260" s="205">
        <v>0</v>
      </c>
      <c r="T260" s="205">
        <v>-2619691</v>
      </c>
    </row>
    <row r="261" spans="1:20" ht="12.75">
      <c r="A261" s="169">
        <v>254</v>
      </c>
      <c r="B261" s="172" t="s">
        <v>438</v>
      </c>
      <c r="C261" s="258" t="s">
        <v>439</v>
      </c>
      <c r="D261" s="205">
        <v>0</v>
      </c>
      <c r="E261" s="205">
        <v>63060165</v>
      </c>
      <c r="F261" s="205">
        <v>152000</v>
      </c>
      <c r="G261" s="205">
        <v>0</v>
      </c>
      <c r="H261" s="205">
        <v>0</v>
      </c>
      <c r="I261" s="205">
        <v>63212165</v>
      </c>
      <c r="J261" s="205">
        <v>757481</v>
      </c>
      <c r="K261" s="205">
        <v>18000</v>
      </c>
      <c r="L261" s="205">
        <v>31192857</v>
      </c>
      <c r="M261" s="205">
        <v>6238571</v>
      </c>
      <c r="N261" s="205">
        <v>24954286</v>
      </c>
      <c r="O261" s="205">
        <v>0</v>
      </c>
      <c r="P261" s="205">
        <v>0</v>
      </c>
      <c r="Q261" s="205">
        <v>0</v>
      </c>
      <c r="R261" s="205">
        <v>63161195</v>
      </c>
      <c r="S261" s="205">
        <v>0</v>
      </c>
      <c r="T261" s="205">
        <v>50970</v>
      </c>
    </row>
    <row r="262" spans="1:20" ht="12.75">
      <c r="A262" s="169">
        <v>255</v>
      </c>
      <c r="B262" s="172" t="s">
        <v>440</v>
      </c>
      <c r="C262" s="258" t="s">
        <v>441</v>
      </c>
      <c r="D262" s="205">
        <v>0</v>
      </c>
      <c r="E262" s="205">
        <v>45736802</v>
      </c>
      <c r="F262" s="205">
        <v>0</v>
      </c>
      <c r="G262" s="205">
        <v>0</v>
      </c>
      <c r="H262" s="205">
        <v>0</v>
      </c>
      <c r="I262" s="205">
        <v>45736802</v>
      </c>
      <c r="J262" s="205">
        <v>1211659</v>
      </c>
      <c r="K262" s="205">
        <v>6437</v>
      </c>
      <c r="L262" s="205">
        <v>22731407</v>
      </c>
      <c r="M262" s="205">
        <v>4546281</v>
      </c>
      <c r="N262" s="205">
        <v>18185126</v>
      </c>
      <c r="O262" s="205">
        <v>214145</v>
      </c>
      <c r="P262" s="205">
        <v>0</v>
      </c>
      <c r="Q262" s="205">
        <v>0</v>
      </c>
      <c r="R262" s="205">
        <v>46895055</v>
      </c>
      <c r="S262" s="205">
        <v>0</v>
      </c>
      <c r="T262" s="205">
        <v>-1158253</v>
      </c>
    </row>
    <row r="263" spans="1:20" ht="12.75">
      <c r="A263" s="169">
        <v>256</v>
      </c>
      <c r="B263" s="172" t="s">
        <v>442</v>
      </c>
      <c r="C263" s="258" t="s">
        <v>443</v>
      </c>
      <c r="D263" s="205">
        <v>0</v>
      </c>
      <c r="E263" s="205">
        <v>53164322</v>
      </c>
      <c r="F263" s="205">
        <v>34848</v>
      </c>
      <c r="G263" s="205">
        <v>0</v>
      </c>
      <c r="H263" s="205">
        <v>0</v>
      </c>
      <c r="I263" s="205">
        <v>53199170</v>
      </c>
      <c r="J263" s="205">
        <v>5273230</v>
      </c>
      <c r="K263" s="205">
        <v>198690</v>
      </c>
      <c r="L263" s="205">
        <v>23804901</v>
      </c>
      <c r="M263" s="205">
        <v>476098</v>
      </c>
      <c r="N263" s="205">
        <v>23328803</v>
      </c>
      <c r="O263" s="205">
        <v>195142</v>
      </c>
      <c r="P263" s="205">
        <v>0</v>
      </c>
      <c r="Q263" s="205">
        <v>0</v>
      </c>
      <c r="R263" s="205">
        <v>53276864</v>
      </c>
      <c r="S263" s="205">
        <v>0</v>
      </c>
      <c r="T263" s="205">
        <v>-77694</v>
      </c>
    </row>
    <row r="264" spans="1:20" ht="12.75">
      <c r="A264" s="169">
        <v>257</v>
      </c>
      <c r="B264" s="172" t="s">
        <v>444</v>
      </c>
      <c r="C264" s="258" t="s">
        <v>445</v>
      </c>
      <c r="D264" s="205">
        <v>0</v>
      </c>
      <c r="E264" s="205">
        <v>45068000</v>
      </c>
      <c r="F264" s="205">
        <v>65862</v>
      </c>
      <c r="G264" s="205">
        <v>0</v>
      </c>
      <c r="H264" s="205">
        <v>0</v>
      </c>
      <c r="I264" s="205">
        <v>45133862</v>
      </c>
      <c r="J264" s="205">
        <v>2666615</v>
      </c>
      <c r="K264" s="205">
        <v>0</v>
      </c>
      <c r="L264" s="205">
        <v>20897250</v>
      </c>
      <c r="M264" s="205">
        <v>4179000</v>
      </c>
      <c r="N264" s="205">
        <v>16717800</v>
      </c>
      <c r="O264" s="205">
        <v>172645</v>
      </c>
      <c r="P264" s="205">
        <v>0</v>
      </c>
      <c r="Q264" s="205">
        <v>0</v>
      </c>
      <c r="R264" s="205">
        <v>44633310</v>
      </c>
      <c r="S264" s="205">
        <v>0</v>
      </c>
      <c r="T264" s="205">
        <v>500552</v>
      </c>
    </row>
    <row r="265" spans="1:20" ht="12.75">
      <c r="A265" s="169">
        <v>258</v>
      </c>
      <c r="B265" s="172" t="s">
        <v>446</v>
      </c>
      <c r="C265" s="258" t="s">
        <v>447</v>
      </c>
      <c r="D265" s="205">
        <v>0</v>
      </c>
      <c r="E265" s="205">
        <v>17878218</v>
      </c>
      <c r="F265" s="205">
        <v>115628</v>
      </c>
      <c r="G265" s="205">
        <v>0</v>
      </c>
      <c r="H265" s="205">
        <v>0</v>
      </c>
      <c r="I265" s="205">
        <v>17993846</v>
      </c>
      <c r="J265" s="205">
        <v>408464</v>
      </c>
      <c r="K265" s="205">
        <v>0</v>
      </c>
      <c r="L265" s="205">
        <v>8826349</v>
      </c>
      <c r="M265" s="205">
        <v>1765270</v>
      </c>
      <c r="N265" s="205">
        <v>7061079</v>
      </c>
      <c r="O265" s="205">
        <v>116953</v>
      </c>
      <c r="P265" s="205">
        <v>0</v>
      </c>
      <c r="Q265" s="205">
        <v>0</v>
      </c>
      <c r="R265" s="205">
        <v>18178115</v>
      </c>
      <c r="S265" s="205">
        <v>0</v>
      </c>
      <c r="T265" s="205">
        <v>-184269</v>
      </c>
    </row>
    <row r="266" spans="1:20" ht="12.75">
      <c r="A266" s="169">
        <v>259</v>
      </c>
      <c r="B266" s="172" t="s">
        <v>448</v>
      </c>
      <c r="C266" s="258" t="s">
        <v>449</v>
      </c>
      <c r="D266" s="205">
        <v>0</v>
      </c>
      <c r="E266" s="205">
        <v>49312717</v>
      </c>
      <c r="F266" s="205">
        <v>341536</v>
      </c>
      <c r="G266" s="205">
        <v>0</v>
      </c>
      <c r="H266" s="205">
        <v>0</v>
      </c>
      <c r="I266" s="205">
        <v>49654253</v>
      </c>
      <c r="J266" s="205">
        <v>7600664</v>
      </c>
      <c r="K266" s="205">
        <v>51290</v>
      </c>
      <c r="L266" s="205">
        <v>22324916</v>
      </c>
      <c r="M266" s="205">
        <v>4464983</v>
      </c>
      <c r="N266" s="205">
        <v>17859933</v>
      </c>
      <c r="O266" s="205">
        <v>112556</v>
      </c>
      <c r="P266" s="205">
        <v>0</v>
      </c>
      <c r="Q266" s="205">
        <v>0</v>
      </c>
      <c r="R266" s="205">
        <v>52414342</v>
      </c>
      <c r="S266" s="205">
        <v>0</v>
      </c>
      <c r="T266" s="205">
        <v>-2760089</v>
      </c>
    </row>
    <row r="267" spans="1:20" ht="12.75">
      <c r="A267" s="169">
        <v>260</v>
      </c>
      <c r="B267" s="172" t="s">
        <v>450</v>
      </c>
      <c r="C267" s="258" t="s">
        <v>451</v>
      </c>
      <c r="D267" s="205">
        <v>0</v>
      </c>
      <c r="E267" s="205">
        <v>91485030</v>
      </c>
      <c r="F267" s="205">
        <v>74177</v>
      </c>
      <c r="G267" s="205">
        <v>429417</v>
      </c>
      <c r="H267" s="205">
        <v>0</v>
      </c>
      <c r="I267" s="205">
        <v>91988624</v>
      </c>
      <c r="J267" s="205">
        <v>5228925</v>
      </c>
      <c r="K267" s="205">
        <v>482624</v>
      </c>
      <c r="L267" s="205">
        <v>44378885</v>
      </c>
      <c r="M267" s="205">
        <v>887578</v>
      </c>
      <c r="N267" s="205">
        <v>43491307</v>
      </c>
      <c r="O267" s="205">
        <v>429417</v>
      </c>
      <c r="P267" s="205">
        <v>0</v>
      </c>
      <c r="Q267" s="205">
        <v>0</v>
      </c>
      <c r="R267" s="205">
        <v>94898736</v>
      </c>
      <c r="S267" s="205">
        <v>0</v>
      </c>
      <c r="T267" s="205">
        <v>-2910112</v>
      </c>
    </row>
    <row r="268" spans="1:20" ht="12.75">
      <c r="A268" s="169">
        <v>261</v>
      </c>
      <c r="B268" s="172" t="s">
        <v>452</v>
      </c>
      <c r="C268" s="258" t="s">
        <v>453</v>
      </c>
      <c r="D268" s="205">
        <v>0</v>
      </c>
      <c r="E268" s="205">
        <v>82142668</v>
      </c>
      <c r="F268" s="205">
        <v>0</v>
      </c>
      <c r="G268" s="205">
        <v>0</v>
      </c>
      <c r="H268" s="205">
        <v>0</v>
      </c>
      <c r="I268" s="205">
        <v>82142668</v>
      </c>
      <c r="J268" s="205">
        <v>4634266</v>
      </c>
      <c r="K268" s="205">
        <v>465924</v>
      </c>
      <c r="L268" s="205">
        <v>38690731</v>
      </c>
      <c r="M268" s="205">
        <v>756272</v>
      </c>
      <c r="N268" s="205">
        <v>37925428</v>
      </c>
      <c r="O268" s="205">
        <v>236341</v>
      </c>
      <c r="P268" s="205">
        <v>0</v>
      </c>
      <c r="Q268" s="205">
        <v>0</v>
      </c>
      <c r="R268" s="205">
        <v>82708962</v>
      </c>
      <c r="S268" s="205">
        <v>0</v>
      </c>
      <c r="T268" s="205">
        <v>-566294</v>
      </c>
    </row>
    <row r="269" spans="1:20" ht="12.75">
      <c r="A269" s="169">
        <v>262</v>
      </c>
      <c r="B269" s="172" t="s">
        <v>454</v>
      </c>
      <c r="C269" s="258" t="s">
        <v>455</v>
      </c>
      <c r="D269" s="205">
        <v>0</v>
      </c>
      <c r="E269" s="205">
        <v>87434409</v>
      </c>
      <c r="F269" s="205">
        <v>0</v>
      </c>
      <c r="G269" s="205">
        <v>0</v>
      </c>
      <c r="H269" s="205">
        <v>0</v>
      </c>
      <c r="I269" s="205">
        <v>87434409</v>
      </c>
      <c r="J269" s="205">
        <v>12034000</v>
      </c>
      <c r="K269" s="205">
        <v>236270</v>
      </c>
      <c r="L269" s="205">
        <v>37398269</v>
      </c>
      <c r="M269" s="205">
        <v>747965</v>
      </c>
      <c r="N269" s="205">
        <v>36650303</v>
      </c>
      <c r="O269" s="205">
        <v>366370</v>
      </c>
      <c r="P269" s="205">
        <v>0</v>
      </c>
      <c r="Q269" s="205">
        <v>0</v>
      </c>
      <c r="R269" s="205">
        <v>87433177</v>
      </c>
      <c r="S269" s="205">
        <v>0</v>
      </c>
      <c r="T269" s="205">
        <v>1232</v>
      </c>
    </row>
    <row r="270" spans="1:20" ht="12.75">
      <c r="A270" s="169">
        <v>263</v>
      </c>
      <c r="B270" s="172" t="s">
        <v>456</v>
      </c>
      <c r="C270" s="258" t="s">
        <v>457</v>
      </c>
      <c r="D270" s="205">
        <v>0</v>
      </c>
      <c r="E270" s="205">
        <v>51803853</v>
      </c>
      <c r="F270" s="205">
        <v>90716</v>
      </c>
      <c r="G270" s="205">
        <v>0</v>
      </c>
      <c r="H270" s="205">
        <v>0</v>
      </c>
      <c r="I270" s="205">
        <v>51894569</v>
      </c>
      <c r="J270" s="205">
        <v>1776581</v>
      </c>
      <c r="K270" s="205">
        <v>17977</v>
      </c>
      <c r="L270" s="205">
        <v>25204000</v>
      </c>
      <c r="M270" s="205">
        <v>22936719</v>
      </c>
      <c r="N270" s="205">
        <v>2158000</v>
      </c>
      <c r="O270" s="205">
        <v>218000</v>
      </c>
      <c r="P270" s="205">
        <v>0</v>
      </c>
      <c r="Q270" s="205">
        <v>0</v>
      </c>
      <c r="R270" s="205">
        <v>52311277</v>
      </c>
      <c r="S270" s="205">
        <v>0</v>
      </c>
      <c r="T270" s="205">
        <v>-416708</v>
      </c>
    </row>
    <row r="271" spans="1:20" ht="12.75">
      <c r="A271" s="169">
        <v>264</v>
      </c>
      <c r="B271" s="172" t="s">
        <v>458</v>
      </c>
      <c r="C271" s="258" t="s">
        <v>459</v>
      </c>
      <c r="D271" s="205">
        <v>0</v>
      </c>
      <c r="E271" s="205">
        <v>25904119</v>
      </c>
      <c r="F271" s="205">
        <v>92671</v>
      </c>
      <c r="G271" s="205">
        <v>0</v>
      </c>
      <c r="H271" s="205">
        <v>0</v>
      </c>
      <c r="I271" s="205">
        <v>25996790</v>
      </c>
      <c r="J271" s="205">
        <v>1750000</v>
      </c>
      <c r="K271" s="205">
        <v>88160</v>
      </c>
      <c r="L271" s="205">
        <v>12088938</v>
      </c>
      <c r="M271" s="205">
        <v>2417788</v>
      </c>
      <c r="N271" s="205">
        <v>9671150</v>
      </c>
      <c r="O271" s="205">
        <v>157553</v>
      </c>
      <c r="P271" s="205">
        <v>0</v>
      </c>
      <c r="Q271" s="205">
        <v>0</v>
      </c>
      <c r="R271" s="205">
        <v>26173587</v>
      </c>
      <c r="S271" s="205">
        <v>0</v>
      </c>
      <c r="T271" s="205">
        <v>-176797</v>
      </c>
    </row>
    <row r="272" spans="1:20" ht="12.75">
      <c r="A272" s="169">
        <v>265</v>
      </c>
      <c r="B272" s="172" t="s">
        <v>460</v>
      </c>
      <c r="C272" s="258" t="s">
        <v>461</v>
      </c>
      <c r="D272" s="205">
        <v>0</v>
      </c>
      <c r="E272" s="205">
        <v>49807421</v>
      </c>
      <c r="F272" s="205">
        <v>18719900</v>
      </c>
      <c r="G272" s="205">
        <v>0</v>
      </c>
      <c r="H272" s="205">
        <v>0</v>
      </c>
      <c r="I272" s="205">
        <v>68527321</v>
      </c>
      <c r="J272" s="205">
        <v>19591347</v>
      </c>
      <c r="K272" s="205">
        <v>35104</v>
      </c>
      <c r="L272" s="205">
        <v>29594419</v>
      </c>
      <c r="M272" s="205">
        <v>5918884</v>
      </c>
      <c r="N272" s="205">
        <v>23675535</v>
      </c>
      <c r="O272" s="205">
        <v>936838</v>
      </c>
      <c r="P272" s="205">
        <v>0</v>
      </c>
      <c r="Q272" s="205">
        <v>0</v>
      </c>
      <c r="R272" s="205">
        <v>79752127</v>
      </c>
      <c r="S272" s="205">
        <v>0</v>
      </c>
      <c r="T272" s="205">
        <v>-11224806</v>
      </c>
    </row>
    <row r="273" spans="1:20" ht="12.75">
      <c r="A273" s="169">
        <v>266</v>
      </c>
      <c r="B273" s="172" t="s">
        <v>462</v>
      </c>
      <c r="C273" s="258" t="s">
        <v>463</v>
      </c>
      <c r="D273" s="205">
        <v>0</v>
      </c>
      <c r="E273" s="205">
        <v>91059684</v>
      </c>
      <c r="F273" s="205">
        <v>0</v>
      </c>
      <c r="G273" s="205">
        <v>0</v>
      </c>
      <c r="H273" s="205">
        <v>0</v>
      </c>
      <c r="I273" s="205">
        <v>91059684</v>
      </c>
      <c r="J273" s="205">
        <v>9789662</v>
      </c>
      <c r="K273" s="205">
        <v>11639</v>
      </c>
      <c r="L273" s="205">
        <v>41682298</v>
      </c>
      <c r="M273" s="205">
        <v>834400</v>
      </c>
      <c r="N273" s="205">
        <v>40885579</v>
      </c>
      <c r="O273" s="205">
        <v>713451</v>
      </c>
      <c r="P273" s="205">
        <v>299132</v>
      </c>
      <c r="Q273" s="205">
        <v>0</v>
      </c>
      <c r="R273" s="205">
        <v>94216161</v>
      </c>
      <c r="S273" s="205">
        <v>0</v>
      </c>
      <c r="T273" s="205">
        <v>-3156477</v>
      </c>
    </row>
    <row r="274" spans="1:20" ht="12.75">
      <c r="A274" s="169">
        <v>267</v>
      </c>
      <c r="B274" s="172" t="s">
        <v>464</v>
      </c>
      <c r="C274" s="258" t="s">
        <v>465</v>
      </c>
      <c r="D274" s="205">
        <v>0</v>
      </c>
      <c r="E274" s="205">
        <v>34637012</v>
      </c>
      <c r="F274" s="205">
        <v>0</v>
      </c>
      <c r="G274" s="205">
        <v>0</v>
      </c>
      <c r="H274" s="205">
        <v>0</v>
      </c>
      <c r="I274" s="205">
        <v>34637012</v>
      </c>
      <c r="J274" s="205">
        <v>442600</v>
      </c>
      <c r="K274" s="205">
        <v>0</v>
      </c>
      <c r="L274" s="205">
        <v>17130058</v>
      </c>
      <c r="M274" s="205">
        <v>3426012</v>
      </c>
      <c r="N274" s="205">
        <v>13704046</v>
      </c>
      <c r="O274" s="205">
        <v>0</v>
      </c>
      <c r="P274" s="205">
        <v>0</v>
      </c>
      <c r="Q274" s="205">
        <v>0</v>
      </c>
      <c r="R274" s="205">
        <v>34702716</v>
      </c>
      <c r="S274" s="205">
        <v>0</v>
      </c>
      <c r="T274" s="205">
        <v>-65704</v>
      </c>
    </row>
    <row r="275" spans="1:20" ht="12.75">
      <c r="A275" s="169">
        <v>268</v>
      </c>
      <c r="B275" s="172" t="s">
        <v>466</v>
      </c>
      <c r="C275" s="258" t="s">
        <v>467</v>
      </c>
      <c r="D275" s="205">
        <v>0</v>
      </c>
      <c r="E275" s="205">
        <v>53952498</v>
      </c>
      <c r="F275" s="205">
        <v>134039</v>
      </c>
      <c r="G275" s="205">
        <v>209603</v>
      </c>
      <c r="H275" s="205">
        <v>0</v>
      </c>
      <c r="I275" s="205">
        <v>54296140</v>
      </c>
      <c r="J275" s="205">
        <v>3165743</v>
      </c>
      <c r="K275" s="205">
        <v>247401</v>
      </c>
      <c r="L275" s="205">
        <v>25391498</v>
      </c>
      <c r="M275" s="205">
        <v>10156599</v>
      </c>
      <c r="N275" s="205">
        <v>15234899</v>
      </c>
      <c r="O275" s="205">
        <v>0</v>
      </c>
      <c r="P275" s="205">
        <v>0</v>
      </c>
      <c r="Q275" s="205">
        <v>0</v>
      </c>
      <c r="R275" s="205">
        <v>54196140</v>
      </c>
      <c r="S275" s="205">
        <v>0</v>
      </c>
      <c r="T275" s="205">
        <v>100000</v>
      </c>
    </row>
    <row r="276" spans="1:20" ht="12.75">
      <c r="A276" s="169">
        <v>269</v>
      </c>
      <c r="B276" s="172" t="s">
        <v>468</v>
      </c>
      <c r="C276" s="258" t="s">
        <v>469</v>
      </c>
      <c r="D276" s="205">
        <v>0</v>
      </c>
      <c r="E276" s="205">
        <v>43653954</v>
      </c>
      <c r="F276" s="205">
        <v>-79823</v>
      </c>
      <c r="G276" s="205">
        <v>0</v>
      </c>
      <c r="H276" s="205">
        <v>0</v>
      </c>
      <c r="I276" s="205">
        <v>43574131</v>
      </c>
      <c r="J276" s="205">
        <v>4249807</v>
      </c>
      <c r="K276" s="205">
        <v>45634</v>
      </c>
      <c r="L276" s="205">
        <v>19449852</v>
      </c>
      <c r="M276" s="205">
        <v>3889970</v>
      </c>
      <c r="N276" s="205">
        <v>15559882</v>
      </c>
      <c r="O276" s="205">
        <v>176909</v>
      </c>
      <c r="P276" s="205">
        <v>0</v>
      </c>
      <c r="Q276" s="205">
        <v>0</v>
      </c>
      <c r="R276" s="205">
        <v>43372054</v>
      </c>
      <c r="S276" s="205">
        <v>0</v>
      </c>
      <c r="T276" s="205">
        <v>202077</v>
      </c>
    </row>
    <row r="277" spans="1:20" ht="12.75">
      <c r="A277" s="169">
        <v>270</v>
      </c>
      <c r="B277" s="172" t="s">
        <v>470</v>
      </c>
      <c r="C277" s="258" t="s">
        <v>471</v>
      </c>
      <c r="D277" s="205">
        <v>0</v>
      </c>
      <c r="E277" s="205">
        <v>107798088</v>
      </c>
      <c r="F277" s="205">
        <v>70793</v>
      </c>
      <c r="G277" s="205">
        <v>0</v>
      </c>
      <c r="H277" s="205">
        <v>0</v>
      </c>
      <c r="I277" s="205">
        <v>107868881</v>
      </c>
      <c r="J277" s="205">
        <v>4243100</v>
      </c>
      <c r="K277" s="205">
        <v>790721</v>
      </c>
      <c r="L277" s="205">
        <v>51280715</v>
      </c>
      <c r="M277" s="205">
        <v>1025614</v>
      </c>
      <c r="N277" s="205">
        <v>50255101</v>
      </c>
      <c r="O277" s="205">
        <v>273630</v>
      </c>
      <c r="P277" s="205">
        <v>0</v>
      </c>
      <c r="Q277" s="205">
        <v>0</v>
      </c>
      <c r="R277" s="205">
        <v>107868881</v>
      </c>
      <c r="S277" s="205">
        <v>0</v>
      </c>
      <c r="T277" s="205">
        <v>0</v>
      </c>
    </row>
    <row r="278" spans="1:20" ht="12.75">
      <c r="A278" s="169">
        <v>271</v>
      </c>
      <c r="B278" s="172" t="s">
        <v>472</v>
      </c>
      <c r="C278" s="258" t="s">
        <v>473</v>
      </c>
      <c r="D278" s="205">
        <v>0</v>
      </c>
      <c r="E278" s="205">
        <v>57943594</v>
      </c>
      <c r="F278" s="205">
        <v>192371</v>
      </c>
      <c r="G278" s="205">
        <v>0</v>
      </c>
      <c r="H278" s="205">
        <v>0</v>
      </c>
      <c r="I278" s="205">
        <v>58135965</v>
      </c>
      <c r="J278" s="205">
        <v>3853650</v>
      </c>
      <c r="K278" s="205">
        <v>455163</v>
      </c>
      <c r="L278" s="205">
        <v>26839049</v>
      </c>
      <c r="M278" s="205">
        <v>536781</v>
      </c>
      <c r="N278" s="205">
        <v>26302268</v>
      </c>
      <c r="O278" s="205">
        <v>300092</v>
      </c>
      <c r="P278" s="205">
        <v>0</v>
      </c>
      <c r="Q278" s="205">
        <v>0</v>
      </c>
      <c r="R278" s="205">
        <v>58287003</v>
      </c>
      <c r="S278" s="205">
        <v>0</v>
      </c>
      <c r="T278" s="205">
        <v>-151038</v>
      </c>
    </row>
    <row r="279" spans="1:20" ht="12.75">
      <c r="A279" s="169">
        <v>272</v>
      </c>
      <c r="B279" s="172" t="s">
        <v>474</v>
      </c>
      <c r="C279" s="258" t="s">
        <v>475</v>
      </c>
      <c r="D279" s="205">
        <v>0</v>
      </c>
      <c r="E279" s="205">
        <v>32778456</v>
      </c>
      <c r="F279" s="205">
        <v>60212</v>
      </c>
      <c r="G279" s="205">
        <v>0</v>
      </c>
      <c r="H279" s="205">
        <v>0</v>
      </c>
      <c r="I279" s="205">
        <v>32838668</v>
      </c>
      <c r="J279" s="205">
        <v>2245583</v>
      </c>
      <c r="K279" s="205">
        <v>-8499</v>
      </c>
      <c r="L279" s="205">
        <v>15249758</v>
      </c>
      <c r="M279" s="205">
        <v>3049951</v>
      </c>
      <c r="N279" s="205">
        <v>12199806</v>
      </c>
      <c r="O279" s="205">
        <v>92458</v>
      </c>
      <c r="P279" s="205">
        <v>0</v>
      </c>
      <c r="Q279" s="205">
        <v>0</v>
      </c>
      <c r="R279" s="205">
        <v>32829057</v>
      </c>
      <c r="S279" s="205">
        <v>0</v>
      </c>
      <c r="T279" s="205">
        <v>9611</v>
      </c>
    </row>
    <row r="280" spans="1:20" ht="12.75">
      <c r="A280" s="169">
        <v>273</v>
      </c>
      <c r="B280" s="172" t="s">
        <v>476</v>
      </c>
      <c r="C280" s="258" t="s">
        <v>477</v>
      </c>
      <c r="D280" s="205">
        <v>0</v>
      </c>
      <c r="E280" s="205">
        <v>19918667</v>
      </c>
      <c r="F280" s="205">
        <v>135361</v>
      </c>
      <c r="G280" s="205">
        <v>129595</v>
      </c>
      <c r="H280" s="205">
        <v>0</v>
      </c>
      <c r="I280" s="205">
        <v>20183623</v>
      </c>
      <c r="J280" s="205">
        <v>975000</v>
      </c>
      <c r="K280" s="205">
        <v>5070</v>
      </c>
      <c r="L280" s="205">
        <v>9544072</v>
      </c>
      <c r="M280" s="205">
        <v>1908814</v>
      </c>
      <c r="N280" s="205">
        <v>7635258</v>
      </c>
      <c r="O280" s="205">
        <v>129595</v>
      </c>
      <c r="P280" s="205">
        <v>0</v>
      </c>
      <c r="Q280" s="205">
        <v>0</v>
      </c>
      <c r="R280" s="205">
        <v>20197809</v>
      </c>
      <c r="S280" s="205">
        <v>0</v>
      </c>
      <c r="T280" s="205">
        <v>-14186</v>
      </c>
    </row>
    <row r="281" spans="1:20" ht="12.75">
      <c r="A281" s="169">
        <v>274</v>
      </c>
      <c r="B281" s="172" t="s">
        <v>478</v>
      </c>
      <c r="C281" s="258" t="s">
        <v>479</v>
      </c>
      <c r="D281" s="205">
        <v>0</v>
      </c>
      <c r="E281" s="205">
        <v>39946604</v>
      </c>
      <c r="F281" s="205">
        <v>0</v>
      </c>
      <c r="G281" s="205">
        <v>0</v>
      </c>
      <c r="H281" s="205">
        <v>0</v>
      </c>
      <c r="I281" s="205">
        <v>39946604</v>
      </c>
      <c r="J281" s="205">
        <v>2008124</v>
      </c>
      <c r="K281" s="205">
        <v>71647</v>
      </c>
      <c r="L281" s="205">
        <v>19347658</v>
      </c>
      <c r="M281" s="205">
        <v>3869531</v>
      </c>
      <c r="N281" s="205">
        <v>15478126</v>
      </c>
      <c r="O281" s="205">
        <v>35000</v>
      </c>
      <c r="P281" s="205">
        <v>0</v>
      </c>
      <c r="Q281" s="205">
        <v>0</v>
      </c>
      <c r="R281" s="205">
        <v>40810086</v>
      </c>
      <c r="S281" s="205">
        <v>0</v>
      </c>
      <c r="T281" s="205">
        <v>-863482</v>
      </c>
    </row>
    <row r="282" spans="1:20" ht="12.75">
      <c r="A282" s="169">
        <v>275</v>
      </c>
      <c r="B282" s="172" t="s">
        <v>480</v>
      </c>
      <c r="C282" s="258" t="s">
        <v>481</v>
      </c>
      <c r="D282" s="205">
        <v>0</v>
      </c>
      <c r="E282" s="205">
        <v>30881024</v>
      </c>
      <c r="F282" s="205">
        <v>416424</v>
      </c>
      <c r="G282" s="205">
        <v>0</v>
      </c>
      <c r="H282" s="205">
        <v>0</v>
      </c>
      <c r="I282" s="205">
        <v>31297448</v>
      </c>
      <c r="J282" s="205">
        <v>465438</v>
      </c>
      <c r="K282" s="205">
        <v>148978</v>
      </c>
      <c r="L282" s="205">
        <v>15861001</v>
      </c>
      <c r="M282" s="205">
        <v>3172200</v>
      </c>
      <c r="N282" s="205">
        <v>12688800</v>
      </c>
      <c r="O282" s="205">
        <v>193085</v>
      </c>
      <c r="P282" s="205">
        <v>0</v>
      </c>
      <c r="Q282" s="205">
        <v>0</v>
      </c>
      <c r="R282" s="205">
        <v>32529502</v>
      </c>
      <c r="S282" s="205">
        <v>141567</v>
      </c>
      <c r="T282" s="205">
        <v>-1090487</v>
      </c>
    </row>
    <row r="283" spans="1:20" ht="12.75">
      <c r="A283" s="169">
        <v>276</v>
      </c>
      <c r="B283" s="172" t="s">
        <v>482</v>
      </c>
      <c r="C283" s="258" t="s">
        <v>483</v>
      </c>
      <c r="D283" s="205">
        <v>0</v>
      </c>
      <c r="E283" s="205">
        <v>69553602</v>
      </c>
      <c r="F283" s="205">
        <v>53045</v>
      </c>
      <c r="G283" s="205">
        <v>0</v>
      </c>
      <c r="H283" s="205">
        <v>0</v>
      </c>
      <c r="I283" s="205">
        <v>69606647</v>
      </c>
      <c r="J283" s="205">
        <v>6728560</v>
      </c>
      <c r="K283" s="205">
        <v>131315</v>
      </c>
      <c r="L283" s="205">
        <v>32191780</v>
      </c>
      <c r="M283" s="205">
        <v>643836</v>
      </c>
      <c r="N283" s="205">
        <v>31547944</v>
      </c>
      <c r="O283" s="205">
        <v>212543</v>
      </c>
      <c r="P283" s="205">
        <v>0</v>
      </c>
      <c r="Q283" s="205">
        <v>0</v>
      </c>
      <c r="R283" s="205">
        <v>71455979</v>
      </c>
      <c r="S283" s="205">
        <v>0</v>
      </c>
      <c r="T283" s="205">
        <v>-1849331</v>
      </c>
    </row>
    <row r="284" spans="1:20" ht="12.75">
      <c r="A284" s="169">
        <v>277</v>
      </c>
      <c r="B284" s="172" t="s">
        <v>484</v>
      </c>
      <c r="C284" s="258" t="s">
        <v>485</v>
      </c>
      <c r="D284" s="205">
        <v>0</v>
      </c>
      <c r="E284" s="205">
        <v>26295959</v>
      </c>
      <c r="F284" s="205">
        <v>38502</v>
      </c>
      <c r="G284" s="205">
        <v>0</v>
      </c>
      <c r="H284" s="205">
        <v>0</v>
      </c>
      <c r="I284" s="205">
        <v>26334461</v>
      </c>
      <c r="J284" s="205">
        <v>1800000</v>
      </c>
      <c r="K284" s="205">
        <v>0</v>
      </c>
      <c r="L284" s="205">
        <v>12098087</v>
      </c>
      <c r="M284" s="205">
        <v>2419618</v>
      </c>
      <c r="N284" s="205">
        <v>9678469</v>
      </c>
      <c r="O284" s="205">
        <v>292364</v>
      </c>
      <c r="P284" s="205">
        <v>0</v>
      </c>
      <c r="Q284" s="205">
        <v>0</v>
      </c>
      <c r="R284" s="205">
        <v>26288538</v>
      </c>
      <c r="S284" s="205">
        <v>0</v>
      </c>
      <c r="T284" s="205">
        <v>45923</v>
      </c>
    </row>
    <row r="285" spans="1:20" ht="12.75">
      <c r="A285" s="169">
        <v>278</v>
      </c>
      <c r="B285" s="172" t="s">
        <v>486</v>
      </c>
      <c r="C285" s="258" t="s">
        <v>487</v>
      </c>
      <c r="D285" s="205">
        <v>0</v>
      </c>
      <c r="E285" s="205">
        <v>48531685</v>
      </c>
      <c r="F285" s="205">
        <v>-12390</v>
      </c>
      <c r="G285" s="205">
        <v>183929</v>
      </c>
      <c r="H285" s="205">
        <v>0</v>
      </c>
      <c r="I285" s="205">
        <v>48703224</v>
      </c>
      <c r="J285" s="205">
        <v>2747556</v>
      </c>
      <c r="K285" s="205">
        <v>113797</v>
      </c>
      <c r="L285" s="205">
        <v>22232337</v>
      </c>
      <c r="M285" s="205">
        <v>4446468</v>
      </c>
      <c r="N285" s="205">
        <v>17785870</v>
      </c>
      <c r="O285" s="205">
        <v>183929</v>
      </c>
      <c r="P285" s="205">
        <v>0</v>
      </c>
      <c r="Q285" s="205">
        <v>0</v>
      </c>
      <c r="R285" s="205">
        <v>47509957</v>
      </c>
      <c r="S285" s="205">
        <v>0</v>
      </c>
      <c r="T285" s="205">
        <v>1193267</v>
      </c>
    </row>
    <row r="286" spans="1:20" ht="12.75">
      <c r="A286" s="169">
        <v>279</v>
      </c>
      <c r="B286" s="172" t="s">
        <v>488</v>
      </c>
      <c r="C286" s="258" t="s">
        <v>489</v>
      </c>
      <c r="D286" s="205">
        <v>0</v>
      </c>
      <c r="E286" s="205">
        <v>35716769</v>
      </c>
      <c r="F286" s="205">
        <v>0</v>
      </c>
      <c r="G286" s="205">
        <v>0</v>
      </c>
      <c r="H286" s="205">
        <v>0</v>
      </c>
      <c r="I286" s="205">
        <v>35716769</v>
      </c>
      <c r="J286" s="205">
        <v>3511749</v>
      </c>
      <c r="K286" s="205">
        <v>46358</v>
      </c>
      <c r="L286" s="205">
        <v>17425038</v>
      </c>
      <c r="M286" s="205">
        <v>3485006</v>
      </c>
      <c r="N286" s="205">
        <v>13940022</v>
      </c>
      <c r="O286" s="205">
        <v>124701</v>
      </c>
      <c r="P286" s="205">
        <v>0</v>
      </c>
      <c r="Q286" s="205">
        <v>0</v>
      </c>
      <c r="R286" s="205">
        <v>38532874</v>
      </c>
      <c r="S286" s="205">
        <v>2588735</v>
      </c>
      <c r="T286" s="205">
        <v>-227370</v>
      </c>
    </row>
    <row r="287" spans="1:20" ht="12.75">
      <c r="A287" s="169">
        <v>280</v>
      </c>
      <c r="B287" s="172" t="s">
        <v>490</v>
      </c>
      <c r="C287" s="258" t="s">
        <v>491</v>
      </c>
      <c r="D287" s="205">
        <v>0</v>
      </c>
      <c r="E287" s="205">
        <v>32330604</v>
      </c>
      <c r="F287" s="205">
        <v>0</v>
      </c>
      <c r="G287" s="205">
        <v>0</v>
      </c>
      <c r="H287" s="205">
        <v>0</v>
      </c>
      <c r="I287" s="205">
        <v>32330604</v>
      </c>
      <c r="J287" s="205">
        <v>2754102</v>
      </c>
      <c r="K287" s="205">
        <v>12253</v>
      </c>
      <c r="L287" s="205">
        <v>14487648</v>
      </c>
      <c r="M287" s="205">
        <v>2897530</v>
      </c>
      <c r="N287" s="205">
        <v>11590118</v>
      </c>
      <c r="O287" s="205">
        <v>191907</v>
      </c>
      <c r="P287" s="205">
        <v>397046</v>
      </c>
      <c r="Q287" s="205">
        <v>0</v>
      </c>
      <c r="R287" s="205">
        <v>32330604</v>
      </c>
      <c r="S287" s="205">
        <v>0</v>
      </c>
      <c r="T287" s="205">
        <v>0</v>
      </c>
    </row>
    <row r="288" spans="1:20" ht="12.75">
      <c r="A288" s="169">
        <v>281</v>
      </c>
      <c r="B288" s="172" t="s">
        <v>492</v>
      </c>
      <c r="C288" s="258" t="s">
        <v>493</v>
      </c>
      <c r="D288" s="205">
        <v>0</v>
      </c>
      <c r="E288" s="205">
        <v>28047704</v>
      </c>
      <c r="F288" s="205">
        <v>-12851</v>
      </c>
      <c r="G288" s="205">
        <v>0</v>
      </c>
      <c r="H288" s="205">
        <v>0</v>
      </c>
      <c r="I288" s="205">
        <v>28034853</v>
      </c>
      <c r="J288" s="205">
        <v>1793483</v>
      </c>
      <c r="K288" s="205">
        <v>671752</v>
      </c>
      <c r="L288" s="205">
        <v>12617425</v>
      </c>
      <c r="M288" s="205">
        <v>2523485</v>
      </c>
      <c r="N288" s="205">
        <v>10093940</v>
      </c>
      <c r="O288" s="205">
        <v>95137</v>
      </c>
      <c r="P288" s="205">
        <v>0</v>
      </c>
      <c r="Q288" s="205">
        <v>0</v>
      </c>
      <c r="R288" s="205">
        <v>27795222</v>
      </c>
      <c r="S288" s="205">
        <v>0</v>
      </c>
      <c r="T288" s="205">
        <v>239631</v>
      </c>
    </row>
    <row r="289" spans="1:20" ht="12.75">
      <c r="A289" s="169">
        <v>282</v>
      </c>
      <c r="B289" s="172" t="s">
        <v>494</v>
      </c>
      <c r="C289" s="258" t="s">
        <v>495</v>
      </c>
      <c r="D289" s="205">
        <v>0</v>
      </c>
      <c r="E289" s="205">
        <v>107221291</v>
      </c>
      <c r="F289" s="205">
        <v>1171092</v>
      </c>
      <c r="G289" s="205">
        <v>0</v>
      </c>
      <c r="H289" s="205">
        <v>0</v>
      </c>
      <c r="I289" s="205">
        <v>108392383</v>
      </c>
      <c r="J289" s="205">
        <v>3704388</v>
      </c>
      <c r="K289" s="205">
        <v>0</v>
      </c>
      <c r="L289" s="205">
        <v>53265526</v>
      </c>
      <c r="M289" s="205">
        <v>1065311</v>
      </c>
      <c r="N289" s="205">
        <v>52200215</v>
      </c>
      <c r="O289" s="205">
        <v>222500</v>
      </c>
      <c r="P289" s="205">
        <v>0</v>
      </c>
      <c r="Q289" s="205">
        <v>0</v>
      </c>
      <c r="R289" s="205">
        <v>110457940</v>
      </c>
      <c r="S289" s="205">
        <v>0</v>
      </c>
      <c r="T289" s="205">
        <v>-2065557</v>
      </c>
    </row>
    <row r="290" spans="1:20" ht="12.75">
      <c r="A290" s="169">
        <v>283</v>
      </c>
      <c r="B290" s="172" t="s">
        <v>496</v>
      </c>
      <c r="C290" s="258" t="s">
        <v>497</v>
      </c>
      <c r="D290" s="205">
        <v>0</v>
      </c>
      <c r="E290" s="205">
        <v>54074600</v>
      </c>
      <c r="F290" s="205">
        <v>0</v>
      </c>
      <c r="G290" s="205">
        <v>0</v>
      </c>
      <c r="H290" s="205">
        <v>0</v>
      </c>
      <c r="I290" s="205">
        <v>54074600</v>
      </c>
      <c r="J290" s="205">
        <v>1880000</v>
      </c>
      <c r="K290" s="205">
        <v>393400</v>
      </c>
      <c r="L290" s="205">
        <v>26941500</v>
      </c>
      <c r="M290" s="205">
        <v>5388300</v>
      </c>
      <c r="N290" s="205">
        <v>21553200</v>
      </c>
      <c r="O290" s="205">
        <v>168018</v>
      </c>
      <c r="P290" s="205">
        <v>0</v>
      </c>
      <c r="Q290" s="205">
        <v>0</v>
      </c>
      <c r="R290" s="205">
        <v>56324418</v>
      </c>
      <c r="S290" s="205">
        <v>918000</v>
      </c>
      <c r="T290" s="205">
        <v>-1331818</v>
      </c>
    </row>
    <row r="291" spans="1:20" ht="12.75">
      <c r="A291" s="169">
        <v>284</v>
      </c>
      <c r="B291" s="172" t="s">
        <v>498</v>
      </c>
      <c r="C291" s="258" t="s">
        <v>499</v>
      </c>
      <c r="D291" s="205">
        <v>0</v>
      </c>
      <c r="E291" s="205">
        <v>36120931</v>
      </c>
      <c r="F291" s="205">
        <v>0</v>
      </c>
      <c r="G291" s="205">
        <v>0</v>
      </c>
      <c r="H291" s="205">
        <v>0</v>
      </c>
      <c r="I291" s="205">
        <v>36120931</v>
      </c>
      <c r="J291" s="205">
        <v>2845561</v>
      </c>
      <c r="K291" s="205">
        <v>0</v>
      </c>
      <c r="L291" s="205">
        <v>18230013</v>
      </c>
      <c r="M291" s="205">
        <v>364600</v>
      </c>
      <c r="N291" s="205">
        <v>17865412</v>
      </c>
      <c r="O291" s="205">
        <v>206989</v>
      </c>
      <c r="P291" s="205">
        <v>0</v>
      </c>
      <c r="Q291" s="205">
        <v>0</v>
      </c>
      <c r="R291" s="205">
        <v>39512575</v>
      </c>
      <c r="S291" s="205">
        <v>0</v>
      </c>
      <c r="T291" s="205">
        <v>-3391644</v>
      </c>
    </row>
    <row r="292" spans="1:20" ht="12.75">
      <c r="A292" s="169">
        <v>285</v>
      </c>
      <c r="B292" s="172" t="s">
        <v>500</v>
      </c>
      <c r="C292" s="258" t="s">
        <v>501</v>
      </c>
      <c r="D292" s="205">
        <v>0</v>
      </c>
      <c r="E292" s="205">
        <v>10237420</v>
      </c>
      <c r="F292" s="205">
        <v>256337</v>
      </c>
      <c r="G292" s="205">
        <v>0</v>
      </c>
      <c r="H292" s="205">
        <v>0</v>
      </c>
      <c r="I292" s="205">
        <v>10493757</v>
      </c>
      <c r="J292" s="205">
        <v>203000</v>
      </c>
      <c r="K292" s="205">
        <v>0</v>
      </c>
      <c r="L292" s="205">
        <v>5231065</v>
      </c>
      <c r="M292" s="205">
        <v>1046213</v>
      </c>
      <c r="N292" s="205">
        <v>4184852</v>
      </c>
      <c r="O292" s="205">
        <v>121660</v>
      </c>
      <c r="P292" s="205">
        <v>53755</v>
      </c>
      <c r="Q292" s="205">
        <v>0</v>
      </c>
      <c r="R292" s="205">
        <v>10840545</v>
      </c>
      <c r="S292" s="205">
        <v>0</v>
      </c>
      <c r="T292" s="205">
        <v>-346788</v>
      </c>
    </row>
    <row r="293" spans="1:20" ht="12.75">
      <c r="A293" s="169">
        <v>286</v>
      </c>
      <c r="B293" s="172" t="s">
        <v>502</v>
      </c>
      <c r="C293" s="258" t="s">
        <v>503</v>
      </c>
      <c r="D293" s="205">
        <v>0</v>
      </c>
      <c r="E293" s="205">
        <v>353184105</v>
      </c>
      <c r="F293" s="205">
        <v>775259</v>
      </c>
      <c r="G293" s="205">
        <v>0</v>
      </c>
      <c r="H293" s="205">
        <v>0</v>
      </c>
      <c r="I293" s="205">
        <v>353959364</v>
      </c>
      <c r="J293" s="205">
        <v>25620868</v>
      </c>
      <c r="K293" s="205">
        <v>185303</v>
      </c>
      <c r="L293" s="205">
        <v>160602109</v>
      </c>
      <c r="M293" s="205">
        <v>64240844</v>
      </c>
      <c r="N293" s="205">
        <v>96361266</v>
      </c>
      <c r="O293" s="205">
        <v>0</v>
      </c>
      <c r="P293" s="205">
        <v>0</v>
      </c>
      <c r="Q293" s="205">
        <v>0</v>
      </c>
      <c r="R293" s="205">
        <v>347010390</v>
      </c>
      <c r="S293" s="205">
        <v>0</v>
      </c>
      <c r="T293" s="205">
        <v>6948974</v>
      </c>
    </row>
    <row r="294" spans="1:20" ht="12.75">
      <c r="A294" s="169">
        <v>287</v>
      </c>
      <c r="B294" s="172" t="s">
        <v>504</v>
      </c>
      <c r="C294" s="258" t="s">
        <v>505</v>
      </c>
      <c r="D294" s="205">
        <v>0</v>
      </c>
      <c r="E294" s="205">
        <v>161933799</v>
      </c>
      <c r="F294" s="205">
        <v>25703</v>
      </c>
      <c r="G294" s="205">
        <v>525639</v>
      </c>
      <c r="H294" s="205">
        <v>0</v>
      </c>
      <c r="I294" s="205">
        <v>162485141</v>
      </c>
      <c r="J294" s="205">
        <v>25694252</v>
      </c>
      <c r="K294" s="205">
        <v>599197</v>
      </c>
      <c r="L294" s="205">
        <v>75816875</v>
      </c>
      <c r="M294" s="205">
        <v>1516338</v>
      </c>
      <c r="N294" s="205">
        <v>74300538</v>
      </c>
      <c r="O294" s="205">
        <v>525639</v>
      </c>
      <c r="P294" s="205">
        <v>73476</v>
      </c>
      <c r="Q294" s="205">
        <v>0</v>
      </c>
      <c r="R294" s="205">
        <v>178526315</v>
      </c>
      <c r="S294" s="205">
        <v>0</v>
      </c>
      <c r="T294" s="205">
        <v>-16041174</v>
      </c>
    </row>
    <row r="295" spans="1:20" ht="12.75">
      <c r="A295" s="169">
        <v>288</v>
      </c>
      <c r="B295" s="172" t="s">
        <v>506</v>
      </c>
      <c r="C295" s="258" t="s">
        <v>507</v>
      </c>
      <c r="D295" s="205">
        <v>0</v>
      </c>
      <c r="E295" s="205">
        <v>50607846</v>
      </c>
      <c r="F295" s="205">
        <v>68455</v>
      </c>
      <c r="G295" s="205">
        <v>0</v>
      </c>
      <c r="H295" s="205">
        <v>0</v>
      </c>
      <c r="I295" s="205">
        <v>50676301</v>
      </c>
      <c r="J295" s="205">
        <v>3350200</v>
      </c>
      <c r="K295" s="205">
        <v>0</v>
      </c>
      <c r="L295" s="205">
        <v>24080640</v>
      </c>
      <c r="M295" s="205">
        <v>4816128</v>
      </c>
      <c r="N295" s="205">
        <v>19264512</v>
      </c>
      <c r="O295" s="205">
        <v>0</v>
      </c>
      <c r="P295" s="205">
        <v>0</v>
      </c>
      <c r="Q295" s="205">
        <v>0</v>
      </c>
      <c r="R295" s="205">
        <v>51511480</v>
      </c>
      <c r="S295" s="205">
        <v>0</v>
      </c>
      <c r="T295" s="205">
        <v>-835179</v>
      </c>
    </row>
    <row r="296" spans="1:20" ht="12.75">
      <c r="A296" s="169">
        <v>289</v>
      </c>
      <c r="B296" s="172" t="s">
        <v>508</v>
      </c>
      <c r="C296" s="258" t="s">
        <v>509</v>
      </c>
      <c r="D296" s="205">
        <v>0</v>
      </c>
      <c r="E296" s="205">
        <v>41502972</v>
      </c>
      <c r="F296" s="205">
        <v>163450</v>
      </c>
      <c r="G296" s="205">
        <v>0</v>
      </c>
      <c r="H296" s="205">
        <v>0</v>
      </c>
      <c r="I296" s="205">
        <v>41666422</v>
      </c>
      <c r="J296" s="205">
        <v>4840667</v>
      </c>
      <c r="K296" s="205">
        <v>37251</v>
      </c>
      <c r="L296" s="205">
        <v>19988406</v>
      </c>
      <c r="M296" s="205">
        <v>3997681</v>
      </c>
      <c r="N296" s="205">
        <v>15990725</v>
      </c>
      <c r="O296" s="205">
        <v>0</v>
      </c>
      <c r="P296" s="205">
        <v>0</v>
      </c>
      <c r="Q296" s="205">
        <v>0</v>
      </c>
      <c r="R296" s="205">
        <v>44854730</v>
      </c>
      <c r="S296" s="205">
        <v>0</v>
      </c>
      <c r="T296" s="205">
        <v>-3188308</v>
      </c>
    </row>
    <row r="297" spans="1:20" ht="12.75">
      <c r="A297" s="169">
        <v>290</v>
      </c>
      <c r="B297" s="172" t="s">
        <v>510</v>
      </c>
      <c r="C297" s="258" t="s">
        <v>511</v>
      </c>
      <c r="D297" s="205">
        <v>0</v>
      </c>
      <c r="E297" s="205">
        <v>59418405</v>
      </c>
      <c r="F297" s="205">
        <v>1887813</v>
      </c>
      <c r="G297" s="205">
        <v>620470</v>
      </c>
      <c r="H297" s="205">
        <v>0</v>
      </c>
      <c r="I297" s="205">
        <v>61926688</v>
      </c>
      <c r="J297" s="205">
        <v>11673000</v>
      </c>
      <c r="K297" s="205">
        <v>420489</v>
      </c>
      <c r="L297" s="205">
        <v>26026620</v>
      </c>
      <c r="M297" s="205">
        <v>5443124</v>
      </c>
      <c r="N297" s="205">
        <v>21772496</v>
      </c>
      <c r="O297" s="205">
        <v>620470</v>
      </c>
      <c r="P297" s="205">
        <v>-420000</v>
      </c>
      <c r="Q297" s="205">
        <v>0</v>
      </c>
      <c r="R297" s="205">
        <v>65536199</v>
      </c>
      <c r="S297" s="205">
        <v>0</v>
      </c>
      <c r="T297" s="205">
        <v>-3609511</v>
      </c>
    </row>
    <row r="298" spans="1:20" ht="12.75">
      <c r="A298" s="169">
        <v>291</v>
      </c>
      <c r="B298" s="172" t="s">
        <v>512</v>
      </c>
      <c r="C298" s="258" t="s">
        <v>513</v>
      </c>
      <c r="D298" s="205">
        <v>0</v>
      </c>
      <c r="E298" s="205">
        <v>124074691</v>
      </c>
      <c r="F298" s="205">
        <v>289777</v>
      </c>
      <c r="G298" s="205">
        <v>457961</v>
      </c>
      <c r="H298" s="205">
        <v>0</v>
      </c>
      <c r="I298" s="205">
        <v>124822429</v>
      </c>
      <c r="J298" s="205">
        <v>11873115</v>
      </c>
      <c r="K298" s="205">
        <v>222279</v>
      </c>
      <c r="L298" s="205">
        <v>57901374</v>
      </c>
      <c r="M298" s="205">
        <v>1158027</v>
      </c>
      <c r="N298" s="205">
        <v>56743346</v>
      </c>
      <c r="O298" s="205">
        <v>0</v>
      </c>
      <c r="P298" s="205">
        <v>0</v>
      </c>
      <c r="Q298" s="205">
        <v>0</v>
      </c>
      <c r="R298" s="205">
        <v>127898141</v>
      </c>
      <c r="S298" s="205">
        <v>0</v>
      </c>
      <c r="T298" s="205">
        <v>-3075712</v>
      </c>
    </row>
    <row r="299" spans="1:20" ht="12.75">
      <c r="A299" s="169">
        <v>292</v>
      </c>
      <c r="B299" s="172" t="s">
        <v>514</v>
      </c>
      <c r="C299" s="258" t="s">
        <v>515</v>
      </c>
      <c r="D299" s="205">
        <v>0</v>
      </c>
      <c r="E299" s="205">
        <v>68132220</v>
      </c>
      <c r="F299" s="205">
        <v>75710</v>
      </c>
      <c r="G299" s="205">
        <v>0</v>
      </c>
      <c r="H299" s="205">
        <v>0</v>
      </c>
      <c r="I299" s="205">
        <v>68207930</v>
      </c>
      <c r="J299" s="205">
        <v>4130682</v>
      </c>
      <c r="K299" s="205">
        <v>0</v>
      </c>
      <c r="L299" s="205">
        <v>33498142</v>
      </c>
      <c r="M299" s="205">
        <v>672532</v>
      </c>
      <c r="N299" s="205">
        <v>32954085</v>
      </c>
      <c r="O299" s="205">
        <v>344295</v>
      </c>
      <c r="P299" s="205">
        <v>0</v>
      </c>
      <c r="Q299" s="205">
        <v>0</v>
      </c>
      <c r="R299" s="205">
        <v>71599736</v>
      </c>
      <c r="S299" s="205">
        <v>2478410</v>
      </c>
      <c r="T299" s="205">
        <v>-913396</v>
      </c>
    </row>
    <row r="300" spans="1:20" ht="12.75">
      <c r="A300" s="169">
        <v>293</v>
      </c>
      <c r="B300" s="172" t="s">
        <v>516</v>
      </c>
      <c r="C300" s="258" t="s">
        <v>517</v>
      </c>
      <c r="D300" s="205">
        <v>0</v>
      </c>
      <c r="E300" s="205">
        <v>55578550</v>
      </c>
      <c r="F300" s="205">
        <v>295261</v>
      </c>
      <c r="G300" s="205">
        <v>292541</v>
      </c>
      <c r="H300" s="205">
        <v>0</v>
      </c>
      <c r="I300" s="205">
        <v>56166352</v>
      </c>
      <c r="J300" s="205">
        <v>474477</v>
      </c>
      <c r="K300" s="205">
        <v>0</v>
      </c>
      <c r="L300" s="205">
        <v>27997662</v>
      </c>
      <c r="M300" s="205">
        <v>11199065</v>
      </c>
      <c r="N300" s="205">
        <v>16798597</v>
      </c>
      <c r="O300" s="205">
        <v>0</v>
      </c>
      <c r="P300" s="205">
        <v>0</v>
      </c>
      <c r="Q300" s="205">
        <v>0</v>
      </c>
      <c r="R300" s="205">
        <v>56469801</v>
      </c>
      <c r="S300" s="205">
        <v>0</v>
      </c>
      <c r="T300" s="205">
        <v>-303449</v>
      </c>
    </row>
    <row r="301" spans="1:20" ht="12.75">
      <c r="A301" s="169">
        <v>294</v>
      </c>
      <c r="B301" s="172" t="s">
        <v>518</v>
      </c>
      <c r="C301" s="258" t="s">
        <v>519</v>
      </c>
      <c r="D301" s="205">
        <v>0</v>
      </c>
      <c r="E301" s="205">
        <v>102580000</v>
      </c>
      <c r="F301" s="205">
        <v>400124</v>
      </c>
      <c r="G301" s="205">
        <v>484461</v>
      </c>
      <c r="H301" s="205">
        <v>0</v>
      </c>
      <c r="I301" s="205">
        <v>103464585</v>
      </c>
      <c r="J301" s="205">
        <v>7587849</v>
      </c>
      <c r="K301" s="205">
        <v>400124</v>
      </c>
      <c r="L301" s="205">
        <v>49413465</v>
      </c>
      <c r="M301" s="205">
        <v>19765386</v>
      </c>
      <c r="N301" s="205">
        <v>29648079</v>
      </c>
      <c r="O301" s="205">
        <v>484461</v>
      </c>
      <c r="P301" s="205">
        <v>0</v>
      </c>
      <c r="Q301" s="205">
        <v>0</v>
      </c>
      <c r="R301" s="205">
        <v>107299364</v>
      </c>
      <c r="S301" s="205">
        <v>3760709</v>
      </c>
      <c r="T301" s="205">
        <v>-74070</v>
      </c>
    </row>
    <row r="302" spans="1:20" ht="12.75">
      <c r="A302" s="169">
        <v>295</v>
      </c>
      <c r="B302" s="172" t="s">
        <v>520</v>
      </c>
      <c r="C302" s="258" t="s">
        <v>521</v>
      </c>
      <c r="D302" s="205">
        <v>0</v>
      </c>
      <c r="E302" s="205">
        <v>105504260</v>
      </c>
      <c r="F302" s="205">
        <v>866144</v>
      </c>
      <c r="G302" s="205">
        <v>0</v>
      </c>
      <c r="H302" s="205">
        <v>0</v>
      </c>
      <c r="I302" s="205">
        <v>106370404</v>
      </c>
      <c r="J302" s="205">
        <v>7570398</v>
      </c>
      <c r="K302" s="205">
        <v>-469212</v>
      </c>
      <c r="L302" s="205">
        <v>51020638</v>
      </c>
      <c r="M302" s="205">
        <v>1020413</v>
      </c>
      <c r="N302" s="205">
        <v>50000225</v>
      </c>
      <c r="O302" s="205">
        <v>308145</v>
      </c>
      <c r="P302" s="205">
        <v>0</v>
      </c>
      <c r="Q302" s="205">
        <v>0</v>
      </c>
      <c r="R302" s="205">
        <v>109450607</v>
      </c>
      <c r="S302" s="205">
        <v>2290135</v>
      </c>
      <c r="T302" s="205">
        <v>-790068</v>
      </c>
    </row>
    <row r="303" spans="1:20" ht="12.75">
      <c r="A303" s="169">
        <v>296</v>
      </c>
      <c r="B303" s="172" t="s">
        <v>522</v>
      </c>
      <c r="C303" s="258" t="s">
        <v>523</v>
      </c>
      <c r="D303" s="205">
        <v>0</v>
      </c>
      <c r="E303" s="205">
        <v>66625639</v>
      </c>
      <c r="F303" s="205">
        <v>18200</v>
      </c>
      <c r="G303" s="205">
        <v>213591</v>
      </c>
      <c r="H303" s="205">
        <v>0</v>
      </c>
      <c r="I303" s="205">
        <v>66857430</v>
      </c>
      <c r="J303" s="205">
        <v>2151600</v>
      </c>
      <c r="K303" s="205">
        <v>258700</v>
      </c>
      <c r="L303" s="205">
        <v>31656360</v>
      </c>
      <c r="M303" s="205">
        <v>6331272</v>
      </c>
      <c r="N303" s="205">
        <v>25325088</v>
      </c>
      <c r="O303" s="205">
        <v>212678</v>
      </c>
      <c r="P303" s="205">
        <v>0</v>
      </c>
      <c r="Q303" s="205">
        <v>0</v>
      </c>
      <c r="R303" s="205">
        <v>65935698</v>
      </c>
      <c r="S303" s="205">
        <v>0</v>
      </c>
      <c r="T303" s="205">
        <v>921732</v>
      </c>
    </row>
    <row r="304" spans="1:20" ht="12.75">
      <c r="A304" s="169">
        <v>297</v>
      </c>
      <c r="B304" s="172" t="s">
        <v>524</v>
      </c>
      <c r="C304" s="258" t="s">
        <v>525</v>
      </c>
      <c r="D304" s="205">
        <v>0</v>
      </c>
      <c r="E304" s="205">
        <v>67113383</v>
      </c>
      <c r="F304" s="205">
        <v>149421</v>
      </c>
      <c r="G304" s="205">
        <v>0</v>
      </c>
      <c r="H304" s="205">
        <v>0</v>
      </c>
      <c r="I304" s="205">
        <v>67262804</v>
      </c>
      <c r="J304" s="205">
        <v>10709729</v>
      </c>
      <c r="K304" s="205">
        <v>2905877</v>
      </c>
      <c r="L304" s="205">
        <v>33386258</v>
      </c>
      <c r="M304" s="205">
        <v>6677252</v>
      </c>
      <c r="N304" s="205">
        <v>26709006</v>
      </c>
      <c r="O304" s="205">
        <v>176395</v>
      </c>
      <c r="P304" s="205">
        <v>0</v>
      </c>
      <c r="Q304" s="205">
        <v>0</v>
      </c>
      <c r="R304" s="205">
        <v>80564517</v>
      </c>
      <c r="S304" s="205">
        <v>0</v>
      </c>
      <c r="T304" s="205">
        <v>-13301713</v>
      </c>
    </row>
    <row r="305" spans="1:20" ht="12.75">
      <c r="A305" s="169">
        <v>298</v>
      </c>
      <c r="B305" s="172" t="s">
        <v>526</v>
      </c>
      <c r="C305" s="258" t="s">
        <v>527</v>
      </c>
      <c r="D305" s="205">
        <v>0</v>
      </c>
      <c r="E305" s="205">
        <v>28238156</v>
      </c>
      <c r="F305" s="205">
        <v>47406</v>
      </c>
      <c r="G305" s="205">
        <v>0</v>
      </c>
      <c r="H305" s="205">
        <v>0</v>
      </c>
      <c r="I305" s="205">
        <v>28285562</v>
      </c>
      <c r="J305" s="205">
        <v>2023876</v>
      </c>
      <c r="K305" s="205">
        <v>221985</v>
      </c>
      <c r="L305" s="205">
        <v>13182431</v>
      </c>
      <c r="M305" s="205">
        <v>2636486</v>
      </c>
      <c r="N305" s="205">
        <v>10545945</v>
      </c>
      <c r="O305" s="205">
        <v>497637</v>
      </c>
      <c r="P305" s="205">
        <v>0</v>
      </c>
      <c r="Q305" s="205">
        <v>0</v>
      </c>
      <c r="R305" s="205">
        <v>29108360</v>
      </c>
      <c r="S305" s="205">
        <v>0</v>
      </c>
      <c r="T305" s="205">
        <v>-822798</v>
      </c>
    </row>
    <row r="306" spans="1:20" ht="12.75">
      <c r="A306" s="169">
        <v>299</v>
      </c>
      <c r="B306" s="172" t="s">
        <v>528</v>
      </c>
      <c r="C306" s="258" t="s">
        <v>529</v>
      </c>
      <c r="D306" s="205">
        <v>0</v>
      </c>
      <c r="E306" s="205">
        <v>36131319</v>
      </c>
      <c r="F306" s="205">
        <v>19642</v>
      </c>
      <c r="G306" s="205">
        <v>0</v>
      </c>
      <c r="H306" s="205">
        <v>0</v>
      </c>
      <c r="I306" s="205">
        <v>36150961</v>
      </c>
      <c r="J306" s="205">
        <v>377700</v>
      </c>
      <c r="K306" s="205">
        <v>0</v>
      </c>
      <c r="L306" s="205">
        <v>17786021</v>
      </c>
      <c r="M306" s="205">
        <v>3557204</v>
      </c>
      <c r="N306" s="205">
        <v>14228817</v>
      </c>
      <c r="O306" s="205">
        <v>181490</v>
      </c>
      <c r="P306" s="205">
        <v>0</v>
      </c>
      <c r="Q306" s="205">
        <v>0</v>
      </c>
      <c r="R306" s="205">
        <v>36131232</v>
      </c>
      <c r="S306" s="205">
        <v>0</v>
      </c>
      <c r="T306" s="205">
        <v>19729</v>
      </c>
    </row>
    <row r="307" spans="1:20" ht="12.75">
      <c r="A307" s="169">
        <v>300</v>
      </c>
      <c r="B307" s="172" t="s">
        <v>530</v>
      </c>
      <c r="C307" s="258" t="s">
        <v>531</v>
      </c>
      <c r="D307" s="205">
        <v>0</v>
      </c>
      <c r="E307" s="205">
        <v>28972281</v>
      </c>
      <c r="F307" s="205">
        <v>169986</v>
      </c>
      <c r="G307" s="205">
        <v>0</v>
      </c>
      <c r="H307" s="205">
        <v>0</v>
      </c>
      <c r="I307" s="205">
        <v>29142267</v>
      </c>
      <c r="J307" s="205">
        <v>772044</v>
      </c>
      <c r="K307" s="205">
        <v>174398</v>
      </c>
      <c r="L307" s="205">
        <v>14221441</v>
      </c>
      <c r="M307" s="205">
        <v>2844288</v>
      </c>
      <c r="N307" s="205">
        <v>11337152</v>
      </c>
      <c r="O307" s="205">
        <v>207210</v>
      </c>
      <c r="P307" s="205">
        <v>0</v>
      </c>
      <c r="Q307" s="205">
        <v>0</v>
      </c>
      <c r="R307" s="205">
        <v>29556533</v>
      </c>
      <c r="S307" s="205">
        <v>0</v>
      </c>
      <c r="T307" s="205">
        <v>-414266</v>
      </c>
    </row>
    <row r="308" spans="1:20" ht="12.75">
      <c r="A308" s="169">
        <v>301</v>
      </c>
      <c r="B308" s="172" t="s">
        <v>532</v>
      </c>
      <c r="C308" s="258" t="s">
        <v>533</v>
      </c>
      <c r="D308" s="205">
        <v>0</v>
      </c>
      <c r="E308" s="205">
        <v>28882052</v>
      </c>
      <c r="F308" s="205">
        <v>29050</v>
      </c>
      <c r="G308" s="205">
        <v>0</v>
      </c>
      <c r="H308" s="205">
        <v>0</v>
      </c>
      <c r="I308" s="205">
        <v>28911102</v>
      </c>
      <c r="J308" s="205">
        <v>588550</v>
      </c>
      <c r="K308" s="205">
        <v>16797</v>
      </c>
      <c r="L308" s="205">
        <v>14308992</v>
      </c>
      <c r="M308" s="205">
        <v>2861798</v>
      </c>
      <c r="N308" s="205">
        <v>11447194</v>
      </c>
      <c r="O308" s="205">
        <v>113391</v>
      </c>
      <c r="P308" s="205">
        <v>0</v>
      </c>
      <c r="Q308" s="205">
        <v>0</v>
      </c>
      <c r="R308" s="205">
        <v>29336722</v>
      </c>
      <c r="S308" s="205">
        <v>0</v>
      </c>
      <c r="T308" s="205">
        <v>-425620</v>
      </c>
    </row>
    <row r="309" spans="1:20" ht="12.75">
      <c r="A309" s="169">
        <v>302</v>
      </c>
      <c r="B309" s="172" t="s">
        <v>534</v>
      </c>
      <c r="C309" s="258" t="s">
        <v>535</v>
      </c>
      <c r="D309" s="205">
        <v>0</v>
      </c>
      <c r="E309" s="205">
        <v>57259021</v>
      </c>
      <c r="F309" s="205">
        <v>99727</v>
      </c>
      <c r="G309" s="205">
        <v>151424</v>
      </c>
      <c r="H309" s="205">
        <v>0</v>
      </c>
      <c r="I309" s="205">
        <v>57510172</v>
      </c>
      <c r="J309" s="205">
        <v>2028740</v>
      </c>
      <c r="K309" s="205">
        <v>-108738</v>
      </c>
      <c r="L309" s="205">
        <v>27848210</v>
      </c>
      <c r="M309" s="205">
        <v>5569642</v>
      </c>
      <c r="N309" s="205">
        <v>22278568</v>
      </c>
      <c r="O309" s="205">
        <v>0</v>
      </c>
      <c r="P309" s="205">
        <v>0</v>
      </c>
      <c r="Q309" s="205">
        <v>0</v>
      </c>
      <c r="R309" s="205">
        <v>57616422</v>
      </c>
      <c r="S309" s="205">
        <v>0</v>
      </c>
      <c r="T309" s="205">
        <v>-106250</v>
      </c>
    </row>
    <row r="310" spans="1:20" ht="12.75">
      <c r="A310" s="169">
        <v>303</v>
      </c>
      <c r="B310" s="172" t="s">
        <v>536</v>
      </c>
      <c r="C310" s="258" t="s">
        <v>537</v>
      </c>
      <c r="D310" s="205">
        <v>0</v>
      </c>
      <c r="E310" s="205">
        <v>80383262</v>
      </c>
      <c r="F310" s="205">
        <v>0</v>
      </c>
      <c r="G310" s="205">
        <v>0</v>
      </c>
      <c r="H310" s="205">
        <v>0</v>
      </c>
      <c r="I310" s="205">
        <v>80383262</v>
      </c>
      <c r="J310" s="205">
        <v>2093041</v>
      </c>
      <c r="K310" s="205">
        <v>474480</v>
      </c>
      <c r="L310" s="205">
        <v>40800935</v>
      </c>
      <c r="M310" s="205">
        <v>816019</v>
      </c>
      <c r="N310" s="205">
        <v>39984916</v>
      </c>
      <c r="O310" s="205">
        <v>257520</v>
      </c>
      <c r="P310" s="205">
        <v>0</v>
      </c>
      <c r="Q310" s="205">
        <v>0</v>
      </c>
      <c r="R310" s="205">
        <v>84426911</v>
      </c>
      <c r="S310" s="205">
        <v>0</v>
      </c>
      <c r="T310" s="205">
        <v>-4043649</v>
      </c>
    </row>
    <row r="311" spans="1:20" ht="12.75">
      <c r="A311" s="169">
        <v>304</v>
      </c>
      <c r="B311" s="172" t="s">
        <v>538</v>
      </c>
      <c r="C311" s="258" t="s">
        <v>539</v>
      </c>
      <c r="D311" s="205">
        <v>0</v>
      </c>
      <c r="E311" s="205">
        <v>10428137</v>
      </c>
      <c r="F311" s="205">
        <v>-35454</v>
      </c>
      <c r="G311" s="205">
        <v>0</v>
      </c>
      <c r="H311" s="205">
        <v>0</v>
      </c>
      <c r="I311" s="205">
        <v>10392683</v>
      </c>
      <c r="J311" s="205">
        <v>550889</v>
      </c>
      <c r="K311" s="205">
        <v>17711</v>
      </c>
      <c r="L311" s="205">
        <v>5448810</v>
      </c>
      <c r="M311" s="205">
        <v>1089762</v>
      </c>
      <c r="N311" s="205">
        <v>4359048</v>
      </c>
      <c r="O311" s="205">
        <v>84591</v>
      </c>
      <c r="P311" s="205">
        <v>0</v>
      </c>
      <c r="Q311" s="205">
        <v>0</v>
      </c>
      <c r="R311" s="205">
        <v>11550811</v>
      </c>
      <c r="S311" s="205">
        <v>0</v>
      </c>
      <c r="T311" s="205">
        <v>-1158128</v>
      </c>
    </row>
    <row r="312" spans="1:20" ht="12.75">
      <c r="A312" s="169">
        <v>305</v>
      </c>
      <c r="B312" s="172" t="s">
        <v>540</v>
      </c>
      <c r="C312" s="258" t="s">
        <v>541</v>
      </c>
      <c r="D312" s="205">
        <v>0</v>
      </c>
      <c r="E312" s="205">
        <v>29934123</v>
      </c>
      <c r="F312" s="205">
        <v>0</v>
      </c>
      <c r="G312" s="205">
        <v>0</v>
      </c>
      <c r="H312" s="205">
        <v>0</v>
      </c>
      <c r="I312" s="205">
        <v>29934123</v>
      </c>
      <c r="J312" s="205">
        <v>3016691</v>
      </c>
      <c r="K312" s="205">
        <v>84177</v>
      </c>
      <c r="L312" s="205">
        <v>13459396</v>
      </c>
      <c r="M312" s="205">
        <v>2691879</v>
      </c>
      <c r="N312" s="205">
        <v>10767516</v>
      </c>
      <c r="O312" s="205">
        <v>204819</v>
      </c>
      <c r="P312" s="205">
        <v>0</v>
      </c>
      <c r="Q312" s="205">
        <v>0</v>
      </c>
      <c r="R312" s="205">
        <v>30224479</v>
      </c>
      <c r="S312" s="205">
        <v>0</v>
      </c>
      <c r="T312" s="205">
        <v>-290355</v>
      </c>
    </row>
    <row r="313" spans="1:20" ht="12.75">
      <c r="A313" s="169">
        <v>306</v>
      </c>
      <c r="B313" s="172" t="s">
        <v>542</v>
      </c>
      <c r="C313" s="258" t="s">
        <v>543</v>
      </c>
      <c r="D313" s="205">
        <v>0</v>
      </c>
      <c r="E313" s="205">
        <v>29740807</v>
      </c>
      <c r="F313" s="205">
        <v>24281</v>
      </c>
      <c r="G313" s="205">
        <v>0</v>
      </c>
      <c r="H313" s="205">
        <v>0</v>
      </c>
      <c r="I313" s="205">
        <v>29765088</v>
      </c>
      <c r="J313" s="205">
        <v>0</v>
      </c>
      <c r="K313" s="205">
        <v>0</v>
      </c>
      <c r="L313" s="205">
        <v>15127257</v>
      </c>
      <c r="M313" s="205">
        <v>3025451</v>
      </c>
      <c r="N313" s="205">
        <v>12101805</v>
      </c>
      <c r="O313" s="205">
        <v>0</v>
      </c>
      <c r="P313" s="205">
        <v>0</v>
      </c>
      <c r="Q313" s="205">
        <v>0</v>
      </c>
      <c r="R313" s="205">
        <v>30254513</v>
      </c>
      <c r="S313" s="205">
        <v>0</v>
      </c>
      <c r="T313" s="205">
        <v>-489425</v>
      </c>
    </row>
    <row r="314" spans="1:20" ht="12.75">
      <c r="A314" s="169">
        <v>307</v>
      </c>
      <c r="B314" s="172" t="s">
        <v>544</v>
      </c>
      <c r="C314" s="258" t="s">
        <v>545</v>
      </c>
      <c r="D314" s="205">
        <v>0</v>
      </c>
      <c r="E314" s="205">
        <v>16272354</v>
      </c>
      <c r="F314" s="205">
        <v>15489</v>
      </c>
      <c r="G314" s="205">
        <v>0</v>
      </c>
      <c r="H314" s="205">
        <v>0</v>
      </c>
      <c r="I314" s="205">
        <v>16287843</v>
      </c>
      <c r="J314" s="205">
        <v>2631990</v>
      </c>
      <c r="K314" s="205">
        <v>15489</v>
      </c>
      <c r="L314" s="205">
        <v>7998033</v>
      </c>
      <c r="M314" s="205">
        <v>1599606</v>
      </c>
      <c r="N314" s="205">
        <v>6398426</v>
      </c>
      <c r="O314" s="205">
        <v>105838</v>
      </c>
      <c r="P314" s="205">
        <v>0</v>
      </c>
      <c r="Q314" s="205">
        <v>0</v>
      </c>
      <c r="R314" s="205">
        <v>18749382</v>
      </c>
      <c r="S314" s="205">
        <v>0</v>
      </c>
      <c r="T314" s="205">
        <v>-2461539</v>
      </c>
    </row>
    <row r="315" spans="1:20" ht="12.75">
      <c r="A315" s="169">
        <v>308</v>
      </c>
      <c r="B315" s="172" t="s">
        <v>546</v>
      </c>
      <c r="C315" s="258" t="s">
        <v>547</v>
      </c>
      <c r="D315" s="205">
        <v>0</v>
      </c>
      <c r="E315" s="205">
        <v>32991580</v>
      </c>
      <c r="F315" s="205">
        <v>72252</v>
      </c>
      <c r="G315" s="205">
        <v>0</v>
      </c>
      <c r="H315" s="205">
        <v>0</v>
      </c>
      <c r="I315" s="205">
        <v>33063832</v>
      </c>
      <c r="J315" s="205">
        <v>2372620</v>
      </c>
      <c r="K315" s="205">
        <v>70792</v>
      </c>
      <c r="L315" s="205">
        <v>14435867</v>
      </c>
      <c r="M315" s="205">
        <v>2887173</v>
      </c>
      <c r="N315" s="205">
        <v>11548693</v>
      </c>
      <c r="O315" s="205">
        <v>163678</v>
      </c>
      <c r="P315" s="205">
        <v>0</v>
      </c>
      <c r="Q315" s="205">
        <v>0</v>
      </c>
      <c r="R315" s="205">
        <v>31478823</v>
      </c>
      <c r="S315" s="205">
        <v>0</v>
      </c>
      <c r="T315" s="205">
        <v>1585009</v>
      </c>
    </row>
    <row r="316" spans="1:20" ht="12.75">
      <c r="A316" s="169">
        <v>309</v>
      </c>
      <c r="B316" s="172" t="s">
        <v>548</v>
      </c>
      <c r="C316" s="258" t="s">
        <v>549</v>
      </c>
      <c r="D316" s="205">
        <v>0</v>
      </c>
      <c r="E316" s="205">
        <v>11636870</v>
      </c>
      <c r="F316" s="205">
        <v>819893</v>
      </c>
      <c r="G316" s="205">
        <v>74427</v>
      </c>
      <c r="H316" s="205">
        <v>0</v>
      </c>
      <c r="I316" s="205">
        <v>12531190</v>
      </c>
      <c r="J316" s="205">
        <v>1770000</v>
      </c>
      <c r="K316" s="205">
        <v>0</v>
      </c>
      <c r="L316" s="205">
        <v>5193603</v>
      </c>
      <c r="M316" s="205">
        <v>1038720</v>
      </c>
      <c r="N316" s="205">
        <v>4154882</v>
      </c>
      <c r="O316" s="205">
        <v>74427</v>
      </c>
      <c r="P316" s="205">
        <v>0</v>
      </c>
      <c r="Q316" s="205">
        <v>0</v>
      </c>
      <c r="R316" s="205">
        <v>12231632</v>
      </c>
      <c r="S316" s="205">
        <v>0</v>
      </c>
      <c r="T316" s="205">
        <v>299558</v>
      </c>
    </row>
    <row r="317" spans="1:20" ht="12.75">
      <c r="A317" s="169">
        <v>310</v>
      </c>
      <c r="B317" s="172" t="s">
        <v>550</v>
      </c>
      <c r="C317" s="258" t="s">
        <v>551</v>
      </c>
      <c r="D317" s="205">
        <v>0</v>
      </c>
      <c r="E317" s="205">
        <v>1759223704</v>
      </c>
      <c r="F317" s="205">
        <v>0</v>
      </c>
      <c r="G317" s="205">
        <v>0</v>
      </c>
      <c r="H317" s="205">
        <v>0</v>
      </c>
      <c r="I317" s="205">
        <v>1759223704</v>
      </c>
      <c r="J317" s="205">
        <v>204691204</v>
      </c>
      <c r="K317" s="205">
        <v>13237352</v>
      </c>
      <c r="L317" s="205">
        <v>784569385</v>
      </c>
      <c r="M317" s="205">
        <v>313827754</v>
      </c>
      <c r="N317" s="205">
        <v>470741631</v>
      </c>
      <c r="O317" s="205">
        <v>3180114</v>
      </c>
      <c r="P317" s="205">
        <v>0</v>
      </c>
      <c r="Q317" s="205">
        <v>0</v>
      </c>
      <c r="R317" s="205">
        <v>1790247440</v>
      </c>
      <c r="S317" s="205">
        <v>0</v>
      </c>
      <c r="T317" s="205">
        <v>-31023736</v>
      </c>
    </row>
    <row r="318" spans="1:20" ht="12.75">
      <c r="A318" s="169">
        <v>311</v>
      </c>
      <c r="B318" s="172" t="s">
        <v>552</v>
      </c>
      <c r="C318" s="258" t="s">
        <v>553</v>
      </c>
      <c r="D318" s="205">
        <v>0</v>
      </c>
      <c r="E318" s="205">
        <v>15869282</v>
      </c>
      <c r="F318" s="205">
        <v>0</v>
      </c>
      <c r="G318" s="205">
        <v>0</v>
      </c>
      <c r="H318" s="205">
        <v>0</v>
      </c>
      <c r="I318" s="205">
        <v>15869282</v>
      </c>
      <c r="J318" s="205">
        <v>1821400</v>
      </c>
      <c r="K318" s="205">
        <v>27779</v>
      </c>
      <c r="L318" s="205">
        <v>7796138</v>
      </c>
      <c r="M318" s="205">
        <v>1559228</v>
      </c>
      <c r="N318" s="205">
        <v>6236910</v>
      </c>
      <c r="O318" s="205">
        <v>107439</v>
      </c>
      <c r="P318" s="205">
        <v>0</v>
      </c>
      <c r="Q318" s="205">
        <v>0</v>
      </c>
      <c r="R318" s="205">
        <v>17548895</v>
      </c>
      <c r="S318" s="205">
        <v>0</v>
      </c>
      <c r="T318" s="205">
        <v>-1679613</v>
      </c>
    </row>
    <row r="319" spans="1:20" ht="12.75">
      <c r="A319" s="169">
        <v>312</v>
      </c>
      <c r="B319" s="172" t="s">
        <v>554</v>
      </c>
      <c r="C319" s="258" t="s">
        <v>555</v>
      </c>
      <c r="D319" s="205">
        <v>0</v>
      </c>
      <c r="E319" s="205">
        <v>81927019</v>
      </c>
      <c r="F319" s="205">
        <v>378446</v>
      </c>
      <c r="G319" s="205">
        <v>0</v>
      </c>
      <c r="H319" s="205">
        <v>0</v>
      </c>
      <c r="I319" s="205">
        <v>82305465</v>
      </c>
      <c r="J319" s="205">
        <v>6617000</v>
      </c>
      <c r="K319" s="205">
        <v>0</v>
      </c>
      <c r="L319" s="205">
        <v>37929019</v>
      </c>
      <c r="M319" s="205">
        <v>758580</v>
      </c>
      <c r="N319" s="205">
        <v>37170439</v>
      </c>
      <c r="O319" s="205">
        <v>387575</v>
      </c>
      <c r="P319" s="205">
        <v>0</v>
      </c>
      <c r="Q319" s="205">
        <v>0</v>
      </c>
      <c r="R319" s="205">
        <v>82862613</v>
      </c>
      <c r="S319" s="205">
        <v>0</v>
      </c>
      <c r="T319" s="205">
        <v>-557148</v>
      </c>
    </row>
    <row r="320" spans="1:20" ht="12.75">
      <c r="A320" s="169">
        <v>313</v>
      </c>
      <c r="B320" s="172" t="s">
        <v>556</v>
      </c>
      <c r="C320" s="258" t="s">
        <v>557</v>
      </c>
      <c r="D320" s="205">
        <v>0</v>
      </c>
      <c r="E320" s="205">
        <v>145655597</v>
      </c>
      <c r="F320" s="205">
        <v>279606</v>
      </c>
      <c r="G320" s="205">
        <v>87473</v>
      </c>
      <c r="H320" s="205">
        <v>0</v>
      </c>
      <c r="I320" s="205">
        <v>146022676</v>
      </c>
      <c r="J320" s="205">
        <v>10260290</v>
      </c>
      <c r="K320" s="205">
        <v>640894</v>
      </c>
      <c r="L320" s="205">
        <v>69920670</v>
      </c>
      <c r="M320" s="205">
        <v>68522257</v>
      </c>
      <c r="N320" s="205">
        <v>1398413</v>
      </c>
      <c r="O320" s="205">
        <v>617775</v>
      </c>
      <c r="P320" s="205">
        <v>87743</v>
      </c>
      <c r="Q320" s="205">
        <v>0</v>
      </c>
      <c r="R320" s="205">
        <v>151448042</v>
      </c>
      <c r="S320" s="205">
        <v>0</v>
      </c>
      <c r="T320" s="205">
        <v>-5425366</v>
      </c>
    </row>
    <row r="321" spans="1:20" ht="12.75">
      <c r="A321" s="169">
        <v>314</v>
      </c>
      <c r="B321" s="172" t="s">
        <v>558</v>
      </c>
      <c r="C321" s="258" t="s">
        <v>559</v>
      </c>
      <c r="D321" s="205">
        <v>0</v>
      </c>
      <c r="E321" s="205">
        <v>54304934</v>
      </c>
      <c r="F321" s="205">
        <v>-9002</v>
      </c>
      <c r="G321" s="205">
        <v>190784</v>
      </c>
      <c r="H321" s="205">
        <v>0</v>
      </c>
      <c r="I321" s="205">
        <v>54486716</v>
      </c>
      <c r="J321" s="205">
        <v>3152738</v>
      </c>
      <c r="K321" s="205">
        <v>61642</v>
      </c>
      <c r="L321" s="205">
        <v>24569947</v>
      </c>
      <c r="M321" s="205">
        <v>4913989</v>
      </c>
      <c r="N321" s="205">
        <v>19655957</v>
      </c>
      <c r="O321" s="205">
        <v>190784</v>
      </c>
      <c r="P321" s="205">
        <v>0</v>
      </c>
      <c r="Q321" s="205">
        <v>0</v>
      </c>
      <c r="R321" s="205">
        <v>52545057</v>
      </c>
      <c r="S321" s="205">
        <v>0</v>
      </c>
      <c r="T321" s="205">
        <v>1941659</v>
      </c>
    </row>
    <row r="322" spans="1:20" ht="12.75">
      <c r="A322" s="169">
        <v>315</v>
      </c>
      <c r="B322" s="172" t="s">
        <v>560</v>
      </c>
      <c r="C322" s="258" t="s">
        <v>561</v>
      </c>
      <c r="D322" s="205">
        <v>0</v>
      </c>
      <c r="E322" s="205">
        <v>78351075</v>
      </c>
      <c r="F322" s="205">
        <v>0</v>
      </c>
      <c r="G322" s="205">
        <v>0</v>
      </c>
      <c r="H322" s="205">
        <v>0</v>
      </c>
      <c r="I322" s="205">
        <v>78351075</v>
      </c>
      <c r="J322" s="205">
        <v>5000000</v>
      </c>
      <c r="K322" s="205">
        <v>423582</v>
      </c>
      <c r="L322" s="205">
        <v>37021067</v>
      </c>
      <c r="M322" s="205">
        <v>740421</v>
      </c>
      <c r="N322" s="205">
        <v>36280646</v>
      </c>
      <c r="O322" s="205">
        <v>0</v>
      </c>
      <c r="P322" s="205">
        <v>251208</v>
      </c>
      <c r="Q322" s="205">
        <v>0</v>
      </c>
      <c r="R322" s="205">
        <v>79716924</v>
      </c>
      <c r="S322" s="205">
        <v>1500000</v>
      </c>
      <c r="T322" s="205">
        <v>134151</v>
      </c>
    </row>
    <row r="323" spans="1:20" ht="12.75">
      <c r="A323" s="169">
        <v>316</v>
      </c>
      <c r="B323" s="172" t="s">
        <v>562</v>
      </c>
      <c r="C323" s="258" t="s">
        <v>563</v>
      </c>
      <c r="D323" s="205">
        <v>0</v>
      </c>
      <c r="E323" s="205">
        <v>67200000</v>
      </c>
      <c r="F323" s="205">
        <v>0</v>
      </c>
      <c r="G323" s="205">
        <v>339804</v>
      </c>
      <c r="H323" s="205">
        <v>0</v>
      </c>
      <c r="I323" s="205">
        <v>67539804</v>
      </c>
      <c r="J323" s="205">
        <v>1257000</v>
      </c>
      <c r="K323" s="205">
        <v>0</v>
      </c>
      <c r="L323" s="205">
        <v>33811519</v>
      </c>
      <c r="M323" s="205">
        <v>676230</v>
      </c>
      <c r="N323" s="205">
        <v>33135289</v>
      </c>
      <c r="O323" s="205">
        <v>339804</v>
      </c>
      <c r="P323" s="205">
        <v>0</v>
      </c>
      <c r="Q323" s="205">
        <v>0</v>
      </c>
      <c r="R323" s="205">
        <v>69219842</v>
      </c>
      <c r="S323" s="205">
        <v>0</v>
      </c>
      <c r="T323" s="205">
        <v>-1680038</v>
      </c>
    </row>
    <row r="324" spans="1:20" ht="12.75">
      <c r="A324" s="169">
        <v>317</v>
      </c>
      <c r="B324" s="172" t="s">
        <v>564</v>
      </c>
      <c r="C324" s="258" t="s">
        <v>565</v>
      </c>
      <c r="D324" s="205">
        <v>0</v>
      </c>
      <c r="E324" s="205">
        <v>45199326</v>
      </c>
      <c r="F324" s="205">
        <v>0</v>
      </c>
      <c r="G324" s="205">
        <v>0</v>
      </c>
      <c r="H324" s="205">
        <v>0</v>
      </c>
      <c r="I324" s="205">
        <v>45199326</v>
      </c>
      <c r="J324" s="205">
        <v>2769273</v>
      </c>
      <c r="K324" s="205">
        <v>77865</v>
      </c>
      <c r="L324" s="205">
        <v>21108259</v>
      </c>
      <c r="M324" s="205">
        <v>4221652</v>
      </c>
      <c r="N324" s="205">
        <v>16886607</v>
      </c>
      <c r="O324" s="205">
        <v>135670</v>
      </c>
      <c r="P324" s="205">
        <v>0</v>
      </c>
      <c r="Q324" s="205">
        <v>0</v>
      </c>
      <c r="R324" s="205">
        <v>45199326</v>
      </c>
      <c r="S324" s="205">
        <v>0</v>
      </c>
      <c r="T324" s="205">
        <v>0</v>
      </c>
    </row>
    <row r="325" spans="1:20" ht="12.75">
      <c r="A325" s="169">
        <v>318</v>
      </c>
      <c r="B325" s="172" t="s">
        <v>566</v>
      </c>
      <c r="C325" s="258" t="s">
        <v>567</v>
      </c>
      <c r="D325" s="205">
        <v>0</v>
      </c>
      <c r="E325" s="205">
        <v>55034650</v>
      </c>
      <c r="F325" s="205">
        <v>94054</v>
      </c>
      <c r="G325" s="205">
        <v>0</v>
      </c>
      <c r="H325" s="205">
        <v>0</v>
      </c>
      <c r="I325" s="205">
        <v>55128704</v>
      </c>
      <c r="J325" s="205">
        <v>620000</v>
      </c>
      <c r="K325" s="205">
        <v>122763</v>
      </c>
      <c r="L325" s="205">
        <v>25919842</v>
      </c>
      <c r="M325" s="205">
        <v>518397</v>
      </c>
      <c r="N325" s="205">
        <v>25401445</v>
      </c>
      <c r="O325" s="205">
        <v>181183</v>
      </c>
      <c r="P325" s="205">
        <v>0</v>
      </c>
      <c r="Q325" s="205">
        <v>0</v>
      </c>
      <c r="R325" s="205">
        <v>52763630</v>
      </c>
      <c r="S325" s="205">
        <v>0</v>
      </c>
      <c r="T325" s="205">
        <v>2365074</v>
      </c>
    </row>
    <row r="326" spans="1:20" ht="12.75">
      <c r="A326" s="169">
        <v>319</v>
      </c>
      <c r="B326" s="172" t="s">
        <v>568</v>
      </c>
      <c r="C326" s="258" t="s">
        <v>569</v>
      </c>
      <c r="D326" s="205">
        <v>0</v>
      </c>
      <c r="E326" s="205">
        <v>76279512</v>
      </c>
      <c r="F326" s="205">
        <v>198457</v>
      </c>
      <c r="G326" s="205">
        <v>405977</v>
      </c>
      <c r="H326" s="205">
        <v>0</v>
      </c>
      <c r="I326" s="205">
        <v>76883946</v>
      </c>
      <c r="J326" s="205">
        <v>4915421</v>
      </c>
      <c r="K326" s="205">
        <v>261462</v>
      </c>
      <c r="L326" s="205">
        <v>35938016</v>
      </c>
      <c r="M326" s="205">
        <v>719860</v>
      </c>
      <c r="N326" s="205">
        <v>35273156</v>
      </c>
      <c r="O326" s="205">
        <v>57356</v>
      </c>
      <c r="P326" s="205">
        <v>0</v>
      </c>
      <c r="Q326" s="205">
        <v>0</v>
      </c>
      <c r="R326" s="205">
        <v>77165271</v>
      </c>
      <c r="S326" s="205">
        <v>0</v>
      </c>
      <c r="T326" s="205">
        <v>-281325</v>
      </c>
    </row>
    <row r="327" spans="1:20" ht="12.75">
      <c r="A327" s="169">
        <v>320</v>
      </c>
      <c r="B327" s="172" t="s">
        <v>570</v>
      </c>
      <c r="C327" s="258" t="s">
        <v>571</v>
      </c>
      <c r="D327" s="205">
        <v>0</v>
      </c>
      <c r="E327" s="205">
        <v>41734383</v>
      </c>
      <c r="F327" s="205">
        <v>0</v>
      </c>
      <c r="G327" s="205">
        <v>0</v>
      </c>
      <c r="H327" s="205">
        <v>0</v>
      </c>
      <c r="I327" s="205">
        <v>41734383</v>
      </c>
      <c r="J327" s="205">
        <v>2084913</v>
      </c>
      <c r="K327" s="205">
        <v>232359</v>
      </c>
      <c r="L327" s="205">
        <v>20104072</v>
      </c>
      <c r="M327" s="205">
        <v>4020814</v>
      </c>
      <c r="N327" s="205">
        <v>16083257</v>
      </c>
      <c r="O327" s="205">
        <v>140483</v>
      </c>
      <c r="P327" s="205">
        <v>0</v>
      </c>
      <c r="Q327" s="205">
        <v>0</v>
      </c>
      <c r="R327" s="205">
        <v>42665898</v>
      </c>
      <c r="S327" s="205">
        <v>931515</v>
      </c>
      <c r="T327" s="205">
        <v>0</v>
      </c>
    </row>
    <row r="328" spans="1:20" ht="12.75">
      <c r="A328" s="169">
        <v>321</v>
      </c>
      <c r="B328" s="172" t="s">
        <v>572</v>
      </c>
      <c r="C328" s="258" t="s">
        <v>573</v>
      </c>
      <c r="D328" s="205">
        <v>0</v>
      </c>
      <c r="E328" s="205">
        <v>31957667</v>
      </c>
      <c r="F328" s="205">
        <v>66200</v>
      </c>
      <c r="G328" s="205">
        <v>0</v>
      </c>
      <c r="H328" s="205">
        <v>0</v>
      </c>
      <c r="I328" s="205">
        <v>32023867</v>
      </c>
      <c r="J328" s="205">
        <v>1760100</v>
      </c>
      <c r="K328" s="205">
        <v>46100</v>
      </c>
      <c r="L328" s="205">
        <v>14973768</v>
      </c>
      <c r="M328" s="205">
        <v>2994754</v>
      </c>
      <c r="N328" s="205">
        <v>11979015</v>
      </c>
      <c r="O328" s="205">
        <v>133300</v>
      </c>
      <c r="P328" s="205">
        <v>0</v>
      </c>
      <c r="Q328" s="205">
        <v>0</v>
      </c>
      <c r="R328" s="205">
        <v>31887037</v>
      </c>
      <c r="S328" s="205">
        <v>0</v>
      </c>
      <c r="T328" s="205">
        <v>136830</v>
      </c>
    </row>
    <row r="329" spans="1:20" ht="12.75">
      <c r="A329" s="169">
        <v>322</v>
      </c>
      <c r="B329" s="172" t="s">
        <v>574</v>
      </c>
      <c r="C329" s="258" t="s">
        <v>575</v>
      </c>
      <c r="D329" s="205">
        <v>0</v>
      </c>
      <c r="E329" s="205">
        <v>40276775</v>
      </c>
      <c r="F329" s="205">
        <v>0</v>
      </c>
      <c r="G329" s="205">
        <v>0</v>
      </c>
      <c r="H329" s="205">
        <v>0</v>
      </c>
      <c r="I329" s="205">
        <v>40276775</v>
      </c>
      <c r="J329" s="205">
        <v>1809393</v>
      </c>
      <c r="K329" s="205">
        <v>28903</v>
      </c>
      <c r="L329" s="205">
        <v>19537935</v>
      </c>
      <c r="M329" s="205">
        <v>3907587</v>
      </c>
      <c r="N329" s="205">
        <v>15630348</v>
      </c>
      <c r="O329" s="205">
        <v>188368</v>
      </c>
      <c r="P329" s="205">
        <v>0</v>
      </c>
      <c r="Q329" s="205">
        <v>0</v>
      </c>
      <c r="R329" s="205">
        <v>41102534</v>
      </c>
      <c r="S329" s="205">
        <v>825759</v>
      </c>
      <c r="T329" s="205">
        <v>0</v>
      </c>
    </row>
    <row r="330" spans="1:20" ht="12.75">
      <c r="A330" s="169">
        <v>323</v>
      </c>
      <c r="B330" s="172" t="s">
        <v>576</v>
      </c>
      <c r="C330" s="258" t="s">
        <v>577</v>
      </c>
      <c r="D330" s="205">
        <v>0</v>
      </c>
      <c r="E330" s="205">
        <v>70418478</v>
      </c>
      <c r="F330" s="205">
        <v>43502</v>
      </c>
      <c r="G330" s="205">
        <v>0</v>
      </c>
      <c r="H330" s="205">
        <v>0</v>
      </c>
      <c r="I330" s="205">
        <v>70461980</v>
      </c>
      <c r="J330" s="205">
        <v>12828191</v>
      </c>
      <c r="K330" s="205">
        <v>0</v>
      </c>
      <c r="L330" s="205">
        <v>33109327</v>
      </c>
      <c r="M330" s="205">
        <v>6621866</v>
      </c>
      <c r="N330" s="205">
        <v>26487461</v>
      </c>
      <c r="O330" s="205">
        <v>248843</v>
      </c>
      <c r="P330" s="205">
        <v>0</v>
      </c>
      <c r="Q330" s="205">
        <v>0</v>
      </c>
      <c r="R330" s="205">
        <v>79295688</v>
      </c>
      <c r="S330" s="205">
        <v>0</v>
      </c>
      <c r="T330" s="205">
        <v>-8833708</v>
      </c>
    </row>
    <row r="331" spans="1:20" ht="12.75">
      <c r="A331" s="169">
        <v>324</v>
      </c>
      <c r="B331" s="172" t="s">
        <v>578</v>
      </c>
      <c r="C331" s="258" t="s">
        <v>579</v>
      </c>
      <c r="D331" s="205">
        <v>0</v>
      </c>
      <c r="E331" s="205">
        <v>26573610</v>
      </c>
      <c r="F331" s="205">
        <v>217509</v>
      </c>
      <c r="G331" s="205">
        <v>0</v>
      </c>
      <c r="H331" s="205">
        <v>0</v>
      </c>
      <c r="I331" s="205">
        <v>26791119</v>
      </c>
      <c r="J331" s="205">
        <v>1589330</v>
      </c>
      <c r="K331" s="205">
        <v>15815</v>
      </c>
      <c r="L331" s="205">
        <v>12504109</v>
      </c>
      <c r="M331" s="205">
        <v>2500822</v>
      </c>
      <c r="N331" s="205">
        <v>10003287</v>
      </c>
      <c r="O331" s="205">
        <v>154556</v>
      </c>
      <c r="P331" s="205">
        <v>0</v>
      </c>
      <c r="Q331" s="205">
        <v>0</v>
      </c>
      <c r="R331" s="205">
        <v>26767919</v>
      </c>
      <c r="S331" s="205">
        <v>0</v>
      </c>
      <c r="T331" s="205">
        <v>23200</v>
      </c>
    </row>
    <row r="332" spans="1:20" ht="12.75">
      <c r="A332" s="169">
        <v>325</v>
      </c>
      <c r="B332" s="172" t="s">
        <v>580</v>
      </c>
      <c r="C332" s="258" t="s">
        <v>581</v>
      </c>
      <c r="D332" s="205">
        <v>0</v>
      </c>
      <c r="E332" s="205">
        <v>29705999</v>
      </c>
      <c r="F332" s="205">
        <v>110125</v>
      </c>
      <c r="G332" s="205">
        <v>0</v>
      </c>
      <c r="H332" s="205">
        <v>0</v>
      </c>
      <c r="I332" s="205">
        <v>29816124</v>
      </c>
      <c r="J332" s="205">
        <v>1361202</v>
      </c>
      <c r="K332" s="205">
        <v>123482</v>
      </c>
      <c r="L332" s="205">
        <v>14096933</v>
      </c>
      <c r="M332" s="205">
        <v>2819387</v>
      </c>
      <c r="N332" s="205">
        <v>11277546</v>
      </c>
      <c r="O332" s="205">
        <v>137574</v>
      </c>
      <c r="P332" s="205">
        <v>0</v>
      </c>
      <c r="Q332" s="205">
        <v>0</v>
      </c>
      <c r="R332" s="205">
        <v>29816124</v>
      </c>
      <c r="S332" s="205">
        <v>0</v>
      </c>
      <c r="T332" s="205">
        <v>0</v>
      </c>
    </row>
    <row r="333" spans="1:20" ht="13.5" thickBot="1">
      <c r="A333" s="170">
        <v>326</v>
      </c>
      <c r="B333" s="174" t="s">
        <v>582</v>
      </c>
      <c r="C333" s="260" t="s">
        <v>583</v>
      </c>
      <c r="D333" s="205">
        <v>0</v>
      </c>
      <c r="E333" s="205">
        <v>98640000</v>
      </c>
      <c r="F333" s="205">
        <v>350000</v>
      </c>
      <c r="G333" s="205">
        <v>0</v>
      </c>
      <c r="H333" s="205">
        <v>0</v>
      </c>
      <c r="I333" s="205">
        <v>98990000</v>
      </c>
      <c r="J333" s="205">
        <v>14140000</v>
      </c>
      <c r="K333" s="205">
        <v>0</v>
      </c>
      <c r="L333" s="205">
        <v>46289151</v>
      </c>
      <c r="M333" s="205">
        <v>925783</v>
      </c>
      <c r="N333" s="205">
        <v>45363368</v>
      </c>
      <c r="O333" s="205">
        <v>295938</v>
      </c>
      <c r="P333" s="205">
        <v>0</v>
      </c>
      <c r="Q333" s="205">
        <v>0</v>
      </c>
      <c r="R333" s="205">
        <v>107014240</v>
      </c>
      <c r="S333" s="205">
        <v>8052000</v>
      </c>
      <c r="T333" s="205">
        <v>27760</v>
      </c>
    </row>
    <row r="334" spans="1:20" ht="13.5" thickBot="1">
      <c r="A334" s="175">
        <v>327</v>
      </c>
      <c r="B334" s="252" t="s">
        <v>873</v>
      </c>
      <c r="C334" s="157" t="s">
        <v>584</v>
      </c>
      <c r="D334" s="203">
        <f>SUM(D8:D333)</f>
        <v>0</v>
      </c>
      <c r="E334" s="203">
        <f aca="true" t="shared" si="0" ref="E334:T334">SUM(E8:E333)</f>
        <v>23013431521</v>
      </c>
      <c r="F334" s="203">
        <f t="shared" si="0"/>
        <v>111405375</v>
      </c>
      <c r="G334" s="203">
        <f t="shared" si="0"/>
        <v>18458995</v>
      </c>
      <c r="H334" s="203">
        <f t="shared" si="0"/>
        <v>0</v>
      </c>
      <c r="I334" s="203">
        <f t="shared" si="0"/>
        <v>23143295892</v>
      </c>
      <c r="J334" s="203">
        <f t="shared" si="0"/>
        <v>1927101662</v>
      </c>
      <c r="K334" s="203">
        <f t="shared" si="0"/>
        <v>93930003</v>
      </c>
      <c r="L334" s="203">
        <f t="shared" si="0"/>
        <v>10871261080</v>
      </c>
      <c r="M334" s="203">
        <f t="shared" si="0"/>
        <v>2154050181</v>
      </c>
      <c r="N334" s="203">
        <f t="shared" si="0"/>
        <v>8664398417</v>
      </c>
      <c r="O334" s="203">
        <f t="shared" si="0"/>
        <v>96155511</v>
      </c>
      <c r="P334" s="203">
        <f t="shared" si="0"/>
        <v>32578362</v>
      </c>
      <c r="Q334" s="203">
        <f t="shared" si="0"/>
        <v>8514558</v>
      </c>
      <c r="R334" s="203">
        <f t="shared" si="0"/>
        <v>23847989774</v>
      </c>
      <c r="S334" s="203">
        <f t="shared" si="0"/>
        <v>185945690</v>
      </c>
      <c r="T334" s="203">
        <f t="shared" si="0"/>
        <v>-518748193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7" max="7" width="14.28125" style="0" customWidth="1"/>
    <col min="8" max="8" width="3.8515625" style="0" customWidth="1"/>
    <col min="9" max="9" width="2.8515625" style="0" customWidth="1"/>
    <col min="10" max="11" width="10.8515625" style="0" customWidth="1"/>
    <col min="12" max="13" width="2.7109375" style="0" customWidth="1"/>
    <col min="14" max="15" width="10.00390625" style="0" customWidth="1"/>
    <col min="16" max="17" width="2.7109375" style="0" customWidth="1"/>
    <col min="18" max="19" width="9.8515625" style="0" customWidth="1"/>
    <col min="20" max="21" width="2.7109375" style="0" customWidth="1"/>
    <col min="22" max="23" width="10.7109375" style="0" customWidth="1"/>
    <col min="24" max="25" width="1.7109375" style="0" customWidth="1"/>
  </cols>
  <sheetData>
    <row r="1" spans="1:25" ht="18.75" customHeight="1">
      <c r="A1" s="121"/>
      <c r="B1" s="122"/>
      <c r="C1" s="122"/>
      <c r="D1" s="122"/>
      <c r="E1" s="122"/>
      <c r="F1" s="253">
        <f>+'Part 1'!F1</f>
        <v>327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08"/>
      <c r="S1" s="108"/>
      <c r="T1" s="122"/>
      <c r="U1" s="122"/>
      <c r="V1" s="122"/>
      <c r="W1" s="122"/>
      <c r="X1" s="122"/>
      <c r="Y1" s="123"/>
    </row>
    <row r="2" spans="1:25" ht="18.75" customHeight="1">
      <c r="A2" s="349"/>
      <c r="B2" s="350"/>
      <c r="C2" s="350"/>
      <c r="D2" s="350"/>
      <c r="E2" s="350"/>
      <c r="F2" s="351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206"/>
      <c r="S2" s="206"/>
      <c r="T2" s="350"/>
      <c r="U2" s="350"/>
      <c r="V2" s="350"/>
      <c r="W2" s="350"/>
      <c r="X2" s="350"/>
      <c r="Y2" s="352"/>
    </row>
    <row r="3" spans="1:25" s="354" customFormat="1" ht="18.75" customHeight="1">
      <c r="A3" s="410" t="s">
        <v>666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2"/>
    </row>
    <row r="4" spans="1:25" s="354" customFormat="1" ht="18.75" customHeight="1">
      <c r="A4" s="410" t="s">
        <v>627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18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7"/>
    </row>
    <row r="6" spans="1:25" ht="18.75" customHeight="1" thickBo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07"/>
      <c r="S6" s="107"/>
      <c r="T6" s="125"/>
      <c r="U6" s="125"/>
      <c r="V6" s="125"/>
      <c r="W6" s="209"/>
      <c r="X6" s="125"/>
      <c r="Y6" s="126"/>
    </row>
    <row r="7" spans="1:25" ht="12.75">
      <c r="A7" s="85"/>
      <c r="B7" s="86"/>
      <c r="C7" s="401"/>
      <c r="D7" s="401"/>
      <c r="E7" s="401"/>
      <c r="F7" s="401"/>
      <c r="G7" s="401"/>
      <c r="H7" s="401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6" s="57" customFormat="1" ht="17.25">
      <c r="A8" s="67"/>
      <c r="B8" s="44"/>
      <c r="C8" s="128" t="str">
        <f>+CONCATENATE("Local Authority : ",VLOOKUP(F1,Part2,2,FALSE))</f>
        <v>Local Authority : England</v>
      </c>
      <c r="D8" s="128"/>
      <c r="E8" s="128"/>
      <c r="F8" s="112"/>
      <c r="G8" s="112"/>
      <c r="H8" s="112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/>
    </row>
    <row r="9" spans="1:26" s="57" customFormat="1" ht="15">
      <c r="A9" s="67"/>
      <c r="B9" s="112"/>
      <c r="C9" s="112"/>
      <c r="D9" s="112"/>
      <c r="E9" s="112"/>
      <c r="F9" s="112"/>
      <c r="G9" s="112"/>
      <c r="H9" s="11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  <c r="Z9"/>
    </row>
    <row r="10" spans="1:25" ht="15">
      <c r="A10" s="40"/>
      <c r="B10" s="2"/>
      <c r="C10" s="402" t="s">
        <v>296</v>
      </c>
      <c r="D10" s="402"/>
      <c r="E10" s="402"/>
      <c r="F10" s="402"/>
      <c r="G10" s="402"/>
      <c r="H10" s="402"/>
      <c r="I10" s="44"/>
      <c r="J10" s="395" t="s">
        <v>628</v>
      </c>
      <c r="K10" s="395"/>
      <c r="L10" s="111"/>
      <c r="M10" s="111"/>
      <c r="N10" s="395" t="s">
        <v>629</v>
      </c>
      <c r="O10" s="395"/>
      <c r="P10" s="111"/>
      <c r="Q10" s="111"/>
      <c r="R10" s="395" t="s">
        <v>630</v>
      </c>
      <c r="S10" s="395"/>
      <c r="T10" s="111"/>
      <c r="U10" s="44"/>
      <c r="V10" s="395" t="s">
        <v>631</v>
      </c>
      <c r="W10" s="395"/>
      <c r="X10" s="1"/>
      <c r="Y10" s="88"/>
    </row>
    <row r="11" spans="1:25" ht="15.75" customHeight="1">
      <c r="A11" s="40"/>
      <c r="B11" s="2"/>
      <c r="C11" s="44"/>
      <c r="D11" s="44"/>
      <c r="E11" s="44"/>
      <c r="F11" s="44"/>
      <c r="G11" s="44"/>
      <c r="H11" s="44"/>
      <c r="I11" s="44"/>
      <c r="J11" s="399" t="s">
        <v>51</v>
      </c>
      <c r="K11" s="399"/>
      <c r="L11" s="106"/>
      <c r="M11" s="106"/>
      <c r="N11" s="396" t="s">
        <v>632</v>
      </c>
      <c r="O11" s="396"/>
      <c r="P11" s="106"/>
      <c r="Q11" s="106"/>
      <c r="R11" s="396" t="s">
        <v>633</v>
      </c>
      <c r="S11" s="396"/>
      <c r="T11" s="106"/>
      <c r="U11" s="44"/>
      <c r="V11" s="399" t="s">
        <v>50</v>
      </c>
      <c r="W11" s="399"/>
      <c r="X11" s="3"/>
      <c r="Y11" s="88"/>
    </row>
    <row r="12" spans="1:25" ht="15">
      <c r="A12" s="40"/>
      <c r="B12" s="2"/>
      <c r="C12" s="44"/>
      <c r="D12" s="44"/>
      <c r="E12" s="44"/>
      <c r="F12" s="44"/>
      <c r="G12" s="44"/>
      <c r="H12" s="44"/>
      <c r="I12" s="44"/>
      <c r="J12" s="400"/>
      <c r="K12" s="400"/>
      <c r="L12" s="44"/>
      <c r="M12" s="44"/>
      <c r="N12" s="396"/>
      <c r="O12" s="396"/>
      <c r="P12" s="44"/>
      <c r="Q12" s="44"/>
      <c r="R12" s="396"/>
      <c r="S12" s="396"/>
      <c r="T12" s="44"/>
      <c r="U12" s="44"/>
      <c r="V12" s="399"/>
      <c r="W12" s="399"/>
      <c r="X12" s="2"/>
      <c r="Y12" s="88"/>
    </row>
    <row r="13" spans="1:25" ht="15.75" thickBot="1">
      <c r="A13" s="40"/>
      <c r="B13" s="2"/>
      <c r="C13" s="23" t="s">
        <v>827</v>
      </c>
      <c r="D13" s="44"/>
      <c r="E13" s="44"/>
      <c r="F13" s="44"/>
      <c r="G13" s="44"/>
      <c r="H13" s="44"/>
      <c r="I13" s="44"/>
      <c r="J13" s="397" t="s">
        <v>624</v>
      </c>
      <c r="K13" s="397"/>
      <c r="L13" s="44"/>
      <c r="M13" s="44"/>
      <c r="N13" s="397" t="s">
        <v>624</v>
      </c>
      <c r="O13" s="397"/>
      <c r="P13" s="44"/>
      <c r="Q13" s="44"/>
      <c r="R13" s="397" t="s">
        <v>624</v>
      </c>
      <c r="S13" s="397"/>
      <c r="T13" s="44"/>
      <c r="U13" s="44"/>
      <c r="V13" s="398" t="s">
        <v>624</v>
      </c>
      <c r="W13" s="398"/>
      <c r="X13" s="2"/>
      <c r="Y13" s="88"/>
    </row>
    <row r="14" spans="1:25" ht="15.75" thickBot="1">
      <c r="A14" s="40"/>
      <c r="B14" s="2"/>
      <c r="C14" s="44" t="s">
        <v>671</v>
      </c>
      <c r="D14" s="44"/>
      <c r="E14" s="44"/>
      <c r="F14" s="403" t="str">
        <f>VLOOKUP(F1,Part2,4,FALSE)</f>
        <v>   </v>
      </c>
      <c r="G14" s="404"/>
      <c r="H14" s="44"/>
      <c r="I14" s="44"/>
      <c r="J14" s="393">
        <f>VLOOKUP($F$1,Part2,5,FALSE)</f>
        <v>56806423579</v>
      </c>
      <c r="K14" s="394"/>
      <c r="L14" s="307"/>
      <c r="M14" s="307"/>
      <c r="N14" s="393">
        <f>VLOOKUP($F$1,Part2,6,FALSE)</f>
        <v>90319847</v>
      </c>
      <c r="O14" s="394"/>
      <c r="P14" s="307"/>
      <c r="Q14" s="307"/>
      <c r="R14" s="393">
        <f>VLOOKUP($F$1,Part2,7,FALSE)</f>
        <v>204077437</v>
      </c>
      <c r="S14" s="394"/>
      <c r="T14" s="307"/>
      <c r="U14" s="307"/>
      <c r="V14" s="393">
        <f>VLOOKUP($F$1,Part2,8,FALSE)</f>
        <v>57100820863</v>
      </c>
      <c r="W14" s="394"/>
      <c r="X14" s="2"/>
      <c r="Y14" s="88"/>
    </row>
    <row r="15" spans="1:25" ht="15" thickBot="1">
      <c r="A15" s="40"/>
      <c r="B15" s="2"/>
      <c r="C15" s="44"/>
      <c r="D15" s="44"/>
      <c r="E15" s="44"/>
      <c r="F15" s="111"/>
      <c r="G15" s="44"/>
      <c r="H15" s="44"/>
      <c r="I15" s="111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2"/>
      <c r="Y15" s="88"/>
    </row>
    <row r="16" spans="1:25" ht="15" thickBot="1">
      <c r="A16" s="40"/>
      <c r="B16" s="2"/>
      <c r="C16" s="367" t="s">
        <v>612</v>
      </c>
      <c r="D16" s="407"/>
      <c r="E16" s="407"/>
      <c r="F16" s="407"/>
      <c r="G16" s="254">
        <v>47.1</v>
      </c>
      <c r="H16" s="44"/>
      <c r="I16" s="44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2"/>
      <c r="Y16" s="88"/>
    </row>
    <row r="17" spans="1:25" ht="15" thickBot="1">
      <c r="A17" s="40"/>
      <c r="B17" s="2"/>
      <c r="C17" s="407"/>
      <c r="D17" s="407"/>
      <c r="E17" s="407"/>
      <c r="F17" s="407"/>
      <c r="G17" s="44"/>
      <c r="H17" s="44"/>
      <c r="I17" s="44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2"/>
      <c r="Y17" s="88"/>
    </row>
    <row r="18" spans="1:25" ht="15" thickBot="1">
      <c r="A18" s="40"/>
      <c r="B18" s="2"/>
      <c r="C18" s="44"/>
      <c r="D18" s="44"/>
      <c r="E18" s="44"/>
      <c r="F18" s="44"/>
      <c r="G18" s="44"/>
      <c r="H18" s="44"/>
      <c r="I18" s="90"/>
      <c r="J18" s="308"/>
      <c r="K18" s="308"/>
      <c r="L18" s="309"/>
      <c r="M18" s="310"/>
      <c r="N18" s="308"/>
      <c r="O18" s="308"/>
      <c r="P18" s="309"/>
      <c r="Q18" s="310"/>
      <c r="R18" s="308"/>
      <c r="S18" s="308"/>
      <c r="T18" s="309"/>
      <c r="U18" s="307"/>
      <c r="V18" s="307"/>
      <c r="W18" s="307"/>
      <c r="X18" s="2"/>
      <c r="Y18" s="88"/>
    </row>
    <row r="19" spans="1:25" ht="15.75" thickBot="1">
      <c r="A19" s="40"/>
      <c r="B19" s="2"/>
      <c r="C19" s="44" t="s">
        <v>672</v>
      </c>
      <c r="D19" s="44"/>
      <c r="E19" s="44"/>
      <c r="F19" s="44"/>
      <c r="G19" s="44"/>
      <c r="H19" s="44"/>
      <c r="I19" s="91"/>
      <c r="J19" s="393">
        <f>VLOOKUP($F$1,Part2,9,FALSE)</f>
        <v>26755825498</v>
      </c>
      <c r="K19" s="394"/>
      <c r="L19" s="311"/>
      <c r="M19" s="312"/>
      <c r="N19" s="393">
        <f>VLOOKUP($F$1,Part2,10,FALSE)</f>
        <v>42540649</v>
      </c>
      <c r="O19" s="394"/>
      <c r="P19" s="311"/>
      <c r="Q19" s="312"/>
      <c r="R19" s="393">
        <f>VLOOKUP($F$1,Part2,11,FALSE)</f>
        <v>96120476</v>
      </c>
      <c r="S19" s="394"/>
      <c r="T19" s="311"/>
      <c r="U19" s="307"/>
      <c r="V19" s="307"/>
      <c r="W19" s="307"/>
      <c r="X19" s="2"/>
      <c r="Y19" s="88"/>
    </row>
    <row r="20" spans="1:25" ht="15.75" thickBot="1">
      <c r="A20" s="40"/>
      <c r="B20" s="2"/>
      <c r="C20" s="44"/>
      <c r="D20" s="44"/>
      <c r="E20" s="44"/>
      <c r="F20" s="44"/>
      <c r="G20" s="44"/>
      <c r="H20" s="44"/>
      <c r="I20" s="91"/>
      <c r="J20" s="313"/>
      <c r="K20" s="307"/>
      <c r="L20" s="311"/>
      <c r="M20" s="312"/>
      <c r="N20" s="313"/>
      <c r="O20" s="307"/>
      <c r="P20" s="311"/>
      <c r="Q20" s="312"/>
      <c r="R20" s="313"/>
      <c r="S20" s="307"/>
      <c r="T20" s="311"/>
      <c r="U20" s="307"/>
      <c r="V20" s="307"/>
      <c r="W20" s="307"/>
      <c r="X20" s="2"/>
      <c r="Y20" s="88"/>
    </row>
    <row r="21" spans="1:25" ht="15.75" thickBot="1">
      <c r="A21" s="40"/>
      <c r="B21" s="2"/>
      <c r="C21" s="44" t="s">
        <v>658</v>
      </c>
      <c r="D21" s="44"/>
      <c r="E21" s="44"/>
      <c r="F21" s="44"/>
      <c r="G21" s="44"/>
      <c r="H21" s="44"/>
      <c r="I21" s="91"/>
      <c r="J21" s="393">
        <f>VLOOKUP($F$1,Part2,12,FALSE)</f>
        <v>-112452663.84</v>
      </c>
      <c r="K21" s="394"/>
      <c r="L21" s="311"/>
      <c r="M21" s="312"/>
      <c r="N21" s="393">
        <f>VLOOKUP($F$1,Part2,13,FALSE)</f>
        <v>592602</v>
      </c>
      <c r="O21" s="394"/>
      <c r="P21" s="311"/>
      <c r="Q21" s="312"/>
      <c r="R21" s="393">
        <f>VLOOKUP($F$1,Part2,14,FALSE)</f>
        <v>5056615</v>
      </c>
      <c r="S21" s="394"/>
      <c r="T21" s="311"/>
      <c r="U21" s="307"/>
      <c r="V21" s="307"/>
      <c r="W21" s="307"/>
      <c r="X21" s="2"/>
      <c r="Y21" s="88"/>
    </row>
    <row r="22" spans="1:25" ht="15.75" thickBot="1">
      <c r="A22" s="40"/>
      <c r="B22" s="2"/>
      <c r="C22" s="44"/>
      <c r="D22" s="44"/>
      <c r="E22" s="44"/>
      <c r="F22" s="44"/>
      <c r="G22" s="44"/>
      <c r="H22" s="44"/>
      <c r="I22" s="91"/>
      <c r="J22" s="313"/>
      <c r="K22" s="307"/>
      <c r="L22" s="311"/>
      <c r="M22" s="312"/>
      <c r="N22" s="313"/>
      <c r="O22" s="307"/>
      <c r="P22" s="311"/>
      <c r="Q22" s="312"/>
      <c r="R22" s="313"/>
      <c r="S22" s="307"/>
      <c r="T22" s="311"/>
      <c r="U22" s="307"/>
      <c r="V22" s="313"/>
      <c r="W22" s="307"/>
      <c r="X22" s="2"/>
      <c r="Y22" s="88"/>
    </row>
    <row r="23" spans="1:25" ht="15.75" thickBot="1">
      <c r="A23" s="40"/>
      <c r="B23" s="2"/>
      <c r="C23" s="44" t="s">
        <v>687</v>
      </c>
      <c r="D23" s="44"/>
      <c r="E23" s="44"/>
      <c r="F23" s="44"/>
      <c r="G23" s="44"/>
      <c r="H23" s="44"/>
      <c r="I23" s="91"/>
      <c r="J23" s="393">
        <f>VLOOKUP($F$1,Part2,15,FALSE)</f>
        <v>26643372835.100002</v>
      </c>
      <c r="K23" s="394"/>
      <c r="L23" s="311"/>
      <c r="M23" s="312"/>
      <c r="N23" s="393">
        <f>VLOOKUP($F$1,Part2,16,FALSE)</f>
        <v>43133251</v>
      </c>
      <c r="O23" s="394"/>
      <c r="P23" s="311"/>
      <c r="Q23" s="312"/>
      <c r="R23" s="393">
        <f>VLOOKUP($F$1,Part2,17,FALSE)</f>
        <v>101177091</v>
      </c>
      <c r="S23" s="394"/>
      <c r="T23" s="311"/>
      <c r="U23" s="307"/>
      <c r="V23" s="393">
        <f>VLOOKUP($F$1,Part2,18,FALSE)</f>
        <v>26787683177.100002</v>
      </c>
      <c r="W23" s="394"/>
      <c r="X23" s="2"/>
      <c r="Y23" s="88"/>
    </row>
    <row r="24" spans="1:25" ht="15.75" thickBot="1">
      <c r="A24" s="40"/>
      <c r="B24" s="7"/>
      <c r="C24" s="44"/>
      <c r="D24" s="44"/>
      <c r="E24" s="44"/>
      <c r="F24" s="44"/>
      <c r="G24" s="44"/>
      <c r="H24" s="44"/>
      <c r="I24" s="92"/>
      <c r="J24" s="314"/>
      <c r="K24" s="315"/>
      <c r="L24" s="316"/>
      <c r="M24" s="317"/>
      <c r="N24" s="314"/>
      <c r="O24" s="315"/>
      <c r="P24" s="316"/>
      <c r="Q24" s="317"/>
      <c r="R24" s="314"/>
      <c r="S24" s="315"/>
      <c r="T24" s="316"/>
      <c r="U24" s="307"/>
      <c r="V24" s="313"/>
      <c r="W24" s="307"/>
      <c r="X24" s="2"/>
      <c r="Y24" s="88"/>
    </row>
    <row r="25" spans="1:25" ht="15">
      <c r="A25" s="40"/>
      <c r="B25" s="2"/>
      <c r="C25" s="44"/>
      <c r="D25" s="44"/>
      <c r="E25" s="44"/>
      <c r="F25" s="44"/>
      <c r="G25" s="44"/>
      <c r="H25" s="44"/>
      <c r="I25" s="44"/>
      <c r="J25" s="313"/>
      <c r="K25" s="307"/>
      <c r="L25" s="307"/>
      <c r="M25" s="307"/>
      <c r="N25" s="313"/>
      <c r="O25" s="307"/>
      <c r="P25" s="307"/>
      <c r="Q25" s="307"/>
      <c r="R25" s="313"/>
      <c r="S25" s="307"/>
      <c r="T25" s="307"/>
      <c r="U25" s="307"/>
      <c r="V25" s="313"/>
      <c r="W25" s="307"/>
      <c r="X25" s="2"/>
      <c r="Y25" s="88"/>
    </row>
    <row r="26" spans="1:25" ht="16.5" customHeight="1" thickBot="1">
      <c r="A26" s="40"/>
      <c r="B26" s="2"/>
      <c r="C26" s="23" t="s">
        <v>828</v>
      </c>
      <c r="D26" s="44"/>
      <c r="E26" s="44"/>
      <c r="F26" s="44"/>
      <c r="G26" s="44"/>
      <c r="H26" s="44"/>
      <c r="I26" s="44"/>
      <c r="J26" s="313"/>
      <c r="K26" s="307"/>
      <c r="L26" s="307"/>
      <c r="M26" s="307"/>
      <c r="N26" s="313"/>
      <c r="O26" s="307"/>
      <c r="P26" s="307"/>
      <c r="Q26" s="307"/>
      <c r="R26" s="313"/>
      <c r="S26" s="307"/>
      <c r="T26" s="307"/>
      <c r="U26" s="307"/>
      <c r="V26" s="313"/>
      <c r="W26" s="307"/>
      <c r="X26" s="2"/>
      <c r="Y26" s="88"/>
    </row>
    <row r="27" spans="1:25" ht="15.75" thickBot="1">
      <c r="A27" s="40"/>
      <c r="B27" s="2"/>
      <c r="C27" s="405" t="s">
        <v>688</v>
      </c>
      <c r="D27" s="405"/>
      <c r="E27" s="405"/>
      <c r="F27" s="405"/>
      <c r="G27" s="405"/>
      <c r="H27" s="44"/>
      <c r="I27" s="44"/>
      <c r="J27" s="393">
        <f>VLOOKUP($F$1,Part2,19,FALSE)</f>
        <v>91630551.42000003</v>
      </c>
      <c r="K27" s="394"/>
      <c r="L27" s="307"/>
      <c r="M27" s="307"/>
      <c r="N27" s="393">
        <f>VLOOKUP($F$1,Part2,20,FALSE)</f>
        <v>10670</v>
      </c>
      <c r="O27" s="394"/>
      <c r="P27" s="307"/>
      <c r="Q27" s="307"/>
      <c r="R27" s="393">
        <f>VLOOKUP($F$1,Part2,21,FALSE)</f>
        <v>146395.66999999998</v>
      </c>
      <c r="S27" s="394"/>
      <c r="T27" s="307"/>
      <c r="U27" s="307"/>
      <c r="V27" s="393">
        <f>VLOOKUP($F$1,Part2,22,FALSE)</f>
        <v>91787617.09000003</v>
      </c>
      <c r="W27" s="394"/>
      <c r="X27" s="2"/>
      <c r="Y27" s="88"/>
    </row>
    <row r="28" spans="1:25" ht="15.75" customHeight="1">
      <c r="A28" s="40"/>
      <c r="B28" s="2"/>
      <c r="C28" s="406"/>
      <c r="D28" s="406"/>
      <c r="E28" s="406"/>
      <c r="F28" s="406"/>
      <c r="G28" s="406"/>
      <c r="H28" s="44"/>
      <c r="I28" s="44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07"/>
      <c r="V28" s="313"/>
      <c r="W28" s="307"/>
      <c r="X28" s="2"/>
      <c r="Y28" s="88"/>
    </row>
    <row r="29" spans="1:25" ht="16.5" customHeight="1" thickBot="1">
      <c r="A29" s="40"/>
      <c r="B29" s="2"/>
      <c r="C29" s="44"/>
      <c r="D29" s="44"/>
      <c r="E29" s="44"/>
      <c r="F29" s="44"/>
      <c r="G29" s="44"/>
      <c r="H29" s="44"/>
      <c r="I29" s="44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07"/>
      <c r="V29" s="313"/>
      <c r="W29" s="307"/>
      <c r="X29" s="2"/>
      <c r="Y29" s="88"/>
    </row>
    <row r="30" spans="1:25" ht="15.75" thickBot="1">
      <c r="A30" s="40"/>
      <c r="B30" s="2"/>
      <c r="C30" s="405" t="s">
        <v>689</v>
      </c>
      <c r="D30" s="405"/>
      <c r="E30" s="405"/>
      <c r="F30" s="405"/>
      <c r="G30" s="405"/>
      <c r="H30" s="44"/>
      <c r="I30" s="44"/>
      <c r="J30" s="393">
        <f>VLOOKUP($F$1,Part2,23,FALSE)</f>
        <v>14879097.409999996</v>
      </c>
      <c r="K30" s="394"/>
      <c r="L30" s="307"/>
      <c r="M30" s="307"/>
      <c r="N30" s="393">
        <f>VLOOKUP($F$1,Part2,24,FALSE)</f>
        <v>73005</v>
      </c>
      <c r="O30" s="394"/>
      <c r="P30" s="307"/>
      <c r="Q30" s="307"/>
      <c r="R30" s="393">
        <f>VLOOKUP($F$1,Part2,25,FALSE)</f>
        <v>64276.89</v>
      </c>
      <c r="S30" s="394"/>
      <c r="T30" s="307"/>
      <c r="U30" s="307"/>
      <c r="V30" s="393">
        <f>VLOOKUP($F$1,Part2,26,FALSE)</f>
        <v>15016379.299999997</v>
      </c>
      <c r="W30" s="394"/>
      <c r="X30" s="2"/>
      <c r="Y30" s="88"/>
    </row>
    <row r="31" spans="1:25" ht="15.75" customHeight="1" thickBot="1">
      <c r="A31" s="40"/>
      <c r="B31" s="2"/>
      <c r="C31" s="405"/>
      <c r="D31" s="405"/>
      <c r="E31" s="405"/>
      <c r="F31" s="405"/>
      <c r="G31" s="405"/>
      <c r="H31" s="44"/>
      <c r="I31" s="44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2"/>
      <c r="Y31" s="88"/>
    </row>
    <row r="32" spans="1:25" ht="15" thickBot="1">
      <c r="A32" s="40"/>
      <c r="B32" s="2"/>
      <c r="C32" s="101"/>
      <c r="D32" s="101"/>
      <c r="E32" s="101"/>
      <c r="F32" s="101"/>
      <c r="G32" s="101"/>
      <c r="H32" s="44"/>
      <c r="I32" s="90"/>
      <c r="J32" s="308"/>
      <c r="K32" s="308"/>
      <c r="L32" s="309"/>
      <c r="M32" s="310"/>
      <c r="N32" s="308"/>
      <c r="O32" s="308"/>
      <c r="P32" s="309"/>
      <c r="Q32" s="310"/>
      <c r="R32" s="308"/>
      <c r="S32" s="308"/>
      <c r="T32" s="309"/>
      <c r="U32" s="307"/>
      <c r="V32" s="307"/>
      <c r="W32" s="307"/>
      <c r="X32" s="2"/>
      <c r="Y32" s="88"/>
    </row>
    <row r="33" spans="1:25" ht="15.75" thickBot="1">
      <c r="A33" s="40"/>
      <c r="B33" s="2"/>
      <c r="C33" s="101" t="s">
        <v>690</v>
      </c>
      <c r="D33" s="101"/>
      <c r="E33" s="101"/>
      <c r="F33" s="101"/>
      <c r="G33" s="101"/>
      <c r="H33" s="44"/>
      <c r="I33" s="91"/>
      <c r="J33" s="393">
        <f>VLOOKUP($F$1,Part2,27,FALSE)</f>
        <v>76751453.97000001</v>
      </c>
      <c r="K33" s="394"/>
      <c r="L33" s="311"/>
      <c r="M33" s="312"/>
      <c r="N33" s="393">
        <f>VLOOKUP($F$1,Part2,28,FALSE)</f>
        <v>-62335</v>
      </c>
      <c r="O33" s="394"/>
      <c r="P33" s="311"/>
      <c r="Q33" s="312"/>
      <c r="R33" s="393">
        <f>VLOOKUP($F$1,Part2,29,FALSE)</f>
        <v>82118.78</v>
      </c>
      <c r="S33" s="394"/>
      <c r="T33" s="311"/>
      <c r="U33" s="307"/>
      <c r="V33" s="307"/>
      <c r="W33" s="307"/>
      <c r="X33" s="2"/>
      <c r="Y33" s="88"/>
    </row>
    <row r="34" spans="1:25" ht="16.5" customHeight="1" thickBot="1">
      <c r="A34" s="40"/>
      <c r="B34" s="2"/>
      <c r="C34" s="101"/>
      <c r="D34" s="101"/>
      <c r="E34" s="101"/>
      <c r="F34" s="101"/>
      <c r="G34" s="101"/>
      <c r="H34" s="44"/>
      <c r="I34" s="91"/>
      <c r="J34" s="313"/>
      <c r="K34" s="307"/>
      <c r="L34" s="311"/>
      <c r="M34" s="312"/>
      <c r="N34" s="313"/>
      <c r="O34" s="307"/>
      <c r="P34" s="311"/>
      <c r="Q34" s="312"/>
      <c r="R34" s="313"/>
      <c r="S34" s="307"/>
      <c r="T34" s="311"/>
      <c r="U34" s="307"/>
      <c r="V34" s="307"/>
      <c r="W34" s="307"/>
      <c r="X34" s="2"/>
      <c r="Y34" s="88"/>
    </row>
    <row r="35" spans="1:25" ht="15.75" thickBot="1">
      <c r="A35" s="40"/>
      <c r="B35" s="2"/>
      <c r="C35" s="405" t="s">
        <v>297</v>
      </c>
      <c r="D35" s="405"/>
      <c r="E35" s="405"/>
      <c r="F35" s="405"/>
      <c r="G35" s="405"/>
      <c r="H35" s="44"/>
      <c r="I35" s="91"/>
      <c r="J35" s="393">
        <f>VLOOKUP($F$1,Part2,30,FALSE)</f>
        <v>-2889507.4299999997</v>
      </c>
      <c r="K35" s="394"/>
      <c r="L35" s="311"/>
      <c r="M35" s="312"/>
      <c r="N35" s="393">
        <f>VLOOKUP($F$1,Part2,31,FALSE)</f>
        <v>0</v>
      </c>
      <c r="O35" s="394"/>
      <c r="P35" s="311"/>
      <c r="Q35" s="312"/>
      <c r="R35" s="393">
        <f>VLOOKUP($F$1,Part2,32,FALSE)</f>
        <v>-7000</v>
      </c>
      <c r="S35" s="394"/>
      <c r="T35" s="311"/>
      <c r="U35" s="307"/>
      <c r="V35" s="307"/>
      <c r="W35" s="307"/>
      <c r="X35" s="2"/>
      <c r="Y35" s="88"/>
    </row>
    <row r="36" spans="1:25" ht="15.75" customHeight="1">
      <c r="A36" s="40"/>
      <c r="B36" s="2"/>
      <c r="C36" s="405"/>
      <c r="D36" s="405"/>
      <c r="E36" s="405"/>
      <c r="F36" s="405"/>
      <c r="G36" s="405"/>
      <c r="H36" s="44"/>
      <c r="I36" s="91"/>
      <c r="J36" s="114"/>
      <c r="K36" s="113"/>
      <c r="L36" s="115"/>
      <c r="M36" s="116"/>
      <c r="N36" s="114"/>
      <c r="O36" s="113"/>
      <c r="P36" s="115"/>
      <c r="Q36" s="116"/>
      <c r="R36" s="114"/>
      <c r="S36" s="113"/>
      <c r="T36" s="115"/>
      <c r="U36" s="113"/>
      <c r="V36" s="114"/>
      <c r="W36" s="113"/>
      <c r="X36" s="2"/>
      <c r="Y36" s="88"/>
    </row>
    <row r="37" spans="1:25" ht="15.75" customHeight="1">
      <c r="A37" s="40"/>
      <c r="B37" s="2"/>
      <c r="C37" s="406"/>
      <c r="D37" s="406"/>
      <c r="E37" s="406"/>
      <c r="F37" s="406"/>
      <c r="G37" s="406"/>
      <c r="H37" s="44"/>
      <c r="I37" s="91"/>
      <c r="J37" s="114"/>
      <c r="K37" s="113"/>
      <c r="L37" s="115"/>
      <c r="M37" s="116"/>
      <c r="N37" s="114"/>
      <c r="O37" s="113"/>
      <c r="P37" s="115"/>
      <c r="Q37" s="116"/>
      <c r="R37" s="114"/>
      <c r="S37" s="113"/>
      <c r="T37" s="115"/>
      <c r="U37" s="113"/>
      <c r="V37" s="114"/>
      <c r="W37" s="113"/>
      <c r="X37" s="2"/>
      <c r="Y37" s="88"/>
    </row>
    <row r="38" spans="1:25" ht="15.75" thickBot="1">
      <c r="A38" s="40"/>
      <c r="B38" s="2"/>
      <c r="C38" s="110"/>
      <c r="D38" s="110"/>
      <c r="E38" s="110"/>
      <c r="F38" s="110"/>
      <c r="G38" s="110"/>
      <c r="H38" s="44"/>
      <c r="I38" s="91"/>
      <c r="J38" s="114"/>
      <c r="K38" s="113"/>
      <c r="L38" s="115"/>
      <c r="M38" s="116"/>
      <c r="N38" s="114"/>
      <c r="O38" s="113"/>
      <c r="P38" s="115"/>
      <c r="Q38" s="116"/>
      <c r="R38" s="114"/>
      <c r="S38" s="113"/>
      <c r="T38" s="115"/>
      <c r="U38" s="113"/>
      <c r="V38" s="114"/>
      <c r="W38" s="113"/>
      <c r="X38" s="2"/>
      <c r="Y38" s="88"/>
    </row>
    <row r="39" spans="1:25" ht="15.75" thickBot="1">
      <c r="A39" s="40"/>
      <c r="B39" s="2"/>
      <c r="C39" s="101" t="s">
        <v>691</v>
      </c>
      <c r="D39" s="101"/>
      <c r="E39" s="101"/>
      <c r="F39" s="101"/>
      <c r="G39" s="101"/>
      <c r="H39" s="44"/>
      <c r="I39" s="91"/>
      <c r="J39" s="393">
        <f>VLOOKUP($F$1,Part2,33,FALSE)</f>
        <v>73861946.54</v>
      </c>
      <c r="K39" s="394"/>
      <c r="L39" s="311"/>
      <c r="M39" s="312"/>
      <c r="N39" s="393">
        <f>VLOOKUP($F$1,Part2,34,FALSE)</f>
        <v>-62335</v>
      </c>
      <c r="O39" s="394"/>
      <c r="P39" s="311"/>
      <c r="Q39" s="312"/>
      <c r="R39" s="393">
        <f>VLOOKUP($F$1,Part2,35,FALSE)</f>
        <v>75118.78</v>
      </c>
      <c r="S39" s="394"/>
      <c r="T39" s="311"/>
      <c r="U39" s="307"/>
      <c r="V39" s="393">
        <f>VLOOKUP($F$1,Part2,36,FALSE)</f>
        <v>73874730.32000001</v>
      </c>
      <c r="W39" s="394"/>
      <c r="X39" s="2"/>
      <c r="Y39" s="88"/>
    </row>
    <row r="40" spans="1:25" ht="15.75" thickBot="1">
      <c r="A40" s="40"/>
      <c r="B40" s="2"/>
      <c r="C40" s="2"/>
      <c r="D40" s="2"/>
      <c r="E40" s="2"/>
      <c r="F40" s="2"/>
      <c r="G40" s="2"/>
      <c r="H40" s="44"/>
      <c r="I40" s="92"/>
      <c r="J40" s="314"/>
      <c r="K40" s="315"/>
      <c r="L40" s="316"/>
      <c r="M40" s="317"/>
      <c r="N40" s="314"/>
      <c r="O40" s="315"/>
      <c r="P40" s="316"/>
      <c r="Q40" s="317"/>
      <c r="R40" s="314"/>
      <c r="S40" s="315"/>
      <c r="T40" s="316"/>
      <c r="U40" s="307"/>
      <c r="V40" s="313"/>
      <c r="W40" s="307"/>
      <c r="X40" s="2"/>
      <c r="Y40" s="88"/>
    </row>
    <row r="41" spans="1:25" ht="15.75" thickBot="1">
      <c r="A41" s="40"/>
      <c r="B41" s="2"/>
      <c r="C41" s="44"/>
      <c r="D41" s="44"/>
      <c r="E41" s="44"/>
      <c r="F41" s="44"/>
      <c r="G41" s="44"/>
      <c r="H41" s="44"/>
      <c r="I41" s="44"/>
      <c r="J41" s="313"/>
      <c r="K41" s="307"/>
      <c r="L41" s="307"/>
      <c r="M41" s="307"/>
      <c r="N41" s="313"/>
      <c r="O41" s="307"/>
      <c r="P41" s="307"/>
      <c r="Q41" s="307"/>
      <c r="R41" s="313"/>
      <c r="S41" s="307"/>
      <c r="T41" s="307"/>
      <c r="U41" s="307"/>
      <c r="V41" s="313"/>
      <c r="W41" s="307"/>
      <c r="X41" s="2"/>
      <c r="Y41" s="88"/>
    </row>
    <row r="42" spans="1:25" ht="15">
      <c r="A42" s="40"/>
      <c r="B42" s="11"/>
      <c r="C42" s="93"/>
      <c r="D42" s="93"/>
      <c r="E42" s="93"/>
      <c r="F42" s="93"/>
      <c r="G42" s="93"/>
      <c r="H42" s="93"/>
      <c r="I42" s="93"/>
      <c r="J42" s="319"/>
      <c r="K42" s="320"/>
      <c r="L42" s="320"/>
      <c r="M42" s="320"/>
      <c r="N42" s="319"/>
      <c r="O42" s="320"/>
      <c r="P42" s="320"/>
      <c r="Q42" s="320"/>
      <c r="R42" s="319"/>
      <c r="S42" s="320"/>
      <c r="T42" s="320"/>
      <c r="U42" s="320"/>
      <c r="V42" s="319"/>
      <c r="W42" s="320"/>
      <c r="X42" s="12"/>
      <c r="Y42" s="88"/>
    </row>
    <row r="43" spans="1:25" ht="15.75" thickBot="1">
      <c r="A43" s="40"/>
      <c r="B43" s="13"/>
      <c r="C43" s="230" t="s">
        <v>829</v>
      </c>
      <c r="D43" s="120"/>
      <c r="E43" s="120"/>
      <c r="F43" s="120"/>
      <c r="G43" s="120"/>
      <c r="H43" s="94"/>
      <c r="I43" s="94"/>
      <c r="J43" s="321"/>
      <c r="K43" s="322"/>
      <c r="L43" s="322"/>
      <c r="M43" s="322"/>
      <c r="N43" s="321"/>
      <c r="O43" s="322"/>
      <c r="P43" s="322"/>
      <c r="Q43" s="322"/>
      <c r="R43" s="321"/>
      <c r="S43" s="322"/>
      <c r="T43" s="322"/>
      <c r="U43" s="322"/>
      <c r="V43" s="321"/>
      <c r="W43" s="322"/>
      <c r="X43" s="14"/>
      <c r="Y43" s="88"/>
    </row>
    <row r="44" spans="1:25" ht="15.75" thickBot="1">
      <c r="A44" s="40"/>
      <c r="B44" s="13"/>
      <c r="C44" s="120" t="s">
        <v>692</v>
      </c>
      <c r="D44" s="120"/>
      <c r="E44" s="120"/>
      <c r="F44" s="120"/>
      <c r="G44" s="120"/>
      <c r="H44" s="94"/>
      <c r="I44" s="94"/>
      <c r="J44" s="393">
        <f>VLOOKUP($F$1,Part2,37,FALSE)</f>
        <v>73861946.54</v>
      </c>
      <c r="K44" s="394"/>
      <c r="L44" s="322"/>
      <c r="M44" s="322"/>
      <c r="N44" s="393">
        <f>VLOOKUP($F$1,Part2,38,FALSE)</f>
        <v>-62335</v>
      </c>
      <c r="O44" s="394"/>
      <c r="P44" s="322"/>
      <c r="Q44" s="322"/>
      <c r="R44" s="393">
        <f>VLOOKUP($F$1,Part2,39,FALSE)</f>
        <v>75118.78</v>
      </c>
      <c r="S44" s="394"/>
      <c r="T44" s="322"/>
      <c r="U44" s="322"/>
      <c r="V44" s="393">
        <f>VLOOKUP($F$1,Part2,40,FALSE)</f>
        <v>73874730.32000001</v>
      </c>
      <c r="W44" s="394"/>
      <c r="X44" s="14"/>
      <c r="Y44" s="88"/>
    </row>
    <row r="45" spans="1:25" ht="15.75" thickBot="1">
      <c r="A45" s="40"/>
      <c r="B45" s="15"/>
      <c r="C45" s="95"/>
      <c r="D45" s="96"/>
      <c r="E45" s="96"/>
      <c r="F45" s="96"/>
      <c r="G45" s="96"/>
      <c r="H45" s="96"/>
      <c r="I45" s="96"/>
      <c r="J45" s="323"/>
      <c r="K45" s="324"/>
      <c r="L45" s="324"/>
      <c r="M45" s="324"/>
      <c r="N45" s="323"/>
      <c r="O45" s="324"/>
      <c r="P45" s="324"/>
      <c r="Q45" s="324"/>
      <c r="R45" s="323"/>
      <c r="S45" s="324"/>
      <c r="T45" s="324"/>
      <c r="U45" s="324"/>
      <c r="V45" s="323"/>
      <c r="W45" s="324"/>
      <c r="X45" s="16"/>
      <c r="Y45" s="88"/>
    </row>
    <row r="46" spans="1:25" ht="12.75">
      <c r="A46" s="40"/>
      <c r="B46" s="2"/>
      <c r="C46" s="2"/>
      <c r="D46" s="2"/>
      <c r="E46" s="2"/>
      <c r="F46" s="2"/>
      <c r="G46" s="2"/>
      <c r="H46" s="2"/>
      <c r="I46" s="2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2"/>
      <c r="Y46" s="88"/>
    </row>
    <row r="47" spans="1:25" ht="15">
      <c r="A47" s="129"/>
      <c r="B47" s="113"/>
      <c r="C47" s="23" t="s">
        <v>291</v>
      </c>
      <c r="D47" s="44"/>
      <c r="E47" s="44"/>
      <c r="F47" s="44"/>
      <c r="G47" s="44"/>
      <c r="H47" s="44"/>
      <c r="I47" s="113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2"/>
      <c r="Y47" s="88"/>
    </row>
    <row r="48" spans="1:25" ht="15">
      <c r="A48" s="40"/>
      <c r="B48" s="2"/>
      <c r="C48" s="44"/>
      <c r="D48" s="44"/>
      <c r="E48" s="44"/>
      <c r="F48" s="44"/>
      <c r="G48" s="44"/>
      <c r="H48" s="44"/>
      <c r="I48" s="44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2"/>
      <c r="Y48" s="88"/>
    </row>
    <row r="49" spans="1:25" ht="15.75" thickBot="1">
      <c r="A49" s="40"/>
      <c r="B49" s="2"/>
      <c r="C49" s="43" t="s">
        <v>635</v>
      </c>
      <c r="D49" s="44"/>
      <c r="E49" s="44"/>
      <c r="F49" s="44"/>
      <c r="G49" s="44"/>
      <c r="H49" s="44"/>
      <c r="I49" s="44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2"/>
      <c r="Y49" s="88"/>
    </row>
    <row r="50" spans="1:25" ht="15.75" thickBot="1">
      <c r="A50" s="40"/>
      <c r="B50" s="2"/>
      <c r="C50" s="44" t="s">
        <v>693</v>
      </c>
      <c r="D50" s="44"/>
      <c r="E50" s="44"/>
      <c r="F50" s="44"/>
      <c r="G50" s="44"/>
      <c r="H50" s="44"/>
      <c r="I50" s="44"/>
      <c r="J50" s="393">
        <f>VLOOKUP($F$1,Part2,41,FALSE)</f>
        <v>990360219.5599998</v>
      </c>
      <c r="K50" s="394"/>
      <c r="L50" s="307"/>
      <c r="M50" s="307"/>
      <c r="N50" s="393">
        <f>VLOOKUP($F$1,Part2,43,FALSE)</f>
        <v>833283.51</v>
      </c>
      <c r="O50" s="394"/>
      <c r="P50" s="307"/>
      <c r="Q50" s="307"/>
      <c r="R50" s="393">
        <f>VLOOKUP($F$1,Part2,43,FALSE)</f>
        <v>833283.51</v>
      </c>
      <c r="S50" s="394"/>
      <c r="T50" s="307"/>
      <c r="U50" s="307"/>
      <c r="V50" s="393">
        <f>VLOOKUP($F$1,Part2,44,FALSE)</f>
        <v>991606326.0699998</v>
      </c>
      <c r="W50" s="394"/>
      <c r="X50" s="2"/>
      <c r="Y50" s="88"/>
    </row>
    <row r="51" spans="1:25" ht="15.75" thickBot="1">
      <c r="A51" s="40"/>
      <c r="B51" s="2"/>
      <c r="C51" s="44"/>
      <c r="D51" s="44"/>
      <c r="E51" s="44"/>
      <c r="F51" s="44"/>
      <c r="G51" s="44"/>
      <c r="H51" s="44"/>
      <c r="I51" s="44"/>
      <c r="J51" s="313"/>
      <c r="K51" s="307"/>
      <c r="L51" s="307"/>
      <c r="M51" s="307"/>
      <c r="N51" s="313"/>
      <c r="O51" s="307"/>
      <c r="P51" s="307"/>
      <c r="Q51" s="307"/>
      <c r="R51" s="313"/>
      <c r="S51" s="307"/>
      <c r="T51" s="307"/>
      <c r="U51" s="307"/>
      <c r="V51" s="313"/>
      <c r="W51" s="307"/>
      <c r="X51" s="2"/>
      <c r="Y51" s="88"/>
    </row>
    <row r="52" spans="1:25" ht="15.75" thickBot="1">
      <c r="A52" s="40"/>
      <c r="B52" s="2"/>
      <c r="C52" s="367" t="s">
        <v>670</v>
      </c>
      <c r="D52" s="367"/>
      <c r="E52" s="367"/>
      <c r="F52" s="367"/>
      <c r="G52" s="367"/>
      <c r="H52" s="44"/>
      <c r="I52" s="44"/>
      <c r="J52" s="393">
        <f>VLOOKUP($F$1,Part2,45,FALSE)</f>
        <v>8068220.02</v>
      </c>
      <c r="K52" s="394"/>
      <c r="L52" s="307"/>
      <c r="M52" s="307"/>
      <c r="N52" s="393">
        <f>VLOOKUP($F$1,Part2,46,FALSE)</f>
        <v>5263</v>
      </c>
      <c r="O52" s="394"/>
      <c r="P52" s="307"/>
      <c r="Q52" s="307"/>
      <c r="R52" s="393">
        <f>VLOOKUP($F$1,Part2,47,FALSE)</f>
        <v>25897</v>
      </c>
      <c r="S52" s="394"/>
      <c r="T52" s="307"/>
      <c r="U52" s="307"/>
      <c r="V52" s="393">
        <f>VLOOKUP($F$1,Part2,48,FALSE)</f>
        <v>8099380.02</v>
      </c>
      <c r="W52" s="394"/>
      <c r="X52" s="2"/>
      <c r="Y52" s="88"/>
    </row>
    <row r="53" spans="1:25" ht="15">
      <c r="A53" s="40"/>
      <c r="B53" s="2"/>
      <c r="C53" s="367"/>
      <c r="D53" s="367"/>
      <c r="E53" s="367"/>
      <c r="F53" s="367"/>
      <c r="G53" s="367"/>
      <c r="H53" s="44"/>
      <c r="I53" s="44"/>
      <c r="J53" s="313"/>
      <c r="K53" s="307"/>
      <c r="L53" s="307"/>
      <c r="M53" s="307"/>
      <c r="N53" s="313"/>
      <c r="O53" s="307"/>
      <c r="P53" s="307"/>
      <c r="Q53" s="307"/>
      <c r="R53" s="313"/>
      <c r="S53" s="307"/>
      <c r="T53" s="307"/>
      <c r="U53" s="307"/>
      <c r="V53" s="313"/>
      <c r="W53" s="307"/>
      <c r="X53" s="2"/>
      <c r="Y53" s="88"/>
    </row>
    <row r="54" spans="1:25" ht="15.75" thickBot="1">
      <c r="A54" s="40"/>
      <c r="B54" s="2"/>
      <c r="C54" s="44"/>
      <c r="D54" s="44"/>
      <c r="E54" s="44"/>
      <c r="F54" s="44"/>
      <c r="G54" s="44"/>
      <c r="H54" s="44"/>
      <c r="I54" s="44"/>
      <c r="J54" s="313"/>
      <c r="K54" s="307"/>
      <c r="L54" s="307"/>
      <c r="M54" s="307"/>
      <c r="N54" s="313"/>
      <c r="O54" s="307"/>
      <c r="P54" s="307"/>
      <c r="Q54" s="307"/>
      <c r="R54" s="313"/>
      <c r="S54" s="307"/>
      <c r="T54" s="307"/>
      <c r="U54" s="307"/>
      <c r="V54" s="313"/>
      <c r="W54" s="307"/>
      <c r="X54" s="2"/>
      <c r="Y54" s="88"/>
    </row>
    <row r="55" spans="1:25" ht="15.75" thickBot="1">
      <c r="A55" s="40"/>
      <c r="B55" s="2"/>
      <c r="C55" s="367" t="s">
        <v>589</v>
      </c>
      <c r="D55" s="367"/>
      <c r="E55" s="367"/>
      <c r="F55" s="367"/>
      <c r="G55" s="367"/>
      <c r="H55" s="44"/>
      <c r="I55" s="44"/>
      <c r="J55" s="393">
        <f>VLOOKUP($F$1,Part2,49,FALSE)</f>
        <v>531992299.6299998</v>
      </c>
      <c r="K55" s="394"/>
      <c r="L55" s="307"/>
      <c r="M55" s="307"/>
      <c r="N55" s="393">
        <f>VLOOKUP($F$1,Part2,50,FALSE)</f>
        <v>882351</v>
      </c>
      <c r="O55" s="394"/>
      <c r="P55" s="307"/>
      <c r="Q55" s="307"/>
      <c r="R55" s="393">
        <f>VLOOKUP($F$1,Part2,51,FALSE)</f>
        <v>1816317.71</v>
      </c>
      <c r="S55" s="394"/>
      <c r="T55" s="307"/>
      <c r="U55" s="307"/>
      <c r="V55" s="393">
        <f>VLOOKUP($F$1,Part2,52,FALSE)</f>
        <v>534690968.3399999</v>
      </c>
      <c r="W55" s="394"/>
      <c r="X55" s="2"/>
      <c r="Y55" s="88"/>
    </row>
    <row r="56" spans="1:25" ht="15.75" customHeight="1">
      <c r="A56" s="40"/>
      <c r="B56" s="2"/>
      <c r="C56" s="368"/>
      <c r="D56" s="368"/>
      <c r="E56" s="368"/>
      <c r="F56" s="368"/>
      <c r="G56" s="368"/>
      <c r="H56" s="44"/>
      <c r="I56" s="44"/>
      <c r="J56" s="313"/>
      <c r="K56" s="307"/>
      <c r="L56" s="307"/>
      <c r="M56" s="307"/>
      <c r="N56" s="313"/>
      <c r="O56" s="307"/>
      <c r="P56" s="307"/>
      <c r="Q56" s="307"/>
      <c r="R56" s="313"/>
      <c r="S56" s="307"/>
      <c r="T56" s="307"/>
      <c r="U56" s="307"/>
      <c r="V56" s="313"/>
      <c r="W56" s="307"/>
      <c r="X56" s="2"/>
      <c r="Y56" s="88"/>
    </row>
    <row r="57" spans="1:25" ht="15.75" thickBot="1">
      <c r="A57" s="40"/>
      <c r="B57" s="2"/>
      <c r="C57" s="109"/>
      <c r="D57" s="109"/>
      <c r="E57" s="109"/>
      <c r="F57" s="109"/>
      <c r="G57" s="109"/>
      <c r="H57" s="44"/>
      <c r="I57" s="44"/>
      <c r="J57" s="313"/>
      <c r="K57" s="307"/>
      <c r="L57" s="307"/>
      <c r="M57" s="307"/>
      <c r="N57" s="313"/>
      <c r="O57" s="307"/>
      <c r="P57" s="307"/>
      <c r="Q57" s="307"/>
      <c r="R57" s="313"/>
      <c r="S57" s="307"/>
      <c r="T57" s="307"/>
      <c r="U57" s="307"/>
      <c r="V57" s="313"/>
      <c r="W57" s="307"/>
      <c r="X57" s="2"/>
      <c r="Y57" s="88"/>
    </row>
    <row r="58" spans="1:25" ht="15.75" thickBot="1">
      <c r="A58" s="40"/>
      <c r="B58" s="2"/>
      <c r="C58" s="44" t="s">
        <v>590</v>
      </c>
      <c r="D58" s="44"/>
      <c r="E58" s="44"/>
      <c r="F58" s="44"/>
      <c r="G58" s="44"/>
      <c r="H58" s="44"/>
      <c r="I58" s="44"/>
      <c r="J58" s="393">
        <f>VLOOKUP($F$1,Part2,53,FALSE)</f>
        <v>458367919.67</v>
      </c>
      <c r="K58" s="394"/>
      <c r="L58" s="307"/>
      <c r="M58" s="307"/>
      <c r="N58" s="393">
        <f>VLOOKUP($F$1,Part2,54,FALSE)</f>
        <v>-469528</v>
      </c>
      <c r="O58" s="394"/>
      <c r="P58" s="307"/>
      <c r="Q58" s="307"/>
      <c r="R58" s="393">
        <f>VLOOKUP($F$1,Part2,55,FALSE)</f>
        <v>-983034.2</v>
      </c>
      <c r="S58" s="394"/>
      <c r="T58" s="307"/>
      <c r="U58" s="307"/>
      <c r="V58" s="393">
        <f>VLOOKUP($F$1,Part2,56,FALSE)</f>
        <v>456915357.4700001</v>
      </c>
      <c r="W58" s="394"/>
      <c r="X58" s="2"/>
      <c r="Y58" s="88"/>
    </row>
    <row r="59" spans="1:25" ht="15">
      <c r="A59" s="40"/>
      <c r="B59" s="2"/>
      <c r="C59" s="44"/>
      <c r="D59" s="44"/>
      <c r="E59" s="44"/>
      <c r="F59" s="44"/>
      <c r="G59" s="44"/>
      <c r="H59" s="44"/>
      <c r="I59" s="44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2"/>
      <c r="Y59" s="88"/>
    </row>
    <row r="60" spans="1:25" ht="15.75" thickBot="1">
      <c r="A60" s="40"/>
      <c r="B60" s="2"/>
      <c r="C60" s="43" t="s">
        <v>659</v>
      </c>
      <c r="D60" s="44"/>
      <c r="E60" s="44"/>
      <c r="F60" s="44"/>
      <c r="G60" s="44"/>
      <c r="H60" s="44"/>
      <c r="I60" s="44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2"/>
      <c r="Y60" s="88"/>
    </row>
    <row r="61" spans="1:25" ht="15.75" thickBot="1">
      <c r="A61" s="40"/>
      <c r="B61" s="2"/>
      <c r="C61" s="44" t="s">
        <v>694</v>
      </c>
      <c r="D61" s="44"/>
      <c r="E61" s="44"/>
      <c r="F61" s="44"/>
      <c r="G61" s="44"/>
      <c r="H61" s="44"/>
      <c r="I61" s="44"/>
      <c r="J61" s="393">
        <f>VLOOKUP($F$1,Part2,57,FALSE)</f>
        <v>1417304662.99</v>
      </c>
      <c r="K61" s="394"/>
      <c r="L61" s="307"/>
      <c r="M61" s="307"/>
      <c r="N61" s="393">
        <f>VLOOKUP($F$1,Part2,58,FALSE)</f>
        <v>1678838</v>
      </c>
      <c r="O61" s="394"/>
      <c r="P61" s="307"/>
      <c r="Q61" s="307"/>
      <c r="R61" s="393">
        <f>VLOOKUP($F$1,Part2,59,FALSE)</f>
        <v>571708.13</v>
      </c>
      <c r="S61" s="394"/>
      <c r="T61" s="307"/>
      <c r="U61" s="307"/>
      <c r="V61" s="393">
        <f>VLOOKUP($F$1,Part2,60,FALSE)</f>
        <v>1419555209.1200001</v>
      </c>
      <c r="W61" s="394"/>
      <c r="X61" s="2"/>
      <c r="Y61" s="88"/>
    </row>
    <row r="62" spans="1:25" ht="15">
      <c r="A62" s="40"/>
      <c r="B62" s="2"/>
      <c r="C62" s="44"/>
      <c r="D62" s="44"/>
      <c r="E62" s="44"/>
      <c r="F62" s="44"/>
      <c r="G62" s="44"/>
      <c r="H62" s="44"/>
      <c r="I62" s="44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2"/>
      <c r="Y62" s="88"/>
    </row>
    <row r="63" spans="1:25" ht="15.75" thickBot="1">
      <c r="A63" s="40"/>
      <c r="B63" s="2"/>
      <c r="C63" s="43" t="s">
        <v>636</v>
      </c>
      <c r="D63" s="44"/>
      <c r="E63" s="44"/>
      <c r="F63" s="44"/>
      <c r="G63" s="44"/>
      <c r="H63" s="44"/>
      <c r="I63" s="44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2"/>
      <c r="Y63" s="88"/>
    </row>
    <row r="64" spans="1:25" ht="15.75" thickBot="1">
      <c r="A64" s="40"/>
      <c r="B64" s="2"/>
      <c r="C64" s="44" t="s">
        <v>695</v>
      </c>
      <c r="D64" s="44"/>
      <c r="E64" s="44"/>
      <c r="F64" s="44"/>
      <c r="G64" s="44"/>
      <c r="H64" s="44"/>
      <c r="I64" s="44"/>
      <c r="J64" s="393">
        <f>VLOOKUP($F$1,Part2,61,FALSE)</f>
        <v>18613993.62</v>
      </c>
      <c r="K64" s="394"/>
      <c r="L64" s="307"/>
      <c r="M64" s="307"/>
      <c r="N64" s="393">
        <f>VLOOKUP($F$1,Part2,62,FALSE)</f>
        <v>0</v>
      </c>
      <c r="O64" s="394"/>
      <c r="P64" s="307"/>
      <c r="Q64" s="307"/>
      <c r="R64" s="393">
        <f>VLOOKUP($F$1,Part2,63,FALSE)</f>
        <v>0</v>
      </c>
      <c r="S64" s="394"/>
      <c r="T64" s="307"/>
      <c r="U64" s="307"/>
      <c r="V64" s="393">
        <f>VLOOKUP($F$1,Part2,64,FALSE)</f>
        <v>18613993.62</v>
      </c>
      <c r="W64" s="394"/>
      <c r="X64" s="2"/>
      <c r="Y64" s="88"/>
    </row>
    <row r="65" spans="1:25" ht="15">
      <c r="A65" s="40"/>
      <c r="B65" s="2"/>
      <c r="C65" s="44"/>
      <c r="D65" s="44"/>
      <c r="E65" s="44"/>
      <c r="F65" s="44"/>
      <c r="G65" s="44"/>
      <c r="H65" s="44"/>
      <c r="I65" s="44"/>
      <c r="J65" s="313"/>
      <c r="K65" s="307"/>
      <c r="L65" s="307"/>
      <c r="M65" s="307"/>
      <c r="N65" s="313"/>
      <c r="O65" s="307"/>
      <c r="P65" s="307"/>
      <c r="Q65" s="307"/>
      <c r="R65" s="313"/>
      <c r="S65" s="307"/>
      <c r="T65" s="307"/>
      <c r="U65" s="307"/>
      <c r="V65" s="313"/>
      <c r="W65" s="307"/>
      <c r="X65" s="2"/>
      <c r="Y65" s="88"/>
    </row>
    <row r="66" spans="1:25" ht="15.75" thickBot="1">
      <c r="A66" s="40"/>
      <c r="B66" s="2"/>
      <c r="C66" s="43" t="s">
        <v>661</v>
      </c>
      <c r="D66" s="44"/>
      <c r="E66" s="44"/>
      <c r="F66" s="44"/>
      <c r="G66" s="44"/>
      <c r="H66" s="44"/>
      <c r="I66" s="44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2"/>
      <c r="Y66" s="88"/>
    </row>
    <row r="67" spans="1:25" ht="15.75" thickBot="1">
      <c r="A67" s="40"/>
      <c r="B67" s="2"/>
      <c r="C67" s="44" t="s">
        <v>594</v>
      </c>
      <c r="D67" s="44"/>
      <c r="E67" s="44"/>
      <c r="F67" s="44"/>
      <c r="G67" s="44"/>
      <c r="H67" s="44"/>
      <c r="I67" s="44"/>
      <c r="J67" s="393">
        <f>VLOOKUP($F$1,Part2,65,FALSE)</f>
        <v>6065031.970000001</v>
      </c>
      <c r="K67" s="394"/>
      <c r="L67" s="307"/>
      <c r="M67" s="307"/>
      <c r="N67" s="393">
        <f>VLOOKUP($F$1,Part2,66,FALSE)</f>
        <v>0</v>
      </c>
      <c r="O67" s="394"/>
      <c r="P67" s="307"/>
      <c r="Q67" s="307"/>
      <c r="R67" s="393">
        <f>VLOOKUP($F$1,Part2,67,FALSE)</f>
        <v>771.2</v>
      </c>
      <c r="S67" s="394"/>
      <c r="T67" s="307"/>
      <c r="U67" s="307"/>
      <c r="V67" s="393">
        <f>VLOOKUP($F$1,Part2,68,FALSE)</f>
        <v>6065803.170000001</v>
      </c>
      <c r="W67" s="394"/>
      <c r="X67" s="2"/>
      <c r="Y67" s="88"/>
    </row>
    <row r="68" spans="1:25" ht="15.75" thickBot="1">
      <c r="A68" s="40"/>
      <c r="B68" s="2"/>
      <c r="C68" s="44"/>
      <c r="D68" s="44"/>
      <c r="E68" s="44"/>
      <c r="F68" s="44"/>
      <c r="G68" s="44"/>
      <c r="H68" s="44"/>
      <c r="I68" s="44"/>
      <c r="J68" s="313"/>
      <c r="K68" s="307"/>
      <c r="L68" s="307"/>
      <c r="M68" s="307"/>
      <c r="N68" s="313"/>
      <c r="O68" s="307"/>
      <c r="P68" s="307"/>
      <c r="Q68" s="307"/>
      <c r="R68" s="313"/>
      <c r="S68" s="307"/>
      <c r="T68" s="307"/>
      <c r="U68" s="307"/>
      <c r="V68" s="313"/>
      <c r="W68" s="307"/>
      <c r="X68" s="2"/>
      <c r="Y68" s="88"/>
    </row>
    <row r="69" spans="1:25" ht="15.75" thickBot="1">
      <c r="A69" s="40"/>
      <c r="B69" s="4"/>
      <c r="C69" s="97"/>
      <c r="D69" s="97"/>
      <c r="E69" s="97"/>
      <c r="F69" s="97"/>
      <c r="G69" s="97"/>
      <c r="H69" s="97"/>
      <c r="I69" s="97"/>
      <c r="J69" s="326"/>
      <c r="K69" s="327"/>
      <c r="L69" s="327"/>
      <c r="M69" s="327"/>
      <c r="N69" s="326"/>
      <c r="O69" s="327"/>
      <c r="P69" s="327"/>
      <c r="Q69" s="327"/>
      <c r="R69" s="326"/>
      <c r="S69" s="327"/>
      <c r="T69" s="327"/>
      <c r="U69" s="327"/>
      <c r="V69" s="326"/>
      <c r="W69" s="327"/>
      <c r="X69" s="5"/>
      <c r="Y69" s="88"/>
    </row>
    <row r="70" spans="1:25" ht="15.75" thickBot="1">
      <c r="A70" s="40"/>
      <c r="B70" s="6"/>
      <c r="C70" s="44"/>
      <c r="D70" s="44"/>
      <c r="E70" s="44"/>
      <c r="F70" s="44"/>
      <c r="G70" s="44"/>
      <c r="H70" s="44"/>
      <c r="I70" s="90"/>
      <c r="J70" s="328"/>
      <c r="K70" s="308"/>
      <c r="L70" s="309"/>
      <c r="M70" s="310"/>
      <c r="N70" s="328"/>
      <c r="O70" s="308"/>
      <c r="P70" s="309"/>
      <c r="Q70" s="329"/>
      <c r="R70" s="330"/>
      <c r="S70" s="331"/>
      <c r="T70" s="332"/>
      <c r="U70" s="307"/>
      <c r="V70" s="313"/>
      <c r="W70" s="307"/>
      <c r="X70" s="8"/>
      <c r="Y70" s="88"/>
    </row>
    <row r="71" spans="1:25" ht="15.75" thickBot="1">
      <c r="A71" s="40"/>
      <c r="B71" s="6"/>
      <c r="C71" s="367" t="s">
        <v>591</v>
      </c>
      <c r="D71" s="367"/>
      <c r="E71" s="367"/>
      <c r="F71" s="367"/>
      <c r="G71" s="367"/>
      <c r="H71" s="44"/>
      <c r="I71" s="91"/>
      <c r="J71" s="393">
        <f>VLOOKUP($F$1,Part2,69,FALSE)</f>
        <v>1900351608.5800006</v>
      </c>
      <c r="K71" s="394"/>
      <c r="L71" s="311"/>
      <c r="M71" s="312"/>
      <c r="N71" s="393">
        <f>VLOOKUP($F$1,Part2,70,FALSE)</f>
        <v>1209310</v>
      </c>
      <c r="O71" s="394"/>
      <c r="P71" s="311"/>
      <c r="Q71" s="333"/>
      <c r="R71" s="393">
        <f>VLOOKUP($F$1,Part2,71,FALSE)</f>
        <v>-409363.87</v>
      </c>
      <c r="S71" s="394"/>
      <c r="T71" s="334"/>
      <c r="U71" s="307"/>
      <c r="V71" s="307"/>
      <c r="W71" s="307"/>
      <c r="X71" s="8"/>
      <c r="Y71" s="88"/>
    </row>
    <row r="72" spans="1:25" ht="15">
      <c r="A72" s="40"/>
      <c r="B72" s="6"/>
      <c r="C72" s="367"/>
      <c r="D72" s="367"/>
      <c r="E72" s="367"/>
      <c r="F72" s="367"/>
      <c r="G72" s="367"/>
      <c r="H72" s="44"/>
      <c r="I72" s="91"/>
      <c r="J72" s="313"/>
      <c r="K72" s="307"/>
      <c r="L72" s="311"/>
      <c r="M72" s="312"/>
      <c r="N72" s="313"/>
      <c r="O72" s="307"/>
      <c r="P72" s="311"/>
      <c r="Q72" s="333"/>
      <c r="R72" s="313"/>
      <c r="S72" s="307"/>
      <c r="T72" s="334"/>
      <c r="U72" s="307"/>
      <c r="V72" s="307"/>
      <c r="W72" s="307"/>
      <c r="X72" s="8"/>
      <c r="Y72" s="88"/>
    </row>
    <row r="73" spans="1:25" ht="15.75" thickBot="1">
      <c r="A73" s="40"/>
      <c r="B73" s="6"/>
      <c r="C73" s="44"/>
      <c r="D73" s="44"/>
      <c r="E73" s="44"/>
      <c r="F73" s="44"/>
      <c r="G73" s="44"/>
      <c r="H73" s="44"/>
      <c r="I73" s="91"/>
      <c r="J73" s="313"/>
      <c r="K73" s="307"/>
      <c r="L73" s="311"/>
      <c r="M73" s="312"/>
      <c r="N73" s="313"/>
      <c r="O73" s="307"/>
      <c r="P73" s="311"/>
      <c r="Q73" s="333"/>
      <c r="R73" s="313"/>
      <c r="S73" s="307"/>
      <c r="T73" s="334"/>
      <c r="U73" s="307"/>
      <c r="V73" s="307"/>
      <c r="W73" s="307"/>
      <c r="X73" s="8"/>
      <c r="Y73" s="88"/>
    </row>
    <row r="74" spans="1:25" ht="15.75" thickBot="1">
      <c r="A74" s="40"/>
      <c r="B74" s="6"/>
      <c r="C74" s="405" t="s">
        <v>595</v>
      </c>
      <c r="D74" s="405"/>
      <c r="E74" s="405"/>
      <c r="F74" s="405"/>
      <c r="G74" s="405"/>
      <c r="H74" s="44"/>
      <c r="I74" s="91"/>
      <c r="J74" s="393">
        <f>VLOOKUP($F$1,Part2,72,FALSE)</f>
        <v>40831160.199999996</v>
      </c>
      <c r="K74" s="394"/>
      <c r="L74" s="311"/>
      <c r="M74" s="312"/>
      <c r="N74" s="393">
        <f>VLOOKUP($F$1,Part2,73,FALSE)</f>
        <v>36974</v>
      </c>
      <c r="O74" s="394"/>
      <c r="P74" s="311"/>
      <c r="Q74" s="333"/>
      <c r="R74" s="393">
        <f>VLOOKUP($F$1,Part2,74,FALSE)</f>
        <v>49368</v>
      </c>
      <c r="S74" s="394"/>
      <c r="T74" s="334"/>
      <c r="U74" s="307"/>
      <c r="V74" s="307"/>
      <c r="W74" s="307"/>
      <c r="X74" s="8"/>
      <c r="Y74" s="88"/>
    </row>
    <row r="75" spans="1:25" ht="15.75" customHeight="1">
      <c r="A75" s="40"/>
      <c r="B75" s="6"/>
      <c r="C75" s="413"/>
      <c r="D75" s="413"/>
      <c r="E75" s="413"/>
      <c r="F75" s="413"/>
      <c r="G75" s="413"/>
      <c r="H75" s="44"/>
      <c r="I75" s="91"/>
      <c r="J75" s="313"/>
      <c r="K75" s="307"/>
      <c r="L75" s="311"/>
      <c r="M75" s="312"/>
      <c r="N75" s="313"/>
      <c r="O75" s="307"/>
      <c r="P75" s="311"/>
      <c r="Q75" s="333"/>
      <c r="R75" s="313"/>
      <c r="S75" s="307"/>
      <c r="T75" s="334"/>
      <c r="U75" s="307"/>
      <c r="V75" s="313"/>
      <c r="W75" s="307"/>
      <c r="X75" s="8"/>
      <c r="Y75" s="88"/>
    </row>
    <row r="76" spans="1:25" ht="15.75" thickBot="1">
      <c r="A76" s="40"/>
      <c r="B76" s="6"/>
      <c r="C76" s="110"/>
      <c r="D76" s="110"/>
      <c r="E76" s="110"/>
      <c r="F76" s="110"/>
      <c r="G76" s="110"/>
      <c r="H76" s="44"/>
      <c r="I76" s="91"/>
      <c r="J76" s="313"/>
      <c r="K76" s="307"/>
      <c r="L76" s="311"/>
      <c r="M76" s="312"/>
      <c r="N76" s="313"/>
      <c r="O76" s="307"/>
      <c r="P76" s="311"/>
      <c r="Q76" s="333"/>
      <c r="R76" s="313"/>
      <c r="S76" s="307"/>
      <c r="T76" s="334"/>
      <c r="U76" s="307"/>
      <c r="V76" s="313"/>
      <c r="W76" s="307"/>
      <c r="X76" s="8"/>
      <c r="Y76" s="88"/>
    </row>
    <row r="77" spans="1:25" ht="15.75" thickBot="1">
      <c r="A77" s="40"/>
      <c r="B77" s="6"/>
      <c r="C77" s="414" t="s">
        <v>596</v>
      </c>
      <c r="D77" s="400"/>
      <c r="E77" s="400"/>
      <c r="F77" s="400"/>
      <c r="G77" s="400"/>
      <c r="H77" s="44"/>
      <c r="I77" s="91"/>
      <c r="J77" s="393">
        <f>VLOOKUP($F$1,Part2,75,FALSE)</f>
        <v>1941182768.7800004</v>
      </c>
      <c r="K77" s="394"/>
      <c r="L77" s="311"/>
      <c r="M77" s="312"/>
      <c r="N77" s="393">
        <f>VLOOKUP($F$1,Part2,76,FALSE)</f>
        <v>1246284</v>
      </c>
      <c r="O77" s="394"/>
      <c r="P77" s="311"/>
      <c r="Q77" s="333"/>
      <c r="R77" s="393">
        <f>VLOOKUP($F$1,Part2,77,FALSE)</f>
        <v>-359995.87</v>
      </c>
      <c r="S77" s="394"/>
      <c r="T77" s="334"/>
      <c r="U77" s="307"/>
      <c r="V77" s="393">
        <f>VLOOKUP($F$1,Part2,78,FALSE)</f>
        <v>1942069056.9100003</v>
      </c>
      <c r="W77" s="394"/>
      <c r="X77" s="8"/>
      <c r="Y77" s="88"/>
    </row>
    <row r="78" spans="1:25" ht="15.75" thickBot="1">
      <c r="A78" s="40"/>
      <c r="B78" s="6"/>
      <c r="C78" s="368"/>
      <c r="D78" s="368"/>
      <c r="E78" s="368"/>
      <c r="F78" s="368"/>
      <c r="G78" s="368"/>
      <c r="H78" s="44"/>
      <c r="I78" s="92"/>
      <c r="J78" s="314"/>
      <c r="K78" s="315"/>
      <c r="L78" s="316"/>
      <c r="M78" s="317"/>
      <c r="N78" s="314"/>
      <c r="O78" s="315"/>
      <c r="P78" s="316"/>
      <c r="Q78" s="335"/>
      <c r="R78" s="336"/>
      <c r="S78" s="337"/>
      <c r="T78" s="338"/>
      <c r="U78" s="307"/>
      <c r="V78" s="313"/>
      <c r="W78" s="307"/>
      <c r="X78" s="8"/>
      <c r="Y78" s="88"/>
    </row>
    <row r="79" spans="1:25" ht="15.75" thickBot="1">
      <c r="A79" s="40"/>
      <c r="B79" s="10"/>
      <c r="C79" s="98"/>
      <c r="D79" s="98"/>
      <c r="E79" s="98"/>
      <c r="F79" s="98"/>
      <c r="G79" s="98"/>
      <c r="H79" s="98"/>
      <c r="I79" s="98"/>
      <c r="J79" s="339"/>
      <c r="K79" s="340"/>
      <c r="L79" s="340"/>
      <c r="M79" s="340"/>
      <c r="N79" s="339"/>
      <c r="O79" s="340"/>
      <c r="P79" s="340"/>
      <c r="Q79" s="340"/>
      <c r="R79" s="339"/>
      <c r="S79" s="340"/>
      <c r="T79" s="340"/>
      <c r="U79" s="340"/>
      <c r="V79" s="339"/>
      <c r="W79" s="340"/>
      <c r="X79" s="9"/>
      <c r="Y79" s="88"/>
    </row>
    <row r="80" spans="1:25" ht="15.75" thickBot="1">
      <c r="A80" s="41"/>
      <c r="B80" s="42"/>
      <c r="C80" s="140"/>
      <c r="D80" s="140"/>
      <c r="E80" s="140"/>
      <c r="F80" s="140"/>
      <c r="G80" s="140"/>
      <c r="H80" s="140"/>
      <c r="I80" s="140"/>
      <c r="J80" s="341"/>
      <c r="K80" s="342"/>
      <c r="L80" s="342"/>
      <c r="M80" s="342"/>
      <c r="N80" s="341"/>
      <c r="O80" s="342"/>
      <c r="P80" s="342"/>
      <c r="Q80" s="342"/>
      <c r="R80" s="341"/>
      <c r="S80" s="342"/>
      <c r="T80" s="342"/>
      <c r="U80" s="342"/>
      <c r="V80" s="341"/>
      <c r="W80" s="342"/>
      <c r="X80" s="42"/>
      <c r="Y80" s="89"/>
    </row>
    <row r="81" spans="1:25" ht="15" hidden="1">
      <c r="A81" s="40"/>
      <c r="B81" s="2"/>
      <c r="C81" s="44"/>
      <c r="D81" s="44"/>
      <c r="E81" s="44"/>
      <c r="F81" s="44"/>
      <c r="G81" s="44"/>
      <c r="H81" s="44"/>
      <c r="I81" s="44"/>
      <c r="J81" s="313"/>
      <c r="K81" s="307"/>
      <c r="L81" s="307"/>
      <c r="M81" s="307"/>
      <c r="N81" s="313"/>
      <c r="O81" s="307"/>
      <c r="P81" s="307"/>
      <c r="Q81" s="307"/>
      <c r="R81" s="313"/>
      <c r="S81" s="307"/>
      <c r="T81" s="307"/>
      <c r="U81" s="307"/>
      <c r="V81" s="313"/>
      <c r="W81" s="307"/>
      <c r="X81" s="2"/>
      <c r="Y81" s="88"/>
    </row>
    <row r="82" spans="1:25" ht="15">
      <c r="A82" s="40"/>
      <c r="B82" s="2"/>
      <c r="C82" s="23" t="s">
        <v>832</v>
      </c>
      <c r="D82" s="44"/>
      <c r="E82" s="44"/>
      <c r="F82" s="44"/>
      <c r="G82" s="44"/>
      <c r="H82" s="44"/>
      <c r="I82" s="44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2"/>
      <c r="Y82" s="88"/>
    </row>
    <row r="83" spans="1:25" ht="15">
      <c r="A83" s="40"/>
      <c r="B83" s="2"/>
      <c r="C83" s="44"/>
      <c r="D83" s="44"/>
      <c r="E83" s="44"/>
      <c r="F83" s="44"/>
      <c r="G83" s="44"/>
      <c r="H83" s="44"/>
      <c r="I83" s="44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2"/>
      <c r="Y83" s="88"/>
    </row>
    <row r="84" spans="1:25" ht="15.75" thickBot="1">
      <c r="A84" s="40"/>
      <c r="B84" s="2"/>
      <c r="C84" s="43" t="s">
        <v>597</v>
      </c>
      <c r="D84" s="44"/>
      <c r="E84" s="44"/>
      <c r="F84" s="44"/>
      <c r="G84" s="44"/>
      <c r="H84" s="44"/>
      <c r="I84" s="44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2"/>
      <c r="Y84" s="88"/>
    </row>
    <row r="85" spans="1:25" ht="15.75" thickBot="1">
      <c r="A85" s="40"/>
      <c r="B85" s="2"/>
      <c r="C85" s="44" t="s">
        <v>298</v>
      </c>
      <c r="D85" s="44"/>
      <c r="E85" s="44"/>
      <c r="F85" s="44"/>
      <c r="G85" s="44"/>
      <c r="H85" s="44"/>
      <c r="I85" s="44"/>
      <c r="J85" s="393">
        <f>VLOOKUP($F$1,Part2,79,FALSE)</f>
        <v>34310715.39</v>
      </c>
      <c r="K85" s="394"/>
      <c r="L85" s="307"/>
      <c r="M85" s="307"/>
      <c r="N85" s="393">
        <f>VLOOKUP($F$1,Part2,80,FALSE)</f>
        <v>169831</v>
      </c>
      <c r="O85" s="394"/>
      <c r="P85" s="307"/>
      <c r="Q85" s="307"/>
      <c r="R85" s="393">
        <f>VLOOKUP($F$1,Part2,81,FALSE)</f>
        <v>191015</v>
      </c>
      <c r="S85" s="394"/>
      <c r="T85" s="307"/>
      <c r="U85" s="307"/>
      <c r="V85" s="393">
        <f>VLOOKUP($F$1,Part2,82,FALSE)</f>
        <v>34671561.39</v>
      </c>
      <c r="W85" s="394"/>
      <c r="X85" s="2"/>
      <c r="Y85" s="88"/>
    </row>
    <row r="86" spans="1:25" ht="15" customHeight="1">
      <c r="A86" s="40"/>
      <c r="B86" s="2"/>
      <c r="C86" s="44"/>
      <c r="D86" s="44"/>
      <c r="E86" s="44"/>
      <c r="F86" s="44"/>
      <c r="G86" s="44"/>
      <c r="H86" s="44"/>
      <c r="I86" s="44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2"/>
      <c r="Y86" s="88"/>
    </row>
    <row r="87" spans="1:25" ht="15.75" thickBot="1">
      <c r="A87" s="40"/>
      <c r="B87" s="2"/>
      <c r="C87" s="43" t="s">
        <v>598</v>
      </c>
      <c r="D87" s="44"/>
      <c r="E87" s="44"/>
      <c r="F87" s="44"/>
      <c r="G87" s="44"/>
      <c r="H87" s="44"/>
      <c r="I87" s="44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2"/>
      <c r="Y87" s="88"/>
    </row>
    <row r="88" spans="1:25" ht="16.5" customHeight="1" thickBot="1">
      <c r="A88" s="40"/>
      <c r="B88" s="2"/>
      <c r="C88" s="44" t="s">
        <v>299</v>
      </c>
      <c r="D88" s="44"/>
      <c r="E88" s="44"/>
      <c r="F88" s="44"/>
      <c r="G88" s="44"/>
      <c r="H88" s="44"/>
      <c r="I88" s="44"/>
      <c r="J88" s="393">
        <f>VLOOKUP($F$1,Part2,83,FALSE)</f>
        <v>902338731.68</v>
      </c>
      <c r="K88" s="394"/>
      <c r="L88" s="307"/>
      <c r="M88" s="307"/>
      <c r="N88" s="393">
        <f>VLOOKUP($F$1,Part2,84,FALSE)</f>
        <v>4265974</v>
      </c>
      <c r="O88" s="394"/>
      <c r="P88" s="307"/>
      <c r="Q88" s="307"/>
      <c r="R88" s="393">
        <f>VLOOKUP($F$1,Part2,85,FALSE)</f>
        <v>10675821.96</v>
      </c>
      <c r="S88" s="394"/>
      <c r="T88" s="307"/>
      <c r="U88" s="307"/>
      <c r="V88" s="393">
        <f>VLOOKUP($F$1,Part2,86,FALSE)</f>
        <v>917280527.6399999</v>
      </c>
      <c r="W88" s="394"/>
      <c r="X88" s="2"/>
      <c r="Y88" s="88"/>
    </row>
    <row r="89" spans="1:25" ht="15" customHeight="1">
      <c r="A89" s="40"/>
      <c r="B89" s="2"/>
      <c r="C89" s="44"/>
      <c r="D89" s="44"/>
      <c r="E89" s="44"/>
      <c r="F89" s="44"/>
      <c r="G89" s="44"/>
      <c r="H89" s="44"/>
      <c r="I89" s="111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2"/>
      <c r="Y89" s="88"/>
    </row>
    <row r="90" spans="1:25" ht="15.75" thickBot="1">
      <c r="A90" s="40"/>
      <c r="B90" s="2"/>
      <c r="C90" s="44"/>
      <c r="D90" s="44"/>
      <c r="E90" s="44"/>
      <c r="F90" s="44"/>
      <c r="G90" s="44"/>
      <c r="H90" s="44"/>
      <c r="I90" s="44"/>
      <c r="J90" s="313"/>
      <c r="K90" s="307"/>
      <c r="L90" s="307"/>
      <c r="M90" s="307"/>
      <c r="N90" s="313"/>
      <c r="O90" s="307"/>
      <c r="P90" s="307"/>
      <c r="Q90" s="307"/>
      <c r="R90" s="313"/>
      <c r="S90" s="307"/>
      <c r="T90" s="307"/>
      <c r="U90" s="307"/>
      <c r="V90" s="313"/>
      <c r="W90" s="307"/>
      <c r="X90" s="2"/>
      <c r="Y90" s="88"/>
    </row>
    <row r="91" spans="1:25" ht="15.75" thickBot="1">
      <c r="A91" s="40"/>
      <c r="B91" s="4"/>
      <c r="C91" s="97"/>
      <c r="D91" s="97"/>
      <c r="E91" s="97"/>
      <c r="F91" s="97"/>
      <c r="G91" s="97"/>
      <c r="H91" s="97"/>
      <c r="I91" s="97"/>
      <c r="J91" s="326"/>
      <c r="K91" s="327"/>
      <c r="L91" s="327"/>
      <c r="M91" s="327"/>
      <c r="N91" s="326"/>
      <c r="O91" s="327"/>
      <c r="P91" s="327"/>
      <c r="Q91" s="327"/>
      <c r="R91" s="326"/>
      <c r="S91" s="327"/>
      <c r="T91" s="327"/>
      <c r="U91" s="327"/>
      <c r="V91" s="326"/>
      <c r="W91" s="327"/>
      <c r="X91" s="5"/>
      <c r="Y91" s="88"/>
    </row>
    <row r="92" spans="1:25" ht="15.75" thickBot="1">
      <c r="A92" s="40"/>
      <c r="B92" s="6"/>
      <c r="C92" s="367" t="s">
        <v>300</v>
      </c>
      <c r="D92" s="367"/>
      <c r="E92" s="367"/>
      <c r="F92" s="367"/>
      <c r="G92" s="367"/>
      <c r="H92" s="44"/>
      <c r="I92" s="44"/>
      <c r="J92" s="393">
        <f>VLOOKUP($F$1,Part2,87,FALSE)</f>
        <v>936649447.0700002</v>
      </c>
      <c r="K92" s="394"/>
      <c r="L92" s="307"/>
      <c r="M92" s="307"/>
      <c r="N92" s="393">
        <f>VLOOKUP($F$1,Part2,88,FALSE)</f>
        <v>4435805</v>
      </c>
      <c r="O92" s="394"/>
      <c r="P92" s="307"/>
      <c r="Q92" s="307"/>
      <c r="R92" s="393">
        <f>VLOOKUP($F$1,Part2,89,FALSE)</f>
        <v>10866836.96</v>
      </c>
      <c r="S92" s="394"/>
      <c r="T92" s="307"/>
      <c r="U92" s="307"/>
      <c r="V92" s="307"/>
      <c r="W92" s="307"/>
      <c r="X92" s="8"/>
      <c r="Y92" s="88"/>
    </row>
    <row r="93" spans="1:25" ht="15">
      <c r="A93" s="40"/>
      <c r="B93" s="6"/>
      <c r="C93" s="367"/>
      <c r="D93" s="367"/>
      <c r="E93" s="367"/>
      <c r="F93" s="367"/>
      <c r="G93" s="367"/>
      <c r="H93" s="44"/>
      <c r="I93" s="44"/>
      <c r="J93" s="313"/>
      <c r="K93" s="307"/>
      <c r="L93" s="307"/>
      <c r="M93" s="307"/>
      <c r="N93" s="313"/>
      <c r="O93" s="307"/>
      <c r="P93" s="307"/>
      <c r="Q93" s="307"/>
      <c r="R93" s="313"/>
      <c r="S93" s="307"/>
      <c r="T93" s="307"/>
      <c r="U93" s="307"/>
      <c r="V93" s="307"/>
      <c r="W93" s="307"/>
      <c r="X93" s="8"/>
      <c r="Y93" s="88"/>
    </row>
    <row r="94" spans="1:25" ht="15.75" thickBot="1">
      <c r="A94" s="40"/>
      <c r="B94" s="6"/>
      <c r="C94" s="109"/>
      <c r="D94" s="109"/>
      <c r="E94" s="109"/>
      <c r="F94" s="109"/>
      <c r="G94" s="109"/>
      <c r="H94" s="44"/>
      <c r="I94" s="44"/>
      <c r="J94" s="313"/>
      <c r="K94" s="307"/>
      <c r="L94" s="307"/>
      <c r="M94" s="307"/>
      <c r="N94" s="313"/>
      <c r="O94" s="307"/>
      <c r="P94" s="307"/>
      <c r="Q94" s="307"/>
      <c r="R94" s="313"/>
      <c r="S94" s="307"/>
      <c r="T94" s="307"/>
      <c r="U94" s="307"/>
      <c r="V94" s="307"/>
      <c r="W94" s="307"/>
      <c r="X94" s="8"/>
      <c r="Y94" s="88"/>
    </row>
    <row r="95" spans="1:25" ht="15.75" customHeight="1" thickBot="1">
      <c r="A95" s="40"/>
      <c r="B95" s="6"/>
      <c r="C95" s="367" t="s">
        <v>301</v>
      </c>
      <c r="D95" s="368"/>
      <c r="E95" s="368"/>
      <c r="F95" s="368"/>
      <c r="G95" s="368"/>
      <c r="H95" s="44"/>
      <c r="I95" s="44"/>
      <c r="J95" s="393">
        <f>VLOOKUP($F$1,Part2,90,FALSE)</f>
        <v>39446528.09</v>
      </c>
      <c r="K95" s="394"/>
      <c r="L95" s="307"/>
      <c r="M95" s="307"/>
      <c r="N95" s="393">
        <f>VLOOKUP($F$1,Part2,91,FALSE)</f>
        <v>-868533</v>
      </c>
      <c r="O95" s="394"/>
      <c r="P95" s="307"/>
      <c r="Q95" s="307"/>
      <c r="R95" s="393">
        <f>VLOOKUP($F$1,Part2,92,FALSE)</f>
        <v>66102</v>
      </c>
      <c r="S95" s="394"/>
      <c r="T95" s="307"/>
      <c r="U95" s="307"/>
      <c r="V95" s="307"/>
      <c r="W95" s="307"/>
      <c r="X95" s="8"/>
      <c r="Y95" s="88"/>
    </row>
    <row r="96" spans="1:25" ht="15.75" customHeight="1">
      <c r="A96" s="40"/>
      <c r="B96" s="6"/>
      <c r="C96" s="368"/>
      <c r="D96" s="368"/>
      <c r="E96" s="368"/>
      <c r="F96" s="368"/>
      <c r="G96" s="368"/>
      <c r="H96" s="44"/>
      <c r="I96" s="44"/>
      <c r="J96" s="313"/>
      <c r="K96" s="307"/>
      <c r="L96" s="307"/>
      <c r="M96" s="307"/>
      <c r="N96" s="313"/>
      <c r="O96" s="307"/>
      <c r="P96" s="307"/>
      <c r="Q96" s="307"/>
      <c r="R96" s="313"/>
      <c r="S96" s="307"/>
      <c r="T96" s="307"/>
      <c r="U96" s="307"/>
      <c r="V96" s="313"/>
      <c r="W96" s="307"/>
      <c r="X96" s="8"/>
      <c r="Y96" s="88"/>
    </row>
    <row r="97" spans="1:25" ht="15.75" thickBot="1">
      <c r="A97" s="40"/>
      <c r="B97" s="6"/>
      <c r="C97" s="109"/>
      <c r="D97" s="109"/>
      <c r="E97" s="109"/>
      <c r="F97" s="109"/>
      <c r="G97" s="109"/>
      <c r="H97" s="44"/>
      <c r="I97" s="44"/>
      <c r="J97" s="313"/>
      <c r="K97" s="307"/>
      <c r="L97" s="307"/>
      <c r="M97" s="307"/>
      <c r="N97" s="313"/>
      <c r="O97" s="307"/>
      <c r="P97" s="307"/>
      <c r="Q97" s="307"/>
      <c r="R97" s="313"/>
      <c r="S97" s="307"/>
      <c r="T97" s="307"/>
      <c r="U97" s="307"/>
      <c r="V97" s="313"/>
      <c r="W97" s="307"/>
      <c r="X97" s="8"/>
      <c r="Y97" s="88"/>
    </row>
    <row r="98" spans="1:25" ht="15.75" thickBot="1">
      <c r="A98" s="40"/>
      <c r="B98" s="6"/>
      <c r="C98" s="414" t="s">
        <v>302</v>
      </c>
      <c r="D98" s="400"/>
      <c r="E98" s="400"/>
      <c r="F98" s="400"/>
      <c r="G98" s="400"/>
      <c r="H98" s="44"/>
      <c r="I98" s="44"/>
      <c r="J98" s="393">
        <f>VLOOKUP($F$1,Part2,93,FALSE)</f>
        <v>976095975.16</v>
      </c>
      <c r="K98" s="394"/>
      <c r="L98" s="307"/>
      <c r="M98" s="307"/>
      <c r="N98" s="393">
        <f>VLOOKUP($F$1,Part2,94,FALSE)</f>
        <v>3567272</v>
      </c>
      <c r="O98" s="394"/>
      <c r="P98" s="307"/>
      <c r="Q98" s="307"/>
      <c r="R98" s="393">
        <f>VLOOKUP($F$1,Part2,95,FALSE)</f>
        <v>10932938.96</v>
      </c>
      <c r="S98" s="394"/>
      <c r="T98" s="307"/>
      <c r="U98" s="307"/>
      <c r="V98" s="393">
        <f>VLOOKUP($F$1,Part2,96,FALSE)</f>
        <v>990596186.1199999</v>
      </c>
      <c r="W98" s="394"/>
      <c r="X98" s="8"/>
      <c r="Y98" s="88"/>
    </row>
    <row r="99" spans="1:25" ht="15">
      <c r="A99" s="40"/>
      <c r="B99" s="6"/>
      <c r="C99" s="368"/>
      <c r="D99" s="368"/>
      <c r="E99" s="368"/>
      <c r="F99" s="368"/>
      <c r="G99" s="368"/>
      <c r="H99" s="44"/>
      <c r="I99" s="44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8"/>
      <c r="Y99" s="88"/>
    </row>
    <row r="100" spans="1:25" ht="15.75" thickBot="1">
      <c r="A100" s="40"/>
      <c r="B100" s="10"/>
      <c r="C100" s="98"/>
      <c r="D100" s="98"/>
      <c r="E100" s="98"/>
      <c r="F100" s="98"/>
      <c r="G100" s="98"/>
      <c r="H100" s="98"/>
      <c r="I100" s="98"/>
      <c r="J100" s="339"/>
      <c r="K100" s="340"/>
      <c r="L100" s="340"/>
      <c r="M100" s="340"/>
      <c r="N100" s="339"/>
      <c r="O100" s="340"/>
      <c r="P100" s="340"/>
      <c r="Q100" s="340"/>
      <c r="R100" s="339"/>
      <c r="S100" s="340"/>
      <c r="T100" s="340"/>
      <c r="U100" s="340"/>
      <c r="V100" s="339"/>
      <c r="W100" s="340"/>
      <c r="X100" s="9"/>
      <c r="Y100" s="88"/>
    </row>
    <row r="101" spans="1:25" ht="15">
      <c r="A101" s="40"/>
      <c r="B101" s="2"/>
      <c r="C101" s="44"/>
      <c r="D101" s="44"/>
      <c r="E101" s="44"/>
      <c r="F101" s="44"/>
      <c r="G101" s="44"/>
      <c r="H101" s="44"/>
      <c r="I101" s="44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2"/>
      <c r="Y101" s="88"/>
    </row>
    <row r="102" spans="1:25" ht="15">
      <c r="A102" s="40"/>
      <c r="B102" s="2"/>
      <c r="C102" s="23" t="s">
        <v>292</v>
      </c>
      <c r="D102" s="44"/>
      <c r="E102" s="44"/>
      <c r="F102" s="44"/>
      <c r="G102" s="44"/>
      <c r="H102" s="44"/>
      <c r="I102" s="44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2"/>
      <c r="Y102" s="88"/>
    </row>
    <row r="103" spans="1:25" ht="15.75" thickBot="1">
      <c r="A103" s="40"/>
      <c r="B103" s="2"/>
      <c r="C103" s="43" t="s">
        <v>659</v>
      </c>
      <c r="D103" s="44"/>
      <c r="E103" s="44"/>
      <c r="F103" s="44"/>
      <c r="G103" s="44"/>
      <c r="H103" s="44"/>
      <c r="I103" s="44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2"/>
      <c r="Y103" s="88"/>
    </row>
    <row r="104" spans="1:25" ht="15.75" thickBot="1">
      <c r="A104" s="40"/>
      <c r="B104" s="2"/>
      <c r="C104" s="44" t="s">
        <v>696</v>
      </c>
      <c r="D104" s="44"/>
      <c r="E104" s="44"/>
      <c r="F104" s="44"/>
      <c r="G104" s="44"/>
      <c r="H104" s="44"/>
      <c r="I104" s="44"/>
      <c r="J104" s="393">
        <f>VLOOKUP($F$1,Part2,97,FALSE)</f>
        <v>43648482.95999999</v>
      </c>
      <c r="K104" s="394"/>
      <c r="L104" s="307"/>
      <c r="M104" s="307"/>
      <c r="N104" s="393">
        <f>VLOOKUP($F$1,Part2,98,FALSE)</f>
        <v>2313</v>
      </c>
      <c r="O104" s="394"/>
      <c r="P104" s="307"/>
      <c r="Q104" s="307"/>
      <c r="R104" s="393">
        <f>VLOOKUP($F$1,Part2,99,FALSE)</f>
        <v>293031.18</v>
      </c>
      <c r="S104" s="394"/>
      <c r="T104" s="307"/>
      <c r="U104" s="307"/>
      <c r="V104" s="393">
        <f>VLOOKUP($F$1,Part2,100,FALSE)</f>
        <v>43943827.13999999</v>
      </c>
      <c r="W104" s="394"/>
      <c r="X104" s="2"/>
      <c r="Y104" s="88"/>
    </row>
    <row r="105" spans="1:25" ht="15">
      <c r="A105" s="40"/>
      <c r="B105" s="2"/>
      <c r="C105" s="43"/>
      <c r="D105" s="44"/>
      <c r="E105" s="44"/>
      <c r="F105" s="44"/>
      <c r="G105" s="44"/>
      <c r="H105" s="44"/>
      <c r="I105" s="44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2"/>
      <c r="Y105" s="88"/>
    </row>
    <row r="106" spans="1:25" ht="15.75" thickBot="1">
      <c r="A106" s="40"/>
      <c r="B106" s="2"/>
      <c r="C106" s="43" t="s">
        <v>637</v>
      </c>
      <c r="D106" s="44"/>
      <c r="E106" s="44"/>
      <c r="F106" s="44"/>
      <c r="G106" s="44"/>
      <c r="H106" s="44"/>
      <c r="I106" s="44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2"/>
      <c r="Y106" s="88"/>
    </row>
    <row r="107" spans="1:25" ht="15.75" thickBot="1">
      <c r="A107" s="40"/>
      <c r="B107" s="2"/>
      <c r="C107" s="44" t="s">
        <v>697</v>
      </c>
      <c r="D107" s="44"/>
      <c r="E107" s="44"/>
      <c r="F107" s="44"/>
      <c r="G107" s="44"/>
      <c r="H107" s="44"/>
      <c r="I107" s="44"/>
      <c r="J107" s="393">
        <f>VLOOKUP($F$1,Part2,101,FALSE)</f>
        <v>35528670.85</v>
      </c>
      <c r="K107" s="394"/>
      <c r="L107" s="307"/>
      <c r="M107" s="307"/>
      <c r="N107" s="393">
        <f>VLOOKUP($F$1,Part2,102,FALSE)</f>
        <v>265681</v>
      </c>
      <c r="O107" s="394"/>
      <c r="P107" s="307"/>
      <c r="Q107" s="307"/>
      <c r="R107" s="393">
        <f>VLOOKUP($F$1,Part2,103,FALSE)</f>
        <v>86363.56</v>
      </c>
      <c r="S107" s="394"/>
      <c r="T107" s="307"/>
      <c r="U107" s="307"/>
      <c r="V107" s="393">
        <f>VLOOKUP($F$1,Part2,104,FALSE)</f>
        <v>35880715.410000004</v>
      </c>
      <c r="W107" s="394"/>
      <c r="X107" s="2"/>
      <c r="Y107" s="88"/>
    </row>
    <row r="108" spans="1:25" ht="15">
      <c r="A108" s="40"/>
      <c r="B108" s="2"/>
      <c r="C108" s="44"/>
      <c r="D108" s="44"/>
      <c r="E108" s="44"/>
      <c r="F108" s="44"/>
      <c r="G108" s="44"/>
      <c r="H108" s="44"/>
      <c r="I108" s="44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2"/>
      <c r="Y108" s="88"/>
    </row>
    <row r="109" spans="1:25" ht="15.75" thickBot="1">
      <c r="A109" s="40"/>
      <c r="B109" s="2"/>
      <c r="C109" s="43" t="s">
        <v>636</v>
      </c>
      <c r="D109" s="44"/>
      <c r="E109" s="44"/>
      <c r="F109" s="44"/>
      <c r="G109" s="44"/>
      <c r="H109" s="44"/>
      <c r="I109" s="44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2"/>
      <c r="Y109" s="88"/>
    </row>
    <row r="110" spans="1:25" ht="15.75" thickBot="1">
      <c r="A110" s="40"/>
      <c r="B110" s="2"/>
      <c r="C110" s="44" t="s">
        <v>698</v>
      </c>
      <c r="D110" s="44"/>
      <c r="E110" s="44"/>
      <c r="F110" s="44"/>
      <c r="G110" s="44"/>
      <c r="H110" s="44"/>
      <c r="I110" s="44"/>
      <c r="J110" s="393">
        <f>VLOOKUP($F$1,Part2,105,FALSE)</f>
        <v>1147178.7500000002</v>
      </c>
      <c r="K110" s="394"/>
      <c r="L110" s="307"/>
      <c r="M110" s="307"/>
      <c r="N110" s="393">
        <f>VLOOKUP($F$1,Part2,106,FALSE)</f>
        <v>0</v>
      </c>
      <c r="O110" s="394"/>
      <c r="P110" s="307"/>
      <c r="Q110" s="307"/>
      <c r="R110" s="393">
        <f>VLOOKUP($F$1,Part2,107,FALSE)</f>
        <v>0</v>
      </c>
      <c r="S110" s="394"/>
      <c r="T110" s="307"/>
      <c r="U110" s="307"/>
      <c r="V110" s="393">
        <f>VLOOKUP($F$1,Part2,108,FALSE)</f>
        <v>1147178.7500000002</v>
      </c>
      <c r="W110" s="394"/>
      <c r="X110" s="2"/>
      <c r="Y110" s="88"/>
    </row>
    <row r="111" spans="1:25" ht="15">
      <c r="A111" s="40"/>
      <c r="B111" s="2"/>
      <c r="C111" s="44"/>
      <c r="D111" s="44"/>
      <c r="E111" s="44"/>
      <c r="F111" s="44"/>
      <c r="G111" s="44"/>
      <c r="H111" s="44"/>
      <c r="I111" s="44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2"/>
      <c r="Y111" s="88"/>
    </row>
    <row r="112" spans="1:25" ht="15.75" thickBot="1">
      <c r="A112" s="40"/>
      <c r="B112" s="2"/>
      <c r="C112" s="43" t="s">
        <v>660</v>
      </c>
      <c r="D112" s="44"/>
      <c r="E112" s="44"/>
      <c r="F112" s="44"/>
      <c r="G112" s="44"/>
      <c r="H112" s="44"/>
      <c r="I112" s="44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2"/>
      <c r="Y112" s="88"/>
    </row>
    <row r="113" spans="1:25" ht="15.75" thickBot="1">
      <c r="A113" s="40"/>
      <c r="B113" s="2"/>
      <c r="C113" s="44" t="s">
        <v>663</v>
      </c>
      <c r="D113" s="44"/>
      <c r="E113" s="44"/>
      <c r="F113" s="44"/>
      <c r="G113" s="44"/>
      <c r="H113" s="44"/>
      <c r="I113" s="44"/>
      <c r="J113" s="393">
        <f>VLOOKUP($F$1,Part2,109,FALSE)</f>
        <v>3186015.829999999</v>
      </c>
      <c r="K113" s="394"/>
      <c r="L113" s="343"/>
      <c r="M113" s="343"/>
      <c r="N113" s="393">
        <f>VLOOKUP($F$1,Part2,110,FALSE)</f>
        <v>0</v>
      </c>
      <c r="O113" s="394"/>
      <c r="P113" s="343"/>
      <c r="Q113" s="343"/>
      <c r="R113" s="393">
        <f>VLOOKUP($F$1,Part2,111,FALSE)</f>
        <v>771.2</v>
      </c>
      <c r="S113" s="394"/>
      <c r="T113" s="307"/>
      <c r="U113" s="307"/>
      <c r="V113" s="393">
        <f>VLOOKUP($F$1,Part2,112,FALSE)</f>
        <v>3186787.029999999</v>
      </c>
      <c r="W113" s="394"/>
      <c r="X113" s="2"/>
      <c r="Y113" s="88"/>
    </row>
    <row r="114" spans="1:25" ht="15">
      <c r="A114" s="40"/>
      <c r="B114" s="2"/>
      <c r="C114" s="44"/>
      <c r="D114" s="44"/>
      <c r="E114" s="44"/>
      <c r="F114" s="44"/>
      <c r="G114" s="44"/>
      <c r="H114" s="44"/>
      <c r="I114" s="44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07"/>
      <c r="U114" s="307"/>
      <c r="V114" s="307"/>
      <c r="W114" s="307"/>
      <c r="X114" s="2"/>
      <c r="Y114" s="88"/>
    </row>
    <row r="115" spans="1:25" ht="15.75" thickBot="1">
      <c r="A115" s="40"/>
      <c r="B115" s="2"/>
      <c r="C115" s="43" t="s">
        <v>638</v>
      </c>
      <c r="D115" s="44"/>
      <c r="E115" s="44"/>
      <c r="F115" s="44"/>
      <c r="G115" s="44"/>
      <c r="H115" s="44"/>
      <c r="I115" s="44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07"/>
      <c r="U115" s="307"/>
      <c r="V115" s="307"/>
      <c r="W115" s="307"/>
      <c r="X115" s="2"/>
      <c r="Y115" s="88"/>
    </row>
    <row r="116" spans="1:25" ht="15.75" thickBot="1">
      <c r="A116" s="40"/>
      <c r="B116" s="2"/>
      <c r="C116" s="44" t="s">
        <v>664</v>
      </c>
      <c r="D116" s="44"/>
      <c r="E116" s="44"/>
      <c r="F116" s="44"/>
      <c r="G116" s="44"/>
      <c r="H116" s="44"/>
      <c r="I116" s="44"/>
      <c r="J116" s="393">
        <f>VLOOKUP($F$1,Part2,113,FALSE)</f>
        <v>1624435.92</v>
      </c>
      <c r="K116" s="394"/>
      <c r="L116" s="343"/>
      <c r="M116" s="343"/>
      <c r="N116" s="393">
        <f>VLOOKUP($F$1,Part2,114,FALSE)</f>
        <v>0</v>
      </c>
      <c r="O116" s="394"/>
      <c r="P116" s="343"/>
      <c r="Q116" s="343"/>
      <c r="R116" s="393">
        <f>VLOOKUP($F$1,Part2,115,FALSE)</f>
        <v>0</v>
      </c>
      <c r="S116" s="394"/>
      <c r="T116" s="307"/>
      <c r="U116" s="307"/>
      <c r="V116" s="393">
        <f>VLOOKUP($F$1,Part2,116,FALSE)</f>
        <v>1624435.92</v>
      </c>
      <c r="W116" s="394"/>
      <c r="X116" s="2"/>
      <c r="Y116" s="88"/>
    </row>
    <row r="117" spans="1:25" ht="15">
      <c r="A117" s="40"/>
      <c r="B117" s="2"/>
      <c r="C117" s="44"/>
      <c r="D117" s="44"/>
      <c r="E117" s="44"/>
      <c r="F117" s="44"/>
      <c r="G117" s="44"/>
      <c r="H117" s="44"/>
      <c r="I117" s="44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07"/>
      <c r="U117" s="307"/>
      <c r="V117" s="307"/>
      <c r="W117" s="307"/>
      <c r="X117" s="2"/>
      <c r="Y117" s="88"/>
    </row>
    <row r="118" spans="1:25" ht="15.75" thickBot="1">
      <c r="A118" s="40"/>
      <c r="B118" s="2"/>
      <c r="C118" s="43" t="s">
        <v>662</v>
      </c>
      <c r="D118" s="44"/>
      <c r="E118" s="44"/>
      <c r="F118" s="44"/>
      <c r="G118" s="44"/>
      <c r="H118" s="44"/>
      <c r="I118" s="44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07"/>
      <c r="U118" s="307"/>
      <c r="V118" s="307"/>
      <c r="W118" s="307"/>
      <c r="X118" s="2"/>
      <c r="Y118" s="88"/>
    </row>
    <row r="119" spans="1:25" ht="15.75" thickBot="1">
      <c r="A119" s="40"/>
      <c r="B119" s="2"/>
      <c r="C119" s="44" t="s">
        <v>665</v>
      </c>
      <c r="D119" s="44"/>
      <c r="E119" s="44"/>
      <c r="F119" s="44"/>
      <c r="G119" s="44"/>
      <c r="H119" s="44"/>
      <c r="I119" s="44"/>
      <c r="J119" s="393">
        <f>VLOOKUP($F$1,Part2,117,FALSE)</f>
        <v>3838108.55</v>
      </c>
      <c r="K119" s="394"/>
      <c r="L119" s="343"/>
      <c r="M119" s="343"/>
      <c r="N119" s="393">
        <f>VLOOKUP($F$1,Part2,118,FALSE)</f>
        <v>0</v>
      </c>
      <c r="O119" s="394"/>
      <c r="P119" s="343"/>
      <c r="Q119" s="343"/>
      <c r="R119" s="393">
        <f>VLOOKUP($F$1,Part2,119,FALSE)</f>
        <v>3217414.0500000003</v>
      </c>
      <c r="S119" s="394"/>
      <c r="T119" s="307"/>
      <c r="U119" s="307"/>
      <c r="V119" s="393">
        <f>VLOOKUP($F$1,Part2,120,FALSE)</f>
        <v>7055522.600000001</v>
      </c>
      <c r="W119" s="394"/>
      <c r="X119" s="2"/>
      <c r="Y119" s="88"/>
    </row>
    <row r="120" spans="1:25" ht="15" thickBot="1">
      <c r="A120" s="40"/>
      <c r="B120" s="2"/>
      <c r="C120" s="44"/>
      <c r="D120" s="44"/>
      <c r="E120" s="44"/>
      <c r="F120" s="44"/>
      <c r="G120" s="44"/>
      <c r="H120" s="44"/>
      <c r="I120" s="44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2"/>
      <c r="Y120" s="88"/>
    </row>
    <row r="121" spans="1:25" ht="15" thickBot="1">
      <c r="A121" s="40"/>
      <c r="B121" s="4"/>
      <c r="C121" s="97"/>
      <c r="D121" s="97"/>
      <c r="E121" s="97"/>
      <c r="F121" s="97"/>
      <c r="G121" s="97"/>
      <c r="H121" s="97"/>
      <c r="I121" s="9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5"/>
      <c r="Y121" s="88"/>
    </row>
    <row r="122" spans="1:25" ht="15" thickBot="1">
      <c r="A122" s="40"/>
      <c r="B122" s="6"/>
      <c r="C122" s="44"/>
      <c r="D122" s="44"/>
      <c r="E122" s="44"/>
      <c r="F122" s="44"/>
      <c r="G122" s="44"/>
      <c r="H122" s="44"/>
      <c r="I122" s="90"/>
      <c r="J122" s="308"/>
      <c r="K122" s="308"/>
      <c r="L122" s="309"/>
      <c r="M122" s="310"/>
      <c r="N122" s="308"/>
      <c r="O122" s="308"/>
      <c r="P122" s="309"/>
      <c r="Q122" s="310"/>
      <c r="R122" s="308"/>
      <c r="S122" s="308"/>
      <c r="T122" s="309"/>
      <c r="U122" s="307"/>
      <c r="V122" s="307"/>
      <c r="W122" s="307"/>
      <c r="X122" s="8"/>
      <c r="Y122" s="88"/>
    </row>
    <row r="123" spans="1:25" ht="15.75" thickBot="1">
      <c r="A123" s="40"/>
      <c r="B123" s="6"/>
      <c r="C123" s="367" t="s">
        <v>592</v>
      </c>
      <c r="D123" s="367"/>
      <c r="E123" s="367"/>
      <c r="F123" s="367"/>
      <c r="G123" s="367"/>
      <c r="H123" s="44"/>
      <c r="I123" s="91"/>
      <c r="J123" s="393">
        <f>VLOOKUP($F$1,Part2,121,FALSE)</f>
        <v>88972892.85000002</v>
      </c>
      <c r="K123" s="394"/>
      <c r="L123" s="311"/>
      <c r="M123" s="312"/>
      <c r="N123" s="393">
        <f>VLOOKUP($F$1,Part2,122,FALSE)</f>
        <v>267994</v>
      </c>
      <c r="O123" s="394"/>
      <c r="P123" s="311"/>
      <c r="Q123" s="312"/>
      <c r="R123" s="393">
        <f>VLOOKUP($F$1,Part2,123,FALSE)</f>
        <v>3597579.9899999998</v>
      </c>
      <c r="S123" s="394"/>
      <c r="T123" s="311"/>
      <c r="U123" s="307"/>
      <c r="V123" s="307"/>
      <c r="W123" s="307"/>
      <c r="X123" s="8"/>
      <c r="Y123" s="88"/>
    </row>
    <row r="124" spans="1:25" ht="15">
      <c r="A124" s="40"/>
      <c r="B124" s="6"/>
      <c r="C124" s="367"/>
      <c r="D124" s="367"/>
      <c r="E124" s="367"/>
      <c r="F124" s="367"/>
      <c r="G124" s="367"/>
      <c r="H124" s="44"/>
      <c r="I124" s="91"/>
      <c r="J124" s="313"/>
      <c r="K124" s="307"/>
      <c r="L124" s="311"/>
      <c r="M124" s="312"/>
      <c r="N124" s="313"/>
      <c r="O124" s="307"/>
      <c r="P124" s="311"/>
      <c r="Q124" s="312"/>
      <c r="R124" s="313"/>
      <c r="S124" s="307"/>
      <c r="T124" s="311"/>
      <c r="U124" s="307"/>
      <c r="V124" s="307"/>
      <c r="W124" s="307"/>
      <c r="X124" s="8"/>
      <c r="Y124" s="88"/>
    </row>
    <row r="125" spans="1:25" ht="16.5" customHeight="1" thickBot="1">
      <c r="A125" s="40"/>
      <c r="B125" s="6"/>
      <c r="C125" s="109"/>
      <c r="D125" s="109"/>
      <c r="E125" s="109"/>
      <c r="F125" s="109"/>
      <c r="G125" s="109"/>
      <c r="H125" s="44"/>
      <c r="I125" s="91"/>
      <c r="J125" s="313"/>
      <c r="K125" s="307"/>
      <c r="L125" s="311"/>
      <c r="M125" s="312"/>
      <c r="N125" s="313"/>
      <c r="O125" s="307"/>
      <c r="P125" s="311"/>
      <c r="Q125" s="312"/>
      <c r="R125" s="313"/>
      <c r="S125" s="307"/>
      <c r="T125" s="311"/>
      <c r="U125" s="307"/>
      <c r="V125" s="307"/>
      <c r="W125" s="307"/>
      <c r="X125" s="8"/>
      <c r="Y125" s="88"/>
    </row>
    <row r="126" spans="1:25" ht="16.5" customHeight="1" thickBot="1">
      <c r="A126" s="40"/>
      <c r="B126" s="6"/>
      <c r="C126" s="367" t="s">
        <v>668</v>
      </c>
      <c r="D126" s="368"/>
      <c r="E126" s="368"/>
      <c r="F126" s="368"/>
      <c r="G126" s="368"/>
      <c r="H126" s="44"/>
      <c r="I126" s="91"/>
      <c r="J126" s="393">
        <f>VLOOKUP($F$1,Part2,124,FALSE)</f>
        <v>1405993.8900000001</v>
      </c>
      <c r="K126" s="394"/>
      <c r="L126" s="344"/>
      <c r="M126" s="345"/>
      <c r="N126" s="393">
        <f>VLOOKUP($F$1,Part2,125,FALSE)</f>
        <v>1743</v>
      </c>
      <c r="O126" s="394"/>
      <c r="P126" s="344"/>
      <c r="Q126" s="345"/>
      <c r="R126" s="393">
        <f>VLOOKUP($F$1,Part2,126,FALSE)</f>
        <v>265853</v>
      </c>
      <c r="S126" s="394"/>
      <c r="T126" s="311"/>
      <c r="U126" s="307"/>
      <c r="V126" s="307"/>
      <c r="W126" s="307"/>
      <c r="X126" s="8"/>
      <c r="Y126" s="88"/>
    </row>
    <row r="127" spans="1:25" ht="15.75" customHeight="1">
      <c r="A127" s="40"/>
      <c r="B127" s="6"/>
      <c r="C127" s="368"/>
      <c r="D127" s="368"/>
      <c r="E127" s="368"/>
      <c r="F127" s="368"/>
      <c r="G127" s="368"/>
      <c r="H127" s="44"/>
      <c r="I127" s="91"/>
      <c r="J127" s="313"/>
      <c r="K127" s="307"/>
      <c r="L127" s="311"/>
      <c r="M127" s="312"/>
      <c r="N127" s="313"/>
      <c r="O127" s="307"/>
      <c r="P127" s="311"/>
      <c r="Q127" s="312"/>
      <c r="R127" s="313"/>
      <c r="S127" s="307"/>
      <c r="T127" s="311"/>
      <c r="U127" s="307"/>
      <c r="V127" s="313"/>
      <c r="W127" s="307"/>
      <c r="X127" s="8"/>
      <c r="Y127" s="88"/>
    </row>
    <row r="128" spans="1:25" ht="15.75" thickBot="1">
      <c r="A128" s="40"/>
      <c r="B128" s="6"/>
      <c r="C128" s="109"/>
      <c r="D128" s="109"/>
      <c r="E128" s="109"/>
      <c r="F128" s="109"/>
      <c r="G128" s="109"/>
      <c r="H128" s="44"/>
      <c r="I128" s="91"/>
      <c r="J128" s="313"/>
      <c r="K128" s="307"/>
      <c r="L128" s="311"/>
      <c r="M128" s="312"/>
      <c r="N128" s="313"/>
      <c r="O128" s="307"/>
      <c r="P128" s="311"/>
      <c r="Q128" s="312"/>
      <c r="R128" s="313"/>
      <c r="S128" s="307"/>
      <c r="T128" s="311"/>
      <c r="U128" s="307"/>
      <c r="V128" s="313"/>
      <c r="W128" s="307"/>
      <c r="X128" s="8"/>
      <c r="Y128" s="88"/>
    </row>
    <row r="129" spans="1:25" ht="15.75" thickBot="1">
      <c r="A129" s="40"/>
      <c r="B129" s="6"/>
      <c r="C129" s="414" t="s">
        <v>669</v>
      </c>
      <c r="D129" s="400"/>
      <c r="E129" s="400"/>
      <c r="F129" s="400"/>
      <c r="G129" s="400"/>
      <c r="H129" s="44"/>
      <c r="I129" s="91"/>
      <c r="J129" s="393">
        <f>VLOOKUP($F$1,Part2,127,FALSE)</f>
        <v>90378886.74000002</v>
      </c>
      <c r="K129" s="394"/>
      <c r="L129" s="311"/>
      <c r="M129" s="312"/>
      <c r="N129" s="393">
        <f>VLOOKUP($F$1,Part2,128,FALSE)</f>
        <v>269737</v>
      </c>
      <c r="O129" s="394"/>
      <c r="P129" s="311"/>
      <c r="Q129" s="312"/>
      <c r="R129" s="393">
        <f>VLOOKUP($F$1,Part2,129,FALSE)</f>
        <v>3863432.9899999998</v>
      </c>
      <c r="S129" s="394"/>
      <c r="T129" s="311"/>
      <c r="U129" s="307"/>
      <c r="V129" s="393">
        <f>VLOOKUP($F$1,Part2,130,FALSE)</f>
        <v>94512056.73000002</v>
      </c>
      <c r="W129" s="394"/>
      <c r="X129" s="8"/>
      <c r="Y129" s="88"/>
    </row>
    <row r="130" spans="1:25" ht="15">
      <c r="A130" s="40"/>
      <c r="B130" s="6"/>
      <c r="C130" s="368"/>
      <c r="D130" s="368"/>
      <c r="E130" s="368"/>
      <c r="F130" s="368"/>
      <c r="G130" s="368"/>
      <c r="H130" s="44"/>
      <c r="I130" s="91"/>
      <c r="J130" s="313"/>
      <c r="K130" s="307"/>
      <c r="L130" s="311"/>
      <c r="M130" s="312"/>
      <c r="N130" s="313"/>
      <c r="O130" s="307"/>
      <c r="P130" s="311"/>
      <c r="Q130" s="312"/>
      <c r="R130" s="313"/>
      <c r="S130" s="307"/>
      <c r="T130" s="311"/>
      <c r="U130" s="307"/>
      <c r="V130" s="313"/>
      <c r="W130" s="307"/>
      <c r="X130" s="8"/>
      <c r="Y130" s="88"/>
    </row>
    <row r="131" spans="1:25" ht="15.75" thickBot="1">
      <c r="A131" s="40"/>
      <c r="B131" s="6"/>
      <c r="C131" s="43"/>
      <c r="D131" s="44"/>
      <c r="E131" s="44"/>
      <c r="F131" s="44"/>
      <c r="G131" s="44"/>
      <c r="H131" s="44"/>
      <c r="I131" s="92"/>
      <c r="J131" s="314"/>
      <c r="K131" s="315"/>
      <c r="L131" s="316"/>
      <c r="M131" s="317"/>
      <c r="N131" s="314"/>
      <c r="O131" s="315"/>
      <c r="P131" s="316"/>
      <c r="Q131" s="317"/>
      <c r="R131" s="314"/>
      <c r="S131" s="315"/>
      <c r="T131" s="316"/>
      <c r="U131" s="307"/>
      <c r="V131" s="313"/>
      <c r="W131" s="307"/>
      <c r="X131" s="8"/>
      <c r="Y131" s="88"/>
    </row>
    <row r="132" spans="1:25" ht="15">
      <c r="A132" s="40"/>
      <c r="B132" s="6"/>
      <c r="C132" s="43"/>
      <c r="D132" s="44"/>
      <c r="E132" s="44"/>
      <c r="F132" s="44"/>
      <c r="G132" s="44"/>
      <c r="H132" s="44"/>
      <c r="I132" s="44"/>
      <c r="J132" s="307"/>
      <c r="K132" s="307"/>
      <c r="L132" s="307"/>
      <c r="M132" s="307"/>
      <c r="N132" s="313"/>
      <c r="O132" s="307"/>
      <c r="P132" s="307"/>
      <c r="Q132" s="307"/>
      <c r="R132" s="307"/>
      <c r="S132" s="307"/>
      <c r="T132" s="307"/>
      <c r="U132" s="307"/>
      <c r="V132" s="313"/>
      <c r="W132" s="307"/>
      <c r="X132" s="8"/>
      <c r="Y132" s="88"/>
    </row>
    <row r="133" spans="1:25" ht="15.75" thickBot="1">
      <c r="A133" s="40"/>
      <c r="B133" s="6"/>
      <c r="C133" s="43"/>
      <c r="D133" s="44"/>
      <c r="E133" s="44"/>
      <c r="F133" s="44"/>
      <c r="G133" s="44"/>
      <c r="H133" s="44"/>
      <c r="I133" s="44"/>
      <c r="J133" s="307" t="s">
        <v>667</v>
      </c>
      <c r="K133" s="307"/>
      <c r="L133" s="307"/>
      <c r="M133" s="307"/>
      <c r="N133" s="307"/>
      <c r="O133" s="307"/>
      <c r="P133" s="307"/>
      <c r="Q133" s="307"/>
      <c r="R133" s="307" t="s">
        <v>667</v>
      </c>
      <c r="S133" s="307"/>
      <c r="T133" s="307"/>
      <c r="U133" s="307"/>
      <c r="V133" s="313"/>
      <c r="W133" s="307"/>
      <c r="X133" s="8"/>
      <c r="Y133" s="88"/>
    </row>
    <row r="134" spans="1:25" ht="15.75" thickBot="1">
      <c r="A134" s="40"/>
      <c r="B134" s="6"/>
      <c r="C134" s="99" t="s">
        <v>587</v>
      </c>
      <c r="D134" s="44"/>
      <c r="E134" s="44"/>
      <c r="F134" s="44"/>
      <c r="G134" s="44"/>
      <c r="H134" s="44"/>
      <c r="I134" s="44"/>
      <c r="J134" s="343"/>
      <c r="K134" s="343"/>
      <c r="L134" s="343"/>
      <c r="M134" s="343"/>
      <c r="N134" s="343"/>
      <c r="O134" s="343"/>
      <c r="P134" s="343"/>
      <c r="Q134" s="307"/>
      <c r="R134" s="393">
        <f>VLOOKUP($F$1,Part2,131,FALSE)</f>
        <v>5492354</v>
      </c>
      <c r="S134" s="394"/>
      <c r="T134" s="307"/>
      <c r="U134" s="307"/>
      <c r="V134" s="307"/>
      <c r="W134" s="307"/>
      <c r="X134" s="8"/>
      <c r="Y134" s="88"/>
    </row>
    <row r="135" spans="1:25" ht="15" thickBot="1">
      <c r="A135" s="40"/>
      <c r="B135" s="6"/>
      <c r="C135" s="44"/>
      <c r="D135" s="44"/>
      <c r="E135" s="44"/>
      <c r="F135" s="44"/>
      <c r="G135" s="44"/>
      <c r="H135" s="113"/>
      <c r="I135" s="113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8"/>
      <c r="Y135" s="88"/>
    </row>
    <row r="136" spans="1:25" ht="15.75" thickBot="1">
      <c r="A136" s="40"/>
      <c r="B136" s="6"/>
      <c r="C136" s="99" t="s">
        <v>588</v>
      </c>
      <c r="D136" s="44"/>
      <c r="E136" s="44"/>
      <c r="F136" s="44"/>
      <c r="G136" s="44"/>
      <c r="H136" s="44"/>
      <c r="I136" s="44"/>
      <c r="J136" s="393">
        <f>VLOOKUP($F$1,Part2,132,FALSE)</f>
        <v>953610</v>
      </c>
      <c r="K136" s="394"/>
      <c r="L136" s="343"/>
      <c r="M136" s="343"/>
      <c r="N136" s="343"/>
      <c r="O136" s="343"/>
      <c r="P136" s="307"/>
      <c r="Q136" s="307"/>
      <c r="R136" s="307"/>
      <c r="S136" s="307"/>
      <c r="T136" s="307"/>
      <c r="U136" s="307"/>
      <c r="V136" s="307"/>
      <c r="W136" s="307"/>
      <c r="X136" s="8"/>
      <c r="Y136" s="88"/>
    </row>
    <row r="137" spans="1:25" ht="15">
      <c r="A137" s="40"/>
      <c r="B137" s="6"/>
      <c r="C137" s="44"/>
      <c r="D137" s="44"/>
      <c r="E137" s="44"/>
      <c r="F137" s="44"/>
      <c r="G137" s="44"/>
      <c r="H137" s="44"/>
      <c r="I137" s="44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8"/>
      <c r="Y137" s="88"/>
    </row>
    <row r="138" spans="1:25" ht="15" thickBot="1">
      <c r="A138" s="40"/>
      <c r="B138" s="10"/>
      <c r="C138" s="98"/>
      <c r="D138" s="98"/>
      <c r="E138" s="98"/>
      <c r="F138" s="98"/>
      <c r="G138" s="98"/>
      <c r="H138" s="98"/>
      <c r="I138" s="98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9"/>
      <c r="Y138" s="88"/>
    </row>
    <row r="139" spans="1:25" ht="15" thickBot="1">
      <c r="A139" s="41"/>
      <c r="B139" s="42"/>
      <c r="C139" s="140"/>
      <c r="D139" s="140"/>
      <c r="E139" s="140"/>
      <c r="F139" s="140"/>
      <c r="G139" s="140"/>
      <c r="H139" s="140"/>
      <c r="I139" s="140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42"/>
      <c r="Y139" s="89"/>
    </row>
    <row r="140" spans="1:25" ht="15">
      <c r="A140" s="85"/>
      <c r="B140" s="86"/>
      <c r="C140" s="231" t="s">
        <v>833</v>
      </c>
      <c r="D140" s="208"/>
      <c r="E140" s="208"/>
      <c r="F140" s="208"/>
      <c r="G140" s="208"/>
      <c r="H140" s="208"/>
      <c r="I140" s="208"/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86"/>
      <c r="Y140" s="87"/>
    </row>
    <row r="141" spans="1:25" ht="15.75" thickBot="1">
      <c r="A141" s="40"/>
      <c r="B141" s="2"/>
      <c r="C141" s="43" t="s">
        <v>599</v>
      </c>
      <c r="D141" s="44"/>
      <c r="E141" s="44"/>
      <c r="F141" s="44"/>
      <c r="G141" s="44"/>
      <c r="H141" s="44"/>
      <c r="I141" s="44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2"/>
      <c r="Y141" s="88"/>
    </row>
    <row r="142" spans="1:25" ht="15.75" thickBot="1">
      <c r="A142" s="40"/>
      <c r="B142" s="2"/>
      <c r="C142" s="44" t="s">
        <v>600</v>
      </c>
      <c r="D142" s="44"/>
      <c r="E142" s="44"/>
      <c r="F142" s="44"/>
      <c r="G142" s="44"/>
      <c r="H142" s="44"/>
      <c r="I142" s="44"/>
      <c r="J142" s="393">
        <f>VLOOKUP($F$1,Part2,133,FALSE)</f>
        <v>22373336.490000002</v>
      </c>
      <c r="K142" s="394"/>
      <c r="L142" s="307"/>
      <c r="M142" s="307"/>
      <c r="N142" s="393">
        <f>VLOOKUP($F$1,Part2,134,FALSE)</f>
        <v>639275</v>
      </c>
      <c r="O142" s="394"/>
      <c r="P142" s="307"/>
      <c r="Q142" s="307"/>
      <c r="R142" s="393">
        <f>VLOOKUP($F$1,Part2,135,FALSE)</f>
        <v>7500</v>
      </c>
      <c r="S142" s="394"/>
      <c r="T142" s="307"/>
      <c r="U142" s="307"/>
      <c r="V142" s="393">
        <f>VLOOKUP($F$1,Part2,136,FALSE)</f>
        <v>23020111.490000002</v>
      </c>
      <c r="W142" s="394"/>
      <c r="X142" s="2"/>
      <c r="Y142" s="88"/>
    </row>
    <row r="143" spans="1:25" ht="15">
      <c r="A143" s="40"/>
      <c r="B143" s="2"/>
      <c r="C143" s="43"/>
      <c r="D143" s="44"/>
      <c r="E143" s="44"/>
      <c r="F143" s="44"/>
      <c r="G143" s="44"/>
      <c r="H143" s="44"/>
      <c r="I143" s="44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2"/>
      <c r="Y143" s="88"/>
    </row>
    <row r="144" spans="1:25" ht="15.75" thickBot="1">
      <c r="A144" s="40"/>
      <c r="B144" s="2"/>
      <c r="C144" s="43" t="s">
        <v>602</v>
      </c>
      <c r="D144" s="44"/>
      <c r="E144" s="44"/>
      <c r="F144" s="44"/>
      <c r="G144" s="44"/>
      <c r="H144" s="44"/>
      <c r="I144" s="44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2"/>
      <c r="Y144" s="88"/>
    </row>
    <row r="145" spans="1:25" ht="15.75" thickBot="1">
      <c r="A145" s="40"/>
      <c r="B145" s="2"/>
      <c r="C145" s="44" t="s">
        <v>601</v>
      </c>
      <c r="D145" s="44"/>
      <c r="E145" s="44"/>
      <c r="F145" s="44"/>
      <c r="G145" s="44"/>
      <c r="H145" s="44"/>
      <c r="I145" s="44"/>
      <c r="J145" s="393">
        <f>VLOOKUP($F$1,Part2,137,FALSE)</f>
        <v>51137487.70999999</v>
      </c>
      <c r="K145" s="394"/>
      <c r="L145" s="307"/>
      <c r="M145" s="307"/>
      <c r="N145" s="393">
        <f>VLOOKUP($F$1,Part2,138,FALSE)</f>
        <v>85883</v>
      </c>
      <c r="O145" s="394"/>
      <c r="P145" s="307"/>
      <c r="Q145" s="307"/>
      <c r="R145" s="393">
        <f>VLOOKUP($F$1,Part2,139,FALSE)</f>
        <v>210362</v>
      </c>
      <c r="S145" s="394"/>
      <c r="T145" s="307"/>
      <c r="U145" s="307"/>
      <c r="V145" s="393">
        <f>VLOOKUP($F$1,Part2,140,FALSE)</f>
        <v>51433732.70999999</v>
      </c>
      <c r="W145" s="394"/>
      <c r="X145" s="2"/>
      <c r="Y145" s="88"/>
    </row>
    <row r="146" spans="1:25" ht="15">
      <c r="A146" s="40"/>
      <c r="B146" s="2"/>
      <c r="C146" s="44"/>
      <c r="D146" s="44"/>
      <c r="E146" s="44"/>
      <c r="F146" s="44"/>
      <c r="G146" s="44"/>
      <c r="H146" s="44"/>
      <c r="I146" s="44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2"/>
      <c r="Y146" s="88"/>
    </row>
    <row r="147" spans="1:25" ht="15.75" thickBot="1">
      <c r="A147" s="40"/>
      <c r="B147" s="2"/>
      <c r="C147" s="43" t="s">
        <v>603</v>
      </c>
      <c r="D147" s="44"/>
      <c r="E147" s="44"/>
      <c r="F147" s="44"/>
      <c r="G147" s="44"/>
      <c r="H147" s="44"/>
      <c r="I147" s="44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07"/>
      <c r="U147" s="307"/>
      <c r="V147" s="307"/>
      <c r="W147" s="307"/>
      <c r="X147" s="2"/>
      <c r="Y147" s="88"/>
    </row>
    <row r="148" spans="1:25" ht="15.75" thickBot="1">
      <c r="A148" s="40"/>
      <c r="B148" s="2"/>
      <c r="C148" s="44" t="s">
        <v>604</v>
      </c>
      <c r="D148" s="44"/>
      <c r="E148" s="44"/>
      <c r="F148" s="44"/>
      <c r="G148" s="44"/>
      <c r="H148" s="44"/>
      <c r="I148" s="44"/>
      <c r="J148" s="393">
        <f>VLOOKUP($F$1,Part2,141,FALSE)</f>
        <v>271698646.01</v>
      </c>
      <c r="K148" s="394"/>
      <c r="L148" s="343"/>
      <c r="M148" s="343"/>
      <c r="N148" s="393">
        <f>VLOOKUP($F$1,Part2,142,FALSE)</f>
        <v>154352</v>
      </c>
      <c r="O148" s="394"/>
      <c r="P148" s="343"/>
      <c r="Q148" s="343"/>
      <c r="R148" s="393">
        <f>VLOOKUP($F$1,Part2,143,FALSE)</f>
        <v>245417</v>
      </c>
      <c r="S148" s="394"/>
      <c r="T148" s="307"/>
      <c r="U148" s="307"/>
      <c r="V148" s="393">
        <f>VLOOKUP($F$1,Part2,144,FALSE)</f>
        <v>272098415.01</v>
      </c>
      <c r="W148" s="394"/>
      <c r="X148" s="2"/>
      <c r="Y148" s="88"/>
    </row>
    <row r="149" spans="1:25" ht="15">
      <c r="A149" s="40"/>
      <c r="B149" s="2"/>
      <c r="C149" s="44"/>
      <c r="D149" s="44"/>
      <c r="E149" s="44"/>
      <c r="F149" s="44"/>
      <c r="G149" s="44"/>
      <c r="H149" s="44"/>
      <c r="I149" s="44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2"/>
      <c r="Y149" s="88"/>
    </row>
    <row r="150" spans="1:25" ht="15" thickBot="1">
      <c r="A150" s="40"/>
      <c r="B150" s="2"/>
      <c r="C150" s="44"/>
      <c r="D150" s="44"/>
      <c r="E150" s="44"/>
      <c r="F150" s="44"/>
      <c r="G150" s="44"/>
      <c r="H150" s="44"/>
      <c r="I150" s="44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2"/>
      <c r="Y150" s="88"/>
    </row>
    <row r="151" spans="1:25" ht="15.75" thickBot="1">
      <c r="A151" s="40"/>
      <c r="B151" s="4"/>
      <c r="C151" s="97"/>
      <c r="D151" s="97"/>
      <c r="E151" s="97"/>
      <c r="F151" s="97"/>
      <c r="G151" s="97"/>
      <c r="H151" s="97"/>
      <c r="I151" s="97"/>
      <c r="J151" s="326"/>
      <c r="K151" s="327"/>
      <c r="L151" s="327"/>
      <c r="M151" s="327"/>
      <c r="N151" s="326"/>
      <c r="O151" s="327"/>
      <c r="P151" s="327"/>
      <c r="Q151" s="327"/>
      <c r="R151" s="326"/>
      <c r="S151" s="327"/>
      <c r="T151" s="327"/>
      <c r="U151" s="327"/>
      <c r="V151" s="326"/>
      <c r="W151" s="327"/>
      <c r="X151" s="5"/>
      <c r="Y151" s="88"/>
    </row>
    <row r="152" spans="1:25" ht="15.75" thickBot="1">
      <c r="A152" s="40"/>
      <c r="B152" s="6"/>
      <c r="C152" s="367" t="s">
        <v>593</v>
      </c>
      <c r="D152" s="367"/>
      <c r="E152" s="367"/>
      <c r="F152" s="367"/>
      <c r="G152" s="367"/>
      <c r="H152" s="44"/>
      <c r="I152" s="44"/>
      <c r="J152" s="393">
        <f>VLOOKUP($F$1,Part2,145,FALSE)</f>
        <v>345209470.2099999</v>
      </c>
      <c r="K152" s="394"/>
      <c r="L152" s="307"/>
      <c r="M152" s="307"/>
      <c r="N152" s="393">
        <f>VLOOKUP($F$1,Part2,146,FALSE)</f>
        <v>879510</v>
      </c>
      <c r="O152" s="394"/>
      <c r="P152" s="307"/>
      <c r="Q152" s="307"/>
      <c r="R152" s="393">
        <f>VLOOKUP($F$1,Part2,147,FALSE)</f>
        <v>463279</v>
      </c>
      <c r="S152" s="394"/>
      <c r="T152" s="307"/>
      <c r="U152" s="307"/>
      <c r="V152" s="307"/>
      <c r="W152" s="307"/>
      <c r="X152" s="8"/>
      <c r="Y152" s="88"/>
    </row>
    <row r="153" spans="1:25" ht="15">
      <c r="A153" s="40"/>
      <c r="B153" s="6"/>
      <c r="C153" s="367"/>
      <c r="D153" s="367"/>
      <c r="E153" s="367"/>
      <c r="F153" s="367"/>
      <c r="G153" s="367"/>
      <c r="H153" s="44"/>
      <c r="I153" s="44"/>
      <c r="J153" s="313"/>
      <c r="K153" s="307"/>
      <c r="L153" s="307"/>
      <c r="M153" s="307"/>
      <c r="N153" s="313"/>
      <c r="O153" s="307"/>
      <c r="P153" s="307"/>
      <c r="Q153" s="307"/>
      <c r="R153" s="313"/>
      <c r="S153" s="307"/>
      <c r="T153" s="307"/>
      <c r="U153" s="307"/>
      <c r="V153" s="307"/>
      <c r="W153" s="307"/>
      <c r="X153" s="8"/>
      <c r="Y153" s="88"/>
    </row>
    <row r="154" spans="1:25" ht="15">
      <c r="A154" s="40"/>
      <c r="B154" s="6"/>
      <c r="C154" s="368"/>
      <c r="D154" s="400"/>
      <c r="E154" s="400"/>
      <c r="F154" s="400"/>
      <c r="G154" s="400"/>
      <c r="H154" s="44"/>
      <c r="I154" s="44"/>
      <c r="J154" s="313"/>
      <c r="K154" s="307"/>
      <c r="L154" s="307"/>
      <c r="M154" s="307"/>
      <c r="N154" s="313"/>
      <c r="O154" s="307"/>
      <c r="P154" s="307"/>
      <c r="Q154" s="307"/>
      <c r="R154" s="313"/>
      <c r="S154" s="307"/>
      <c r="T154" s="307"/>
      <c r="U154" s="307"/>
      <c r="V154" s="307"/>
      <c r="W154" s="307"/>
      <c r="X154" s="8"/>
      <c r="Y154" s="88"/>
    </row>
    <row r="155" spans="1:25" ht="15.75" thickBot="1">
      <c r="A155" s="40"/>
      <c r="B155" s="6"/>
      <c r="C155" s="109"/>
      <c r="D155" s="109"/>
      <c r="E155" s="109"/>
      <c r="F155" s="109"/>
      <c r="G155" s="109"/>
      <c r="H155" s="44"/>
      <c r="I155" s="44"/>
      <c r="J155" s="313"/>
      <c r="K155" s="307"/>
      <c r="L155" s="307"/>
      <c r="M155" s="307"/>
      <c r="N155" s="313"/>
      <c r="O155" s="307"/>
      <c r="P155" s="307"/>
      <c r="Q155" s="307"/>
      <c r="R155" s="313"/>
      <c r="S155" s="307"/>
      <c r="T155" s="307"/>
      <c r="U155" s="307"/>
      <c r="V155" s="307"/>
      <c r="W155" s="307"/>
      <c r="X155" s="8"/>
      <c r="Y155" s="88"/>
    </row>
    <row r="156" spans="1:25" ht="15.75" thickBot="1">
      <c r="A156" s="40"/>
      <c r="B156" s="6"/>
      <c r="C156" s="367" t="s">
        <v>611</v>
      </c>
      <c r="D156" s="368"/>
      <c r="E156" s="368"/>
      <c r="F156" s="368"/>
      <c r="G156" s="368"/>
      <c r="H156" s="44"/>
      <c r="I156" s="44"/>
      <c r="J156" s="393">
        <f>VLOOKUP($F$1,Part2,148,FALSE)</f>
        <v>287865.39</v>
      </c>
      <c r="K156" s="394"/>
      <c r="L156" s="307"/>
      <c r="M156" s="307"/>
      <c r="N156" s="393">
        <f>VLOOKUP($F$1,Part2,149,FALSE)</f>
        <v>41281</v>
      </c>
      <c r="O156" s="394"/>
      <c r="P156" s="307"/>
      <c r="Q156" s="307"/>
      <c r="R156" s="393">
        <f>VLOOKUP($F$1,Part2,150,FALSE)</f>
        <v>0</v>
      </c>
      <c r="S156" s="394"/>
      <c r="T156" s="307"/>
      <c r="U156" s="307"/>
      <c r="V156" s="307"/>
      <c r="W156" s="307"/>
      <c r="X156" s="8"/>
      <c r="Y156" s="88"/>
    </row>
    <row r="157" spans="1:25" ht="15">
      <c r="A157" s="40"/>
      <c r="B157" s="6"/>
      <c r="C157" s="368"/>
      <c r="D157" s="368"/>
      <c r="E157" s="368"/>
      <c r="F157" s="368"/>
      <c r="G157" s="368"/>
      <c r="H157" s="44"/>
      <c r="I157" s="44"/>
      <c r="J157" s="313"/>
      <c r="K157" s="307"/>
      <c r="L157" s="307"/>
      <c r="M157" s="307"/>
      <c r="N157" s="313"/>
      <c r="O157" s="307"/>
      <c r="P157" s="307"/>
      <c r="Q157" s="307"/>
      <c r="R157" s="313"/>
      <c r="S157" s="307"/>
      <c r="T157" s="307"/>
      <c r="U157" s="307"/>
      <c r="V157" s="313"/>
      <c r="W157" s="307"/>
      <c r="X157" s="8"/>
      <c r="Y157" s="88"/>
    </row>
    <row r="158" spans="1:25" ht="15.75" thickBot="1">
      <c r="A158" s="40"/>
      <c r="B158" s="6"/>
      <c r="C158" s="109"/>
      <c r="D158" s="109"/>
      <c r="E158" s="109"/>
      <c r="F158" s="109"/>
      <c r="G158" s="109"/>
      <c r="H158" s="44"/>
      <c r="I158" s="44"/>
      <c r="J158" s="313"/>
      <c r="K158" s="307"/>
      <c r="L158" s="307"/>
      <c r="M158" s="307"/>
      <c r="N158" s="313"/>
      <c r="O158" s="307"/>
      <c r="P158" s="307"/>
      <c r="Q158" s="307"/>
      <c r="R158" s="313"/>
      <c r="S158" s="307"/>
      <c r="T158" s="307"/>
      <c r="U158" s="307"/>
      <c r="V158" s="313"/>
      <c r="W158" s="307"/>
      <c r="X158" s="8"/>
      <c r="Y158" s="88"/>
    </row>
    <row r="159" spans="1:25" ht="16.5" customHeight="1" thickBot="1">
      <c r="A159" s="40"/>
      <c r="B159" s="6"/>
      <c r="C159" s="419" t="s">
        <v>607</v>
      </c>
      <c r="D159" s="419"/>
      <c r="E159" s="419"/>
      <c r="F159" s="419"/>
      <c r="G159" s="419"/>
      <c r="H159" s="44"/>
      <c r="I159" s="44"/>
      <c r="J159" s="393">
        <f>VLOOKUP($F$1,Part2,151,FALSE)</f>
        <v>345497335.5999999</v>
      </c>
      <c r="K159" s="394"/>
      <c r="L159" s="307"/>
      <c r="M159" s="307"/>
      <c r="N159" s="393">
        <f>VLOOKUP($F$1,Part2,152,FALSE)</f>
        <v>920791</v>
      </c>
      <c r="O159" s="394"/>
      <c r="P159" s="307"/>
      <c r="Q159" s="307"/>
      <c r="R159" s="393">
        <f>VLOOKUP($F$1,Part2,153,FALSE)</f>
        <v>463279</v>
      </c>
      <c r="S159" s="394"/>
      <c r="T159" s="307"/>
      <c r="U159" s="307"/>
      <c r="V159" s="393">
        <f>VLOOKUP($F$1,Part2,154,FALSE)</f>
        <v>346881405.5999999</v>
      </c>
      <c r="W159" s="394"/>
      <c r="X159" s="8"/>
      <c r="Y159" s="88"/>
    </row>
    <row r="160" spans="1:25" ht="15">
      <c r="A160" s="40"/>
      <c r="B160" s="6"/>
      <c r="C160" s="420"/>
      <c r="D160" s="421"/>
      <c r="E160" s="421"/>
      <c r="F160" s="421"/>
      <c r="G160" s="421"/>
      <c r="H160" s="44"/>
      <c r="I160" s="44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8"/>
      <c r="Y160" s="88"/>
    </row>
    <row r="161" spans="1:25" ht="15">
      <c r="A161" s="40"/>
      <c r="B161" s="6"/>
      <c r="C161" s="413"/>
      <c r="D161" s="413"/>
      <c r="E161" s="413"/>
      <c r="F161" s="413"/>
      <c r="G161" s="413"/>
      <c r="H161" s="44"/>
      <c r="I161" s="44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8"/>
      <c r="Y161" s="88"/>
    </row>
    <row r="162" spans="1:25" ht="15.75" thickBot="1">
      <c r="A162" s="40"/>
      <c r="B162" s="10"/>
      <c r="C162" s="98"/>
      <c r="D162" s="98"/>
      <c r="E162" s="98"/>
      <c r="F162" s="98"/>
      <c r="G162" s="98"/>
      <c r="H162" s="98"/>
      <c r="I162" s="98"/>
      <c r="J162" s="339"/>
      <c r="K162" s="340"/>
      <c r="L162" s="340"/>
      <c r="M162" s="340"/>
      <c r="N162" s="339"/>
      <c r="O162" s="340"/>
      <c r="P162" s="340"/>
      <c r="Q162" s="340"/>
      <c r="R162" s="339"/>
      <c r="S162" s="340"/>
      <c r="T162" s="340"/>
      <c r="U162" s="340"/>
      <c r="V162" s="339"/>
      <c r="W162" s="340"/>
      <c r="X162" s="9"/>
      <c r="Y162" s="88"/>
    </row>
    <row r="163" spans="1:25" ht="15" thickBot="1">
      <c r="A163" s="40"/>
      <c r="B163" s="2"/>
      <c r="C163" s="44"/>
      <c r="D163" s="44"/>
      <c r="E163" s="44"/>
      <c r="F163" s="44"/>
      <c r="G163" s="44"/>
      <c r="H163" s="44"/>
      <c r="I163" s="44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2"/>
      <c r="Y163" s="88"/>
    </row>
    <row r="164" spans="1:25" ht="15">
      <c r="A164" s="40"/>
      <c r="B164" s="47"/>
      <c r="C164" s="48"/>
      <c r="D164" s="48"/>
      <c r="E164" s="48"/>
      <c r="F164" s="48"/>
      <c r="G164" s="48"/>
      <c r="H164" s="48"/>
      <c r="I164" s="48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  <c r="V164" s="347"/>
      <c r="W164" s="347"/>
      <c r="X164" s="102"/>
      <c r="Y164" s="88"/>
    </row>
    <row r="165" spans="1:25" ht="15">
      <c r="A165" s="40"/>
      <c r="B165" s="50"/>
      <c r="C165" s="51" t="s">
        <v>649</v>
      </c>
      <c r="D165" s="52"/>
      <c r="E165" s="52"/>
      <c r="F165" s="52"/>
      <c r="G165" s="52"/>
      <c r="H165" s="52"/>
      <c r="I165" s="52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103"/>
      <c r="Y165" s="88"/>
    </row>
    <row r="166" spans="1:25" ht="15.75" thickBot="1">
      <c r="A166" s="40"/>
      <c r="B166" s="50"/>
      <c r="C166" s="52"/>
      <c r="D166" s="52"/>
      <c r="E166" s="52"/>
      <c r="F166" s="52"/>
      <c r="G166" s="52"/>
      <c r="H166" s="52"/>
      <c r="I166" s="52"/>
      <c r="J166" s="409" t="s">
        <v>624</v>
      </c>
      <c r="K166" s="409"/>
      <c r="L166" s="348"/>
      <c r="M166" s="348"/>
      <c r="N166" s="408" t="s">
        <v>624</v>
      </c>
      <c r="O166" s="408"/>
      <c r="P166" s="348"/>
      <c r="Q166" s="348"/>
      <c r="R166" s="408" t="s">
        <v>624</v>
      </c>
      <c r="S166" s="408"/>
      <c r="T166" s="348"/>
      <c r="U166" s="348"/>
      <c r="V166" s="408" t="s">
        <v>624</v>
      </c>
      <c r="W166" s="408"/>
      <c r="X166" s="103"/>
      <c r="Y166" s="88"/>
    </row>
    <row r="167" spans="1:25" ht="15.75" thickBot="1">
      <c r="A167" s="40"/>
      <c r="B167" s="50"/>
      <c r="C167" s="418" t="s">
        <v>606</v>
      </c>
      <c r="D167" s="418"/>
      <c r="E167" s="418"/>
      <c r="F167" s="418"/>
      <c r="G167" s="418"/>
      <c r="H167" s="406"/>
      <c r="I167" s="52"/>
      <c r="J167" s="393">
        <f>VLOOKUP($F$1,Part2,155,FALSE)</f>
        <v>23216355921.65</v>
      </c>
      <c r="K167" s="394"/>
      <c r="L167" s="348"/>
      <c r="M167" s="348"/>
      <c r="N167" s="393">
        <f>VLOOKUP($F$1,Part2,156,FALSE)</f>
        <v>37191502</v>
      </c>
      <c r="O167" s="394"/>
      <c r="P167" s="348"/>
      <c r="Q167" s="348"/>
      <c r="R167" s="393">
        <f>VLOOKUP($F$1,Part2,157,FALSE)</f>
        <v>86202317.14</v>
      </c>
      <c r="S167" s="394"/>
      <c r="T167" s="348"/>
      <c r="U167" s="348"/>
      <c r="V167" s="393">
        <f>VLOOKUP($F$1,Part2,158,FALSE)</f>
        <v>23339749740.249996</v>
      </c>
      <c r="W167" s="394"/>
      <c r="X167" s="103"/>
      <c r="Y167" s="88"/>
    </row>
    <row r="168" spans="1:25" ht="15.75" customHeight="1">
      <c r="A168" s="40"/>
      <c r="B168" s="50"/>
      <c r="C168" s="418"/>
      <c r="D168" s="418"/>
      <c r="E168" s="418"/>
      <c r="F168" s="418"/>
      <c r="G168" s="418"/>
      <c r="H168" s="406"/>
      <c r="I168" s="52"/>
      <c r="J168" s="119"/>
      <c r="K168" s="118"/>
      <c r="L168" s="118"/>
      <c r="M168" s="118"/>
      <c r="N168" s="119"/>
      <c r="O168" s="118"/>
      <c r="P168" s="118"/>
      <c r="Q168" s="118"/>
      <c r="R168" s="119"/>
      <c r="S168" s="118"/>
      <c r="T168" s="118"/>
      <c r="U168" s="118"/>
      <c r="V168" s="119"/>
      <c r="W168" s="118"/>
      <c r="X168" s="103"/>
      <c r="Y168" s="88"/>
    </row>
    <row r="169" spans="1:25" ht="15">
      <c r="A169" s="40"/>
      <c r="B169" s="50"/>
      <c r="C169" s="413"/>
      <c r="D169" s="413"/>
      <c r="E169" s="413"/>
      <c r="F169" s="413"/>
      <c r="G169" s="413"/>
      <c r="H169" s="413"/>
      <c r="I169" s="52"/>
      <c r="J169" s="422"/>
      <c r="K169" s="423"/>
      <c r="L169" s="46"/>
      <c r="M169" s="46"/>
      <c r="N169" s="100"/>
      <c r="O169" s="46"/>
      <c r="P169" s="46"/>
      <c r="Q169" s="46"/>
      <c r="R169" s="100"/>
      <c r="S169" s="46"/>
      <c r="T169" s="46"/>
      <c r="U169" s="52"/>
      <c r="V169" s="100"/>
      <c r="W169" s="46"/>
      <c r="X169" s="103"/>
      <c r="Y169" s="88"/>
    </row>
    <row r="170" spans="1:25" ht="15" thickBot="1">
      <c r="A170" s="40"/>
      <c r="B170" s="54"/>
      <c r="C170" s="104"/>
      <c r="D170" s="104"/>
      <c r="E170" s="104"/>
      <c r="F170" s="104"/>
      <c r="G170" s="104"/>
      <c r="H170" s="104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105"/>
      <c r="Y170" s="88"/>
    </row>
    <row r="171" spans="1:25" ht="25.5" customHeight="1" thickBot="1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89"/>
    </row>
  </sheetData>
  <sheetProtection/>
  <mergeCells count="198">
    <mergeCell ref="C167:H169"/>
    <mergeCell ref="C159:G161"/>
    <mergeCell ref="J159:K159"/>
    <mergeCell ref="C156:G157"/>
    <mergeCell ref="J156:K156"/>
    <mergeCell ref="N156:O156"/>
    <mergeCell ref="J169:K169"/>
    <mergeCell ref="N159:O159"/>
    <mergeCell ref="R159:S159"/>
    <mergeCell ref="N145:O145"/>
    <mergeCell ref="R145:S145"/>
    <mergeCell ref="A5:Y5"/>
    <mergeCell ref="C152:G154"/>
    <mergeCell ref="R156:S156"/>
    <mergeCell ref="J167:K167"/>
    <mergeCell ref="N167:O167"/>
    <mergeCell ref="V145:W145"/>
    <mergeCell ref="J148:K148"/>
    <mergeCell ref="N148:O148"/>
    <mergeCell ref="R148:S148"/>
    <mergeCell ref="V148:W148"/>
    <mergeCell ref="J152:K152"/>
    <mergeCell ref="N152:O152"/>
    <mergeCell ref="R152:S152"/>
    <mergeCell ref="R134:S134"/>
    <mergeCell ref="R129:S129"/>
    <mergeCell ref="J129:K129"/>
    <mergeCell ref="J67:K67"/>
    <mergeCell ref="J145:K145"/>
    <mergeCell ref="J126:K126"/>
    <mergeCell ref="J136:K136"/>
    <mergeCell ref="J142:K142"/>
    <mergeCell ref="C123:G124"/>
    <mergeCell ref="J85:K85"/>
    <mergeCell ref="J95:K95"/>
    <mergeCell ref="J119:K119"/>
    <mergeCell ref="J107:K107"/>
    <mergeCell ref="C92:G93"/>
    <mergeCell ref="C98:G99"/>
    <mergeCell ref="C95:G96"/>
    <mergeCell ref="J123:K123"/>
    <mergeCell ref="C126:G127"/>
    <mergeCell ref="N142:O142"/>
    <mergeCell ref="N77:O77"/>
    <mergeCell ref="J110:K110"/>
    <mergeCell ref="J88:K88"/>
    <mergeCell ref="J104:K104"/>
    <mergeCell ref="C77:G78"/>
    <mergeCell ref="J77:K77"/>
    <mergeCell ref="C129:G130"/>
    <mergeCell ref="N110:O110"/>
    <mergeCell ref="A3:Y3"/>
    <mergeCell ref="A4:Y4"/>
    <mergeCell ref="C55:G56"/>
    <mergeCell ref="C74:G75"/>
    <mergeCell ref="N74:O74"/>
    <mergeCell ref="C52:G53"/>
    <mergeCell ref="C71:G72"/>
    <mergeCell ref="N55:O55"/>
    <mergeCell ref="N67:O67"/>
    <mergeCell ref="J74:K74"/>
    <mergeCell ref="J35:K35"/>
    <mergeCell ref="N33:O33"/>
    <mergeCell ref="R167:S167"/>
    <mergeCell ref="V166:W166"/>
    <mergeCell ref="J166:K166"/>
    <mergeCell ref="N166:O166"/>
    <mergeCell ref="R166:S166"/>
    <mergeCell ref="R126:S126"/>
    <mergeCell ref="R142:S142"/>
    <mergeCell ref="N58:O58"/>
    <mergeCell ref="C35:G37"/>
    <mergeCell ref="J30:K30"/>
    <mergeCell ref="N50:O50"/>
    <mergeCell ref="R52:S52"/>
    <mergeCell ref="R39:S39"/>
    <mergeCell ref="N30:O30"/>
    <mergeCell ref="N35:O35"/>
    <mergeCell ref="R33:S33"/>
    <mergeCell ref="N39:O39"/>
    <mergeCell ref="R35:S35"/>
    <mergeCell ref="V167:W167"/>
    <mergeCell ref="R88:S88"/>
    <mergeCell ref="R104:S104"/>
    <mergeCell ref="R85:S85"/>
    <mergeCell ref="R123:S123"/>
    <mergeCell ref="R119:S119"/>
    <mergeCell ref="V85:W85"/>
    <mergeCell ref="V107:W107"/>
    <mergeCell ref="R110:S110"/>
    <mergeCell ref="V159:W159"/>
    <mergeCell ref="V142:W142"/>
    <mergeCell ref="R74:S74"/>
    <mergeCell ref="R71:S71"/>
    <mergeCell ref="N85:O85"/>
    <mergeCell ref="R77:S77"/>
    <mergeCell ref="V98:W98"/>
    <mergeCell ref="R107:S107"/>
    <mergeCell ref="N126:O126"/>
    <mergeCell ref="N129:O129"/>
    <mergeCell ref="N119:O119"/>
    <mergeCell ref="V129:W129"/>
    <mergeCell ref="N113:O113"/>
    <mergeCell ref="J113:K113"/>
    <mergeCell ref="R116:S116"/>
    <mergeCell ref="R113:S113"/>
    <mergeCell ref="J116:K116"/>
    <mergeCell ref="N123:O123"/>
    <mergeCell ref="V119:W119"/>
    <mergeCell ref="V113:W113"/>
    <mergeCell ref="N116:O116"/>
    <mergeCell ref="V110:W110"/>
    <mergeCell ref="J71:K71"/>
    <mergeCell ref="N95:O95"/>
    <mergeCell ref="N92:O92"/>
    <mergeCell ref="N71:O71"/>
    <mergeCell ref="J92:K92"/>
    <mergeCell ref="J98:K98"/>
    <mergeCell ref="N88:O88"/>
    <mergeCell ref="V116:W116"/>
    <mergeCell ref="N104:O104"/>
    <mergeCell ref="V104:W104"/>
    <mergeCell ref="V77:W77"/>
    <mergeCell ref="N107:O107"/>
    <mergeCell ref="V88:W88"/>
    <mergeCell ref="R92:S92"/>
    <mergeCell ref="R95:S95"/>
    <mergeCell ref="R98:S98"/>
    <mergeCell ref="N98:O98"/>
    <mergeCell ref="J33:K33"/>
    <mergeCell ref="J14:K14"/>
    <mergeCell ref="C27:G28"/>
    <mergeCell ref="C30:G31"/>
    <mergeCell ref="J23:K23"/>
    <mergeCell ref="C16:F17"/>
    <mergeCell ref="J19:K19"/>
    <mergeCell ref="J27:K27"/>
    <mergeCell ref="C7:H7"/>
    <mergeCell ref="J10:K10"/>
    <mergeCell ref="N10:O10"/>
    <mergeCell ref="C10:H10"/>
    <mergeCell ref="F14:G14"/>
    <mergeCell ref="J21:K21"/>
    <mergeCell ref="N12:O12"/>
    <mergeCell ref="V13:W13"/>
    <mergeCell ref="V14:W14"/>
    <mergeCell ref="J64:K64"/>
    <mergeCell ref="V11:W12"/>
    <mergeCell ref="R11:S11"/>
    <mergeCell ref="R14:S14"/>
    <mergeCell ref="J11:K12"/>
    <mergeCell ref="J13:K13"/>
    <mergeCell ref="N19:O19"/>
    <mergeCell ref="R19:S19"/>
    <mergeCell ref="R23:S23"/>
    <mergeCell ref="R27:S27"/>
    <mergeCell ref="R10:S10"/>
    <mergeCell ref="V10:W10"/>
    <mergeCell ref="N11:O11"/>
    <mergeCell ref="R12:S12"/>
    <mergeCell ref="N14:O14"/>
    <mergeCell ref="N13:O13"/>
    <mergeCell ref="R13:S13"/>
    <mergeCell ref="N64:O64"/>
    <mergeCell ref="V67:W67"/>
    <mergeCell ref="V55:W55"/>
    <mergeCell ref="V58:W58"/>
    <mergeCell ref="V61:W61"/>
    <mergeCell ref="R61:S61"/>
    <mergeCell ref="R55:S55"/>
    <mergeCell ref="R67:S67"/>
    <mergeCell ref="V64:W64"/>
    <mergeCell ref="R64:S64"/>
    <mergeCell ref="V44:W44"/>
    <mergeCell ref="V50:W50"/>
    <mergeCell ref="R50:S50"/>
    <mergeCell ref="V52:W52"/>
    <mergeCell ref="R44:S44"/>
    <mergeCell ref="V30:W30"/>
    <mergeCell ref="V39:W39"/>
    <mergeCell ref="R30:S30"/>
    <mergeCell ref="N44:O44"/>
    <mergeCell ref="V27:W27"/>
    <mergeCell ref="R21:S21"/>
    <mergeCell ref="V23:W23"/>
    <mergeCell ref="N23:O23"/>
    <mergeCell ref="N21:O21"/>
    <mergeCell ref="N27:O27"/>
    <mergeCell ref="J39:K39"/>
    <mergeCell ref="R58:S58"/>
    <mergeCell ref="J61:K61"/>
    <mergeCell ref="J55:K55"/>
    <mergeCell ref="J58:K58"/>
    <mergeCell ref="J52:K52"/>
    <mergeCell ref="J44:K44"/>
    <mergeCell ref="J50:K50"/>
    <mergeCell ref="N52:O52"/>
    <mergeCell ref="N61:O61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58" r:id="rId2"/>
  <rowBreaks count="2" manualBreakCount="2">
    <brk id="81" max="24" man="1"/>
    <brk id="139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1.7109375" style="57" customWidth="1"/>
    <col min="3" max="3" width="21.421875" style="57" customWidth="1"/>
    <col min="4" max="4" width="11.00390625" style="57" customWidth="1"/>
    <col min="5" max="5" width="21.421875" style="57" customWidth="1"/>
    <col min="6" max="6" width="3.7109375" style="57" customWidth="1"/>
    <col min="7" max="7" width="9.140625" style="57" customWidth="1"/>
    <col min="8" max="8" width="9.421875" style="57" customWidth="1"/>
    <col min="9" max="9" width="5.421875" style="57" customWidth="1"/>
    <col min="10" max="11" width="9.140625" style="57" customWidth="1"/>
    <col min="12" max="12" width="5.421875" style="57" customWidth="1"/>
    <col min="13" max="14" width="9.140625" style="57" customWidth="1"/>
    <col min="15" max="15" width="5.421875" style="57" customWidth="1"/>
    <col min="16" max="17" width="9.140625" style="57" customWidth="1"/>
    <col min="18" max="19" width="1.7109375" style="57" customWidth="1"/>
    <col min="20" max="16384" width="9.140625" style="57" customWidth="1"/>
  </cols>
  <sheetData>
    <row r="1" spans="1:19" ht="18.75" customHeight="1">
      <c r="A1" s="121"/>
      <c r="B1" s="122"/>
      <c r="C1" s="122"/>
      <c r="D1" s="122"/>
      <c r="E1" s="122"/>
      <c r="F1" s="253">
        <f>+'Part 1'!F1</f>
        <v>327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08"/>
      <c r="R1" s="108"/>
      <c r="S1" s="123"/>
    </row>
    <row r="2" spans="1:19" ht="18.75" customHeight="1">
      <c r="A2" s="349"/>
      <c r="B2" s="350"/>
      <c r="C2" s="350"/>
      <c r="D2" s="350"/>
      <c r="E2" s="350"/>
      <c r="F2" s="351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206"/>
      <c r="R2" s="206"/>
      <c r="S2" s="352"/>
    </row>
    <row r="3" spans="1:19" s="354" customFormat="1" ht="18.75" customHeight="1">
      <c r="A3" s="410" t="s">
        <v>666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2"/>
    </row>
    <row r="4" spans="1:19" s="354" customFormat="1" ht="18.75" customHeight="1">
      <c r="A4" s="410" t="s">
        <v>627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2"/>
    </row>
    <row r="5" spans="1:19" ht="18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</row>
    <row r="6" spans="1:19" ht="18.75" customHeight="1" thickBo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210"/>
      <c r="R6" s="107"/>
      <c r="S6" s="126"/>
    </row>
    <row r="7" spans="1:19" ht="15">
      <c r="A7" s="40"/>
      <c r="B7" s="2"/>
      <c r="C7" s="431"/>
      <c r="D7" s="431"/>
      <c r="E7" s="431"/>
      <c r="F7" s="431"/>
      <c r="G7" s="43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8"/>
    </row>
    <row r="8" spans="1:19" ht="17.25">
      <c r="A8" s="67"/>
      <c r="B8" s="44"/>
      <c r="C8" s="128" t="str">
        <f>+CONCATENATE("Local Authority : ",VLOOKUP(F1,Part3,2,FALSE))</f>
        <v>Local Authority : England</v>
      </c>
      <c r="D8" s="128"/>
      <c r="E8" s="112"/>
      <c r="F8" s="112"/>
      <c r="G8" s="11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 ht="15">
      <c r="A9" s="63"/>
      <c r="B9" s="112"/>
      <c r="C9" s="112"/>
      <c r="D9" s="112"/>
      <c r="E9" s="64"/>
      <c r="F9" s="66"/>
      <c r="G9" s="66"/>
      <c r="H9" s="66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ht="15">
      <c r="A10" s="63"/>
      <c r="B10" s="112"/>
      <c r="C10" s="112" t="s">
        <v>622</v>
      </c>
      <c r="D10" s="112"/>
      <c r="E10" s="64"/>
      <c r="F10" s="66"/>
      <c r="G10" s="66"/>
      <c r="H10" s="66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19" ht="15">
      <c r="A11" s="65"/>
      <c r="B11" s="64"/>
      <c r="C11" s="64"/>
      <c r="D11" s="64"/>
      <c r="E11" s="64"/>
      <c r="F11" s="64"/>
      <c r="G11" s="395" t="s">
        <v>628</v>
      </c>
      <c r="H11" s="395"/>
      <c r="I11" s="111"/>
      <c r="J11" s="395" t="s">
        <v>629</v>
      </c>
      <c r="K11" s="395"/>
      <c r="L11" s="44"/>
      <c r="M11" s="395" t="s">
        <v>630</v>
      </c>
      <c r="N11" s="395"/>
      <c r="O11" s="111"/>
      <c r="P11" s="395" t="s">
        <v>631</v>
      </c>
      <c r="Q11" s="395"/>
      <c r="R11" s="111"/>
      <c r="S11" s="45"/>
    </row>
    <row r="12" spans="1:19" ht="15.75" customHeight="1">
      <c r="A12" s="65"/>
      <c r="B12" s="64"/>
      <c r="C12" s="64"/>
      <c r="D12" s="64"/>
      <c r="E12" s="64"/>
      <c r="F12" s="64"/>
      <c r="G12" s="399" t="s">
        <v>51</v>
      </c>
      <c r="H12" s="399"/>
      <c r="I12" s="106"/>
      <c r="J12" s="396" t="s">
        <v>632</v>
      </c>
      <c r="K12" s="396"/>
      <c r="L12" s="106"/>
      <c r="M12" s="396" t="s">
        <v>633</v>
      </c>
      <c r="N12" s="396"/>
      <c r="O12" s="106"/>
      <c r="P12" s="399" t="s">
        <v>50</v>
      </c>
      <c r="Q12" s="399"/>
      <c r="R12" s="106"/>
      <c r="S12" s="45"/>
    </row>
    <row r="13" spans="1:19" ht="15">
      <c r="A13" s="65"/>
      <c r="B13" s="64"/>
      <c r="C13" s="64"/>
      <c r="D13" s="64"/>
      <c r="E13" s="64"/>
      <c r="F13" s="64"/>
      <c r="G13" s="432"/>
      <c r="H13" s="432"/>
      <c r="I13" s="106"/>
      <c r="J13" s="44"/>
      <c r="K13" s="44"/>
      <c r="L13" s="44"/>
      <c r="M13" s="44"/>
      <c r="N13" s="44"/>
      <c r="O13" s="106"/>
      <c r="P13" s="399"/>
      <c r="Q13" s="399"/>
      <c r="R13" s="44"/>
      <c r="S13" s="45"/>
    </row>
    <row r="14" spans="1:19" ht="15.75" thickBot="1">
      <c r="A14" s="65"/>
      <c r="B14" s="112"/>
      <c r="C14" s="112" t="s">
        <v>649</v>
      </c>
      <c r="D14" s="112"/>
      <c r="E14" s="64"/>
      <c r="F14" s="64"/>
      <c r="G14" s="396" t="s">
        <v>624</v>
      </c>
      <c r="H14" s="396"/>
      <c r="I14" s="44"/>
      <c r="J14" s="396" t="s">
        <v>624</v>
      </c>
      <c r="K14" s="396"/>
      <c r="L14" s="44"/>
      <c r="M14" s="396" t="s">
        <v>624</v>
      </c>
      <c r="N14" s="396"/>
      <c r="O14" s="44"/>
      <c r="P14" s="396" t="s">
        <v>624</v>
      </c>
      <c r="Q14" s="396"/>
      <c r="R14" s="44"/>
      <c r="S14" s="45"/>
    </row>
    <row r="15" spans="1:19" ht="15.75" thickBot="1">
      <c r="A15" s="65"/>
      <c r="B15" s="64"/>
      <c r="C15" s="367" t="s">
        <v>702</v>
      </c>
      <c r="D15" s="367"/>
      <c r="E15" s="367"/>
      <c r="F15" s="64"/>
      <c r="G15" s="424">
        <f>VLOOKUP($F$1,Part3,4,FALSE)</f>
        <v>23216355920.65</v>
      </c>
      <c r="H15" s="425"/>
      <c r="I15" s="113"/>
      <c r="J15" s="424">
        <f>VLOOKUP($F$1,Part3,5,FALSE)</f>
        <v>37191502</v>
      </c>
      <c r="K15" s="425"/>
      <c r="L15" s="113"/>
      <c r="M15" s="424">
        <f>VLOOKUP($F$1,Part3,6,FALSE)</f>
        <v>86202317.14</v>
      </c>
      <c r="N15" s="425"/>
      <c r="O15" s="113"/>
      <c r="P15" s="424">
        <f>VLOOKUP($F$1,Part3,7,FALSE)</f>
        <v>23339749739.249996</v>
      </c>
      <c r="Q15" s="425"/>
      <c r="R15" s="46"/>
      <c r="S15" s="45"/>
    </row>
    <row r="16" spans="1:19" ht="15">
      <c r="A16" s="65"/>
      <c r="B16" s="64"/>
      <c r="C16" s="367"/>
      <c r="D16" s="367"/>
      <c r="E16" s="367"/>
      <c r="F16" s="64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44"/>
      <c r="S16" s="45"/>
    </row>
    <row r="17" spans="1:19" ht="15">
      <c r="A17" s="65"/>
      <c r="B17" s="64"/>
      <c r="C17" s="400"/>
      <c r="D17" s="400"/>
      <c r="E17" s="400"/>
      <c r="F17" s="64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44"/>
      <c r="S17" s="45"/>
    </row>
    <row r="18" spans="1:19" ht="15">
      <c r="A18" s="65"/>
      <c r="B18" s="64"/>
      <c r="C18" s="64"/>
      <c r="D18" s="64"/>
      <c r="E18" s="64"/>
      <c r="F18" s="64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44"/>
      <c r="S18" s="45"/>
    </row>
    <row r="19" spans="1:19" ht="15.75" thickBot="1">
      <c r="A19" s="65"/>
      <c r="B19" s="66"/>
      <c r="C19" s="66" t="s">
        <v>673</v>
      </c>
      <c r="D19" s="64"/>
      <c r="E19" s="64"/>
      <c r="F19" s="64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44"/>
      <c r="S19" s="45"/>
    </row>
    <row r="20" spans="1:19" ht="15.75" thickBot="1">
      <c r="A20" s="65"/>
      <c r="B20" s="64"/>
      <c r="C20" s="367" t="s">
        <v>657</v>
      </c>
      <c r="D20" s="367"/>
      <c r="E20" s="367"/>
      <c r="F20" s="64"/>
      <c r="G20" s="424">
        <f>VLOOKUP($F$1,Part3,8,FALSE)</f>
        <v>324516296.8399999</v>
      </c>
      <c r="H20" s="425"/>
      <c r="I20" s="113"/>
      <c r="J20" s="424">
        <f>VLOOKUP($F$1,Part3,9,FALSE)</f>
        <v>488086.38</v>
      </c>
      <c r="K20" s="425"/>
      <c r="L20" s="113"/>
      <c r="M20" s="424">
        <f>VLOOKUP($F$1,Part3,10,FALSE)</f>
        <v>1222625.5899999999</v>
      </c>
      <c r="N20" s="425"/>
      <c r="O20" s="113"/>
      <c r="P20" s="424">
        <f>VLOOKUP($F$1,Part3,11,FALSE)</f>
        <v>326227008.8099999</v>
      </c>
      <c r="Q20" s="425"/>
      <c r="R20" s="58"/>
      <c r="S20" s="45"/>
    </row>
    <row r="21" spans="1:19" ht="15">
      <c r="A21" s="65"/>
      <c r="B21" s="64"/>
      <c r="C21" s="367"/>
      <c r="D21" s="367"/>
      <c r="E21" s="367"/>
      <c r="F21" s="64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44"/>
      <c r="S21" s="45"/>
    </row>
    <row r="22" spans="1:19" ht="15" thickBot="1">
      <c r="A22" s="65"/>
      <c r="B22" s="64"/>
      <c r="C22" s="109"/>
      <c r="D22" s="109"/>
      <c r="E22" s="109"/>
      <c r="F22" s="64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44"/>
      <c r="S22" s="45"/>
    </row>
    <row r="23" spans="1:19" ht="16.5" customHeight="1" thickBot="1">
      <c r="A23" s="65"/>
      <c r="B23" s="64"/>
      <c r="C23" s="367" t="s">
        <v>613</v>
      </c>
      <c r="D23" s="367"/>
      <c r="E23" s="367"/>
      <c r="F23" s="64"/>
      <c r="G23" s="424">
        <f>VLOOKUP($F$1,Part3,12,FALSE)</f>
        <v>576189141.36</v>
      </c>
      <c r="H23" s="425"/>
      <c r="I23" s="113"/>
      <c r="J23" s="429">
        <f>VLOOKUP($F$1,Part3,13,FALSE)</f>
        <v>758071</v>
      </c>
      <c r="K23" s="430"/>
      <c r="L23" s="113"/>
      <c r="M23" s="424">
        <f>VLOOKUP($F$1,Part3,14,FALSE)</f>
        <v>1430731</v>
      </c>
      <c r="N23" s="425"/>
      <c r="O23" s="113"/>
      <c r="P23" s="424">
        <f>VLOOKUP($F$1,Part3,15,FALSE)</f>
        <v>578377943.36</v>
      </c>
      <c r="Q23" s="425"/>
      <c r="R23" s="58"/>
      <c r="S23" s="45"/>
    </row>
    <row r="24" spans="1:19" ht="15">
      <c r="A24" s="65"/>
      <c r="B24" s="64"/>
      <c r="C24" s="367"/>
      <c r="D24" s="367"/>
      <c r="E24" s="367"/>
      <c r="F24" s="64"/>
      <c r="G24" s="114"/>
      <c r="H24" s="114"/>
      <c r="I24" s="113"/>
      <c r="J24" s="114"/>
      <c r="K24" s="114"/>
      <c r="L24" s="113"/>
      <c r="M24" s="114"/>
      <c r="N24" s="114"/>
      <c r="O24" s="113"/>
      <c r="P24" s="114"/>
      <c r="Q24" s="113"/>
      <c r="R24" s="111"/>
      <c r="S24" s="45"/>
    </row>
    <row r="25" spans="1:19" ht="15.75" thickBot="1">
      <c r="A25" s="65"/>
      <c r="B25" s="64"/>
      <c r="C25" s="109"/>
      <c r="D25" s="109"/>
      <c r="E25" s="109"/>
      <c r="F25" s="64"/>
      <c r="G25" s="114"/>
      <c r="H25" s="114"/>
      <c r="I25" s="113"/>
      <c r="J25" s="114"/>
      <c r="K25" s="114"/>
      <c r="L25" s="113"/>
      <c r="M25" s="114"/>
      <c r="N25" s="114"/>
      <c r="O25" s="113"/>
      <c r="P25" s="114"/>
      <c r="Q25" s="113"/>
      <c r="R25" s="111"/>
      <c r="S25" s="45"/>
    </row>
    <row r="26" spans="1:19" ht="15">
      <c r="A26" s="65"/>
      <c r="B26" s="214"/>
      <c r="C26" s="215"/>
      <c r="D26" s="215"/>
      <c r="E26" s="215"/>
      <c r="F26" s="216"/>
      <c r="G26" s="217"/>
      <c r="H26" s="217"/>
      <c r="I26" s="218"/>
      <c r="J26" s="217"/>
      <c r="K26" s="217"/>
      <c r="L26" s="218"/>
      <c r="M26" s="217"/>
      <c r="N26" s="217"/>
      <c r="O26" s="218"/>
      <c r="P26" s="217"/>
      <c r="Q26" s="218"/>
      <c r="R26" s="219"/>
      <c r="S26" s="45"/>
    </row>
    <row r="27" spans="1:19" ht="15.75" thickBot="1">
      <c r="A27" s="65"/>
      <c r="B27" s="220"/>
      <c r="C27" s="66" t="s">
        <v>623</v>
      </c>
      <c r="D27" s="64"/>
      <c r="E27" s="64"/>
      <c r="F27" s="64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221"/>
      <c r="S27" s="45"/>
    </row>
    <row r="28" spans="1:19" ht="15.75" thickBot="1">
      <c r="A28" s="65"/>
      <c r="B28" s="222"/>
      <c r="C28" s="64" t="s">
        <v>686</v>
      </c>
      <c r="D28" s="64"/>
      <c r="E28" s="64"/>
      <c r="F28" s="64"/>
      <c r="G28" s="424">
        <f>VLOOKUP($F$1,Part3,16,FALSE)</f>
        <v>22315650480.850002</v>
      </c>
      <c r="H28" s="425"/>
      <c r="I28" s="113"/>
      <c r="J28" s="424">
        <f>VLOOKUP($F$1,Part3,17,FALSE)</f>
        <v>35945344.19</v>
      </c>
      <c r="K28" s="425"/>
      <c r="L28" s="113"/>
      <c r="M28" s="424">
        <f>VLOOKUP($F$1,Part3,18,FALSE)</f>
        <v>83548960.94</v>
      </c>
      <c r="N28" s="425"/>
      <c r="O28" s="113"/>
      <c r="P28" s="424">
        <f>VLOOKUP($F$1,Part3,19,FALSE)</f>
        <v>22435144785.450005</v>
      </c>
      <c r="Q28" s="425"/>
      <c r="R28" s="223"/>
      <c r="S28" s="45"/>
    </row>
    <row r="29" spans="1:19" ht="15" thickBot="1">
      <c r="A29" s="65"/>
      <c r="B29" s="224"/>
      <c r="C29" s="225"/>
      <c r="D29" s="225"/>
      <c r="E29" s="225"/>
      <c r="F29" s="225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S29" s="45"/>
    </row>
    <row r="30" spans="1:19" ht="15">
      <c r="A30" s="65"/>
      <c r="B30" s="64"/>
      <c r="C30" s="64"/>
      <c r="D30" s="64"/>
      <c r="E30" s="64"/>
      <c r="F30" s="64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44"/>
      <c r="S30" s="45"/>
    </row>
    <row r="31" spans="1:19" ht="15" customHeight="1">
      <c r="A31" s="65"/>
      <c r="B31" s="64"/>
      <c r="C31" s="66"/>
      <c r="D31" s="64"/>
      <c r="E31" s="64"/>
      <c r="F31" s="64"/>
      <c r="G31" s="113"/>
      <c r="H31" s="113"/>
      <c r="I31" s="113"/>
      <c r="J31" s="113"/>
      <c r="K31" s="113"/>
      <c r="L31" s="113"/>
      <c r="M31" s="113"/>
      <c r="N31" s="113"/>
      <c r="O31" s="427" t="s">
        <v>634</v>
      </c>
      <c r="P31" s="428"/>
      <c r="Q31" s="428"/>
      <c r="R31" s="44"/>
      <c r="S31" s="45"/>
    </row>
    <row r="32" spans="1:19" ht="15.75" thickBot="1">
      <c r="A32" s="65"/>
      <c r="B32" s="66"/>
      <c r="C32" s="66" t="s">
        <v>303</v>
      </c>
      <c r="D32" s="64"/>
      <c r="E32" s="64"/>
      <c r="F32" s="64"/>
      <c r="G32" s="113"/>
      <c r="H32" s="113"/>
      <c r="I32" s="113"/>
      <c r="J32" s="113"/>
      <c r="K32" s="113"/>
      <c r="L32" s="113"/>
      <c r="M32" s="113"/>
      <c r="N32" s="113"/>
      <c r="O32" s="428"/>
      <c r="P32" s="428"/>
      <c r="Q32" s="428"/>
      <c r="R32" s="59"/>
      <c r="S32" s="45"/>
    </row>
    <row r="33" spans="1:19" ht="15.75" thickBot="1">
      <c r="A33" s="65"/>
      <c r="B33" s="44"/>
      <c r="C33" s="44" t="s">
        <v>284</v>
      </c>
      <c r="D33" s="44"/>
      <c r="E33" s="44"/>
      <c r="F33" s="44"/>
      <c r="G33" s="424">
        <f>VLOOKUP($F$1,Part3,20,FALSE)</f>
        <v>8680749</v>
      </c>
      <c r="H33" s="425"/>
      <c r="I33" s="113"/>
      <c r="J33" s="424">
        <f>VLOOKUP($F$1,Part3,21,FALSE)</f>
        <v>0</v>
      </c>
      <c r="K33" s="425"/>
      <c r="L33" s="113"/>
      <c r="M33" s="424">
        <f>VLOOKUP($F$1,Part3,22,FALSE)</f>
        <v>0</v>
      </c>
      <c r="N33" s="425"/>
      <c r="O33" s="113"/>
      <c r="P33" s="424">
        <f>VLOOKUP($F$1,Part3,23,FALSE)</f>
        <v>8680749</v>
      </c>
      <c r="Q33" s="425"/>
      <c r="R33" s="111"/>
      <c r="S33" s="45"/>
    </row>
    <row r="34" spans="1:19" ht="15" thickBot="1">
      <c r="A34" s="65"/>
      <c r="B34" s="44"/>
      <c r="C34" s="44"/>
      <c r="D34" s="44"/>
      <c r="E34" s="44"/>
      <c r="F34" s="44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44"/>
      <c r="S34" s="45"/>
    </row>
    <row r="35" spans="1:19" ht="15.75" thickBot="1">
      <c r="A35" s="65"/>
      <c r="B35" s="44"/>
      <c r="C35" s="44" t="s">
        <v>285</v>
      </c>
      <c r="D35" s="44"/>
      <c r="E35" s="44"/>
      <c r="F35" s="44"/>
      <c r="G35" s="113"/>
      <c r="H35" s="113"/>
      <c r="I35" s="113"/>
      <c r="J35" s="424">
        <f>VLOOKUP($F$1,Part3,24,FALSE)</f>
        <v>-62335</v>
      </c>
      <c r="K35" s="425"/>
      <c r="L35" s="113"/>
      <c r="M35" s="424">
        <f>VLOOKUP($F$1,Part3,25,FALSE)</f>
        <v>75118.78</v>
      </c>
      <c r="N35" s="425"/>
      <c r="O35" s="113"/>
      <c r="P35" s="113"/>
      <c r="Q35" s="113"/>
      <c r="R35" s="44"/>
      <c r="S35" s="45"/>
    </row>
    <row r="36" spans="1:19" ht="15" thickBot="1">
      <c r="A36" s="65"/>
      <c r="B36" s="44"/>
      <c r="C36" s="44"/>
      <c r="D36" s="44"/>
      <c r="E36" s="44"/>
      <c r="F36" s="44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4"/>
      <c r="S36" s="45"/>
    </row>
    <row r="37" spans="1:19" ht="15.75" thickBot="1">
      <c r="A37" s="67"/>
      <c r="B37" s="44"/>
      <c r="C37" s="44" t="s">
        <v>286</v>
      </c>
      <c r="D37" s="44"/>
      <c r="E37" s="44"/>
      <c r="F37" s="44"/>
      <c r="G37" s="113"/>
      <c r="H37" s="113"/>
      <c r="I37" s="113"/>
      <c r="J37" s="424">
        <f>VLOOKUP($F$1,Part3,26,FALSE)</f>
        <v>25995748.97</v>
      </c>
      <c r="K37" s="425"/>
      <c r="L37" s="113"/>
      <c r="M37" s="424">
        <f>VLOOKUP($F$1,Part3,27,FALSE)</f>
        <v>78359718.47</v>
      </c>
      <c r="N37" s="425"/>
      <c r="O37" s="113"/>
      <c r="P37" s="113"/>
      <c r="Q37" s="113"/>
      <c r="R37" s="44"/>
      <c r="S37" s="45"/>
    </row>
    <row r="38" spans="1:19" ht="15.75" thickBot="1">
      <c r="A38" s="67"/>
      <c r="B38" s="44"/>
      <c r="C38" s="44"/>
      <c r="D38" s="44"/>
      <c r="E38" s="44"/>
      <c r="F38" s="44"/>
      <c r="G38" s="113"/>
      <c r="H38" s="113"/>
      <c r="I38" s="113"/>
      <c r="J38" s="114"/>
      <c r="K38" s="113"/>
      <c r="L38" s="113"/>
      <c r="M38" s="114"/>
      <c r="N38" s="113"/>
      <c r="O38" s="113"/>
      <c r="P38" s="113"/>
      <c r="Q38" s="113"/>
      <c r="R38" s="44"/>
      <c r="S38" s="45"/>
    </row>
    <row r="39" spans="1:19" ht="15">
      <c r="A39" s="67"/>
      <c r="B39" s="60"/>
      <c r="C39" s="48"/>
      <c r="D39" s="48"/>
      <c r="E39" s="48"/>
      <c r="F39" s="48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49"/>
      <c r="S39" s="45"/>
    </row>
    <row r="40" spans="1:19" ht="15.75" thickBot="1">
      <c r="A40" s="67"/>
      <c r="B40" s="61"/>
      <c r="C40" s="51" t="s">
        <v>685</v>
      </c>
      <c r="D40" s="52"/>
      <c r="E40" s="52"/>
      <c r="F40" s="52"/>
      <c r="G40" s="118"/>
      <c r="H40" s="118"/>
      <c r="I40" s="118"/>
      <c r="J40" s="426" t="s">
        <v>624</v>
      </c>
      <c r="K40" s="426"/>
      <c r="L40" s="130"/>
      <c r="M40" s="426" t="s">
        <v>624</v>
      </c>
      <c r="N40" s="426"/>
      <c r="O40" s="130"/>
      <c r="P40" s="426" t="s">
        <v>624</v>
      </c>
      <c r="Q40" s="426"/>
      <c r="R40" s="53"/>
      <c r="S40" s="45"/>
    </row>
    <row r="41" spans="1:19" ht="15.75" thickBot="1">
      <c r="A41" s="67"/>
      <c r="B41" s="61"/>
      <c r="C41" s="52" t="s">
        <v>304</v>
      </c>
      <c r="D41" s="52"/>
      <c r="E41" s="52"/>
      <c r="F41" s="52"/>
      <c r="G41" s="118"/>
      <c r="H41" s="118"/>
      <c r="I41" s="118"/>
      <c r="J41" s="424">
        <f>VLOOKUP($F$1,Part3,28,FALSE)</f>
        <v>10261844</v>
      </c>
      <c r="K41" s="425"/>
      <c r="L41" s="118"/>
      <c r="M41" s="424">
        <f>VLOOKUP($F$1,Part3,29,FALSE)</f>
        <v>8986747.5</v>
      </c>
      <c r="N41" s="425"/>
      <c r="O41" s="118"/>
      <c r="P41" s="424">
        <f>VLOOKUP($F$1,Part3,30,FALSE)</f>
        <v>8680749</v>
      </c>
      <c r="Q41" s="425"/>
      <c r="R41" s="53"/>
      <c r="S41" s="45"/>
    </row>
    <row r="42" spans="1:19" ht="15" thickBot="1">
      <c r="A42" s="67"/>
      <c r="B42" s="6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  <c r="S42" s="45"/>
    </row>
    <row r="43" spans="1:19" ht="23.2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89"/>
    </row>
  </sheetData>
  <sheetProtection/>
  <mergeCells count="50">
    <mergeCell ref="A4:S4"/>
    <mergeCell ref="A3:S3"/>
    <mergeCell ref="A5:S5"/>
    <mergeCell ref="P20:Q20"/>
    <mergeCell ref="J14:K14"/>
    <mergeCell ref="M14:N14"/>
    <mergeCell ref="G12:H13"/>
    <mergeCell ref="M11:N11"/>
    <mergeCell ref="J11:K11"/>
    <mergeCell ref="M12:N12"/>
    <mergeCell ref="C7:G7"/>
    <mergeCell ref="P12:Q13"/>
    <mergeCell ref="G11:H11"/>
    <mergeCell ref="G14:H14"/>
    <mergeCell ref="P11:Q11"/>
    <mergeCell ref="J12:K12"/>
    <mergeCell ref="P14:Q14"/>
    <mergeCell ref="C15:E17"/>
    <mergeCell ref="C20:E21"/>
    <mergeCell ref="C23:E24"/>
    <mergeCell ref="P41:Q41"/>
    <mergeCell ref="M23:N23"/>
    <mergeCell ref="G20:H20"/>
    <mergeCell ref="G15:H15"/>
    <mergeCell ref="G23:H23"/>
    <mergeCell ref="J23:K23"/>
    <mergeCell ref="M20:N20"/>
    <mergeCell ref="M41:N41"/>
    <mergeCell ref="J41:K41"/>
    <mergeCell ref="J40:K40"/>
    <mergeCell ref="M40:N40"/>
    <mergeCell ref="P28:Q28"/>
    <mergeCell ref="M28:N28"/>
    <mergeCell ref="P33:Q33"/>
    <mergeCell ref="O31:Q32"/>
    <mergeCell ref="J20:K20"/>
    <mergeCell ref="M15:N15"/>
    <mergeCell ref="P15:Q15"/>
    <mergeCell ref="J15:K15"/>
    <mergeCell ref="P40:Q40"/>
    <mergeCell ref="M35:N35"/>
    <mergeCell ref="M37:N37"/>
    <mergeCell ref="J37:K37"/>
    <mergeCell ref="J35:K35"/>
    <mergeCell ref="G33:H33"/>
    <mergeCell ref="M33:N33"/>
    <mergeCell ref="J33:K33"/>
    <mergeCell ref="G28:H28"/>
    <mergeCell ref="J28:K28"/>
    <mergeCell ref="P23:Q2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4" width="14.28125" style="0" customWidth="1"/>
    <col min="5" max="5" width="47.421875" style="0" customWidth="1"/>
    <col min="6" max="7" width="14.28125" style="0" customWidth="1"/>
    <col min="8" max="8" width="3.7109375" style="0" customWidth="1"/>
    <col min="11" max="11" width="5.28125" style="0" customWidth="1"/>
    <col min="14" max="15" width="1.7109375" style="0" customWidth="1"/>
  </cols>
  <sheetData>
    <row r="1" spans="1:15" ht="18.75" customHeight="1">
      <c r="A1" s="121"/>
      <c r="B1" s="122"/>
      <c r="C1" s="122"/>
      <c r="D1" s="122"/>
      <c r="E1" s="122"/>
      <c r="F1" s="270">
        <f>+'Part 2'!F1</f>
        <v>327</v>
      </c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8.75" customHeight="1">
      <c r="A2" s="349"/>
      <c r="B2" s="350"/>
      <c r="C2" s="350"/>
      <c r="D2" s="350"/>
      <c r="E2" s="350"/>
      <c r="F2" s="353"/>
      <c r="G2" s="350"/>
      <c r="H2" s="350"/>
      <c r="I2" s="350"/>
      <c r="J2" s="350"/>
      <c r="K2" s="350"/>
      <c r="L2" s="350"/>
      <c r="M2" s="350"/>
      <c r="N2" s="350"/>
      <c r="O2" s="352"/>
    </row>
    <row r="3" spans="1:15" s="354" customFormat="1" ht="18.75" customHeight="1">
      <c r="A3" s="410" t="s">
        <v>666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/>
    </row>
    <row r="4" spans="1:15" s="354" customFormat="1" ht="18.75" customHeight="1">
      <c r="A4" s="410" t="s">
        <v>627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2"/>
    </row>
    <row r="5" spans="1:15" ht="18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7"/>
    </row>
    <row r="6" spans="1:15" ht="18.75" customHeight="1" thickBo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211"/>
      <c r="N6" s="125"/>
      <c r="O6" s="126"/>
    </row>
    <row r="7" spans="1:15" ht="12.75">
      <c r="A7" s="40"/>
      <c r="B7" s="2"/>
      <c r="C7" s="431"/>
      <c r="D7" s="431"/>
      <c r="E7" s="127"/>
      <c r="F7" s="127"/>
      <c r="G7" s="2"/>
      <c r="H7" s="2"/>
      <c r="I7" s="2"/>
      <c r="J7" s="2"/>
      <c r="K7" s="2"/>
      <c r="L7" s="2"/>
      <c r="M7" s="2"/>
      <c r="N7" s="2"/>
      <c r="O7" s="88"/>
    </row>
    <row r="8" spans="1:15" ht="17.25">
      <c r="A8" s="67"/>
      <c r="B8" s="44"/>
      <c r="C8" s="128" t="str">
        <f>+'Part 3'!C8</f>
        <v>Local Authority : England</v>
      </c>
      <c r="D8" s="128"/>
      <c r="E8" s="128"/>
      <c r="F8" s="128"/>
      <c r="G8" s="44"/>
      <c r="H8" s="44"/>
      <c r="I8" s="44"/>
      <c r="J8" s="44"/>
      <c r="K8" s="44"/>
      <c r="L8" s="44"/>
      <c r="M8" s="44"/>
      <c r="N8" s="44"/>
      <c r="O8" s="45"/>
    </row>
    <row r="9" spans="1:15" ht="15">
      <c r="A9" s="63"/>
      <c r="B9" s="112"/>
      <c r="C9" s="112"/>
      <c r="D9" s="112"/>
      <c r="E9" s="112"/>
      <c r="F9" s="112"/>
      <c r="G9" s="66"/>
      <c r="H9" s="44"/>
      <c r="I9" s="44"/>
      <c r="J9" s="44"/>
      <c r="K9" s="44"/>
      <c r="L9" s="44"/>
      <c r="M9" s="44"/>
      <c r="N9" s="44"/>
      <c r="O9" s="45"/>
    </row>
    <row r="10" spans="1:15" ht="15">
      <c r="A10" s="40"/>
      <c r="B10" s="2"/>
      <c r="C10" s="43" t="s">
        <v>675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ht="15">
      <c r="A11" s="40"/>
      <c r="B11" s="2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ht="15.75" thickBot="1">
      <c r="A12" s="40"/>
      <c r="B12" s="2"/>
      <c r="C12" s="43" t="s">
        <v>287</v>
      </c>
      <c r="D12" s="44"/>
      <c r="E12" s="44"/>
      <c r="F12" s="44"/>
      <c r="G12" s="44"/>
      <c r="H12" s="44"/>
      <c r="I12" s="396" t="s">
        <v>624</v>
      </c>
      <c r="J12" s="396"/>
      <c r="K12" s="44"/>
      <c r="L12" s="397" t="s">
        <v>624</v>
      </c>
      <c r="M12" s="397"/>
      <c r="N12" s="44"/>
      <c r="O12" s="45"/>
    </row>
    <row r="13" spans="1:15" ht="15.75" thickBot="1">
      <c r="A13" s="40"/>
      <c r="B13" s="2"/>
      <c r="C13" s="44" t="s">
        <v>20</v>
      </c>
      <c r="D13" s="44"/>
      <c r="E13" s="44"/>
      <c r="F13" s="44"/>
      <c r="G13" s="44"/>
      <c r="H13" s="44"/>
      <c r="I13" s="113"/>
      <c r="J13" s="113"/>
      <c r="K13" s="113"/>
      <c r="L13" s="424">
        <f>VLOOKUP($F$1,Part4,4,FALSE)</f>
        <v>0</v>
      </c>
      <c r="M13" s="425"/>
      <c r="N13" s="44"/>
      <c r="O13" s="45"/>
    </row>
    <row r="14" spans="1:15" ht="15">
      <c r="A14" s="40"/>
      <c r="B14" s="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5" ht="15.75" thickBot="1">
      <c r="A15" s="40"/>
      <c r="B15" s="2"/>
      <c r="C15" s="43" t="s">
        <v>288</v>
      </c>
      <c r="D15" s="44"/>
      <c r="E15" s="44"/>
      <c r="F15" s="44"/>
      <c r="G15" s="44"/>
      <c r="H15" s="44"/>
      <c r="I15" s="113"/>
      <c r="J15" s="113"/>
      <c r="K15" s="113"/>
      <c r="L15" s="113"/>
      <c r="M15" s="113"/>
      <c r="N15" s="44"/>
      <c r="O15" s="45"/>
    </row>
    <row r="16" spans="1:15" ht="15.75" thickBot="1">
      <c r="A16" s="40"/>
      <c r="B16" s="2"/>
      <c r="C16" s="44" t="s">
        <v>21</v>
      </c>
      <c r="D16" s="44"/>
      <c r="E16" s="44"/>
      <c r="F16" s="44"/>
      <c r="G16" s="44"/>
      <c r="H16" s="44"/>
      <c r="I16" s="424">
        <f>VLOOKUP($F$1,Part4,5,FALSE)</f>
        <v>23013431521</v>
      </c>
      <c r="J16" s="425"/>
      <c r="K16" s="113"/>
      <c r="L16" s="113"/>
      <c r="M16" s="113"/>
      <c r="N16" s="44"/>
      <c r="O16" s="45"/>
    </row>
    <row r="17" spans="1:15" ht="15" thickBot="1">
      <c r="A17" s="40"/>
      <c r="B17" s="2"/>
      <c r="C17" s="44"/>
      <c r="D17" s="44"/>
      <c r="E17" s="44"/>
      <c r="F17" s="44"/>
      <c r="G17" s="44"/>
      <c r="H17" s="44"/>
      <c r="I17" s="113"/>
      <c r="J17" s="113"/>
      <c r="K17" s="113"/>
      <c r="L17" s="113"/>
      <c r="M17" s="113"/>
      <c r="N17" s="44"/>
      <c r="O17" s="45"/>
    </row>
    <row r="18" spans="1:15" ht="15.75" thickBot="1">
      <c r="A18" s="40"/>
      <c r="B18" s="2"/>
      <c r="C18" s="44" t="s">
        <v>22</v>
      </c>
      <c r="D18" s="44"/>
      <c r="E18" s="44"/>
      <c r="F18" s="44"/>
      <c r="G18" s="44"/>
      <c r="H18" s="44"/>
      <c r="I18" s="424">
        <f>VLOOKUP($F$1,Part4,6,FALSE)</f>
        <v>111405375</v>
      </c>
      <c r="J18" s="425"/>
      <c r="K18" s="113"/>
      <c r="L18" s="113"/>
      <c r="M18" s="113"/>
      <c r="N18" s="44"/>
      <c r="O18" s="45"/>
    </row>
    <row r="19" spans="1:15" ht="15" thickBot="1">
      <c r="A19" s="40"/>
      <c r="B19" s="2"/>
      <c r="C19" s="44"/>
      <c r="D19" s="44"/>
      <c r="E19" s="44"/>
      <c r="F19" s="44"/>
      <c r="G19" s="44"/>
      <c r="H19" s="44"/>
      <c r="I19" s="113"/>
      <c r="J19" s="113"/>
      <c r="K19" s="113"/>
      <c r="L19" s="113"/>
      <c r="M19" s="113"/>
      <c r="N19" s="44"/>
      <c r="O19" s="45"/>
    </row>
    <row r="20" spans="1:15" ht="15.75" thickBot="1">
      <c r="A20" s="40"/>
      <c r="B20" s="2"/>
      <c r="C20" s="44" t="s">
        <v>23</v>
      </c>
      <c r="D20" s="44"/>
      <c r="E20" s="44"/>
      <c r="F20" s="44"/>
      <c r="G20" s="44"/>
      <c r="H20" s="44"/>
      <c r="I20" s="424">
        <f>VLOOKUP($F$1,Part4,7,FALSE)</f>
        <v>18458995</v>
      </c>
      <c r="J20" s="425"/>
      <c r="K20" s="113"/>
      <c r="L20" s="113"/>
      <c r="M20" s="113"/>
      <c r="N20" s="44"/>
      <c r="O20" s="45"/>
    </row>
    <row r="21" spans="1:15" ht="15.75" thickBot="1">
      <c r="A21" s="40"/>
      <c r="B21" s="2"/>
      <c r="C21" s="44"/>
      <c r="D21" s="44"/>
      <c r="E21" s="44"/>
      <c r="F21" s="44"/>
      <c r="G21" s="44"/>
      <c r="H21" s="44"/>
      <c r="I21" s="114"/>
      <c r="J21" s="114"/>
      <c r="K21" s="113"/>
      <c r="L21" s="113"/>
      <c r="M21" s="113"/>
      <c r="N21" s="44"/>
      <c r="O21" s="45"/>
    </row>
    <row r="22" spans="1:15" ht="15.75" thickBot="1">
      <c r="A22" s="40"/>
      <c r="B22" s="2"/>
      <c r="C22" s="44" t="s">
        <v>24</v>
      </c>
      <c r="D22" s="44"/>
      <c r="E22" s="44"/>
      <c r="F22" s="44"/>
      <c r="G22" s="44"/>
      <c r="H22" s="44"/>
      <c r="I22" s="424">
        <f>VLOOKUP($F$1,Part4,8,FALSE)</f>
        <v>0</v>
      </c>
      <c r="J22" s="425"/>
      <c r="K22" s="113"/>
      <c r="L22" s="113"/>
      <c r="M22" s="113"/>
      <c r="N22" s="44"/>
      <c r="O22" s="45"/>
    </row>
    <row r="23" spans="1:15" ht="15.75" thickBot="1">
      <c r="A23" s="40"/>
      <c r="B23" s="2"/>
      <c r="C23" s="44"/>
      <c r="D23" s="44"/>
      <c r="E23" s="44"/>
      <c r="F23" s="44"/>
      <c r="G23" s="44"/>
      <c r="H23" s="44"/>
      <c r="I23" s="114"/>
      <c r="J23" s="114"/>
      <c r="K23" s="113"/>
      <c r="L23" s="113"/>
      <c r="M23" s="113"/>
      <c r="N23" s="44"/>
      <c r="O23" s="45"/>
    </row>
    <row r="24" spans="1:15" ht="15.75" thickBot="1">
      <c r="A24" s="40"/>
      <c r="B24" s="2"/>
      <c r="C24" s="43" t="s">
        <v>25</v>
      </c>
      <c r="D24" s="44"/>
      <c r="E24" s="44"/>
      <c r="F24" s="44"/>
      <c r="G24" s="44"/>
      <c r="H24" s="44"/>
      <c r="I24" s="113"/>
      <c r="J24" s="113"/>
      <c r="K24" s="113"/>
      <c r="L24" s="424">
        <f>VLOOKUP($F$1,Part4,9,FALSE)</f>
        <v>23143295892</v>
      </c>
      <c r="M24" s="425"/>
      <c r="N24" s="44"/>
      <c r="O24" s="45"/>
    </row>
    <row r="25" spans="1:15" ht="15">
      <c r="A25" s="40"/>
      <c r="B25" s="2"/>
      <c r="C25" s="44"/>
      <c r="D25" s="44"/>
      <c r="E25" s="44"/>
      <c r="F25" s="44"/>
      <c r="G25" s="44"/>
      <c r="H25" s="44"/>
      <c r="I25" s="113"/>
      <c r="J25" s="113"/>
      <c r="K25" s="113"/>
      <c r="L25" s="113"/>
      <c r="M25" s="113"/>
      <c r="N25" s="44"/>
      <c r="O25" s="45"/>
    </row>
    <row r="26" spans="1:15" ht="15.75" thickBot="1">
      <c r="A26" s="40"/>
      <c r="B26" s="2"/>
      <c r="C26" s="43" t="s">
        <v>289</v>
      </c>
      <c r="D26" s="44"/>
      <c r="E26" s="44"/>
      <c r="F26" s="44"/>
      <c r="G26" s="44"/>
      <c r="H26" s="44"/>
      <c r="I26" s="113"/>
      <c r="J26" s="113"/>
      <c r="K26" s="113"/>
      <c r="L26" s="113"/>
      <c r="M26" s="113"/>
      <c r="N26" s="44"/>
      <c r="O26" s="45"/>
    </row>
    <row r="27" spans="1:15" ht="15.75" thickBot="1">
      <c r="A27" s="40"/>
      <c r="B27" s="2"/>
      <c r="C27" s="44" t="s">
        <v>26</v>
      </c>
      <c r="D27" s="44"/>
      <c r="E27" s="44"/>
      <c r="F27" s="44"/>
      <c r="G27" s="44"/>
      <c r="H27" s="44"/>
      <c r="I27" s="424">
        <f>VLOOKUP($F$1,Part4,10,FALSE)</f>
        <v>1927101662</v>
      </c>
      <c r="J27" s="425"/>
      <c r="K27" s="113"/>
      <c r="L27" s="113"/>
      <c r="M27" s="113"/>
      <c r="N27" s="44"/>
      <c r="O27" s="45"/>
    </row>
    <row r="28" spans="1:15" ht="15" thickBot="1">
      <c r="A28" s="40"/>
      <c r="B28" s="2"/>
      <c r="C28" s="44"/>
      <c r="D28" s="44"/>
      <c r="E28" s="44"/>
      <c r="F28" s="44"/>
      <c r="G28" s="44"/>
      <c r="H28" s="44"/>
      <c r="I28" s="113"/>
      <c r="J28" s="113"/>
      <c r="K28" s="113"/>
      <c r="L28" s="113"/>
      <c r="M28" s="113"/>
      <c r="N28" s="44"/>
      <c r="O28" s="45"/>
    </row>
    <row r="29" spans="1:15" ht="15.75" thickBot="1">
      <c r="A29" s="40"/>
      <c r="B29" s="2"/>
      <c r="C29" s="44" t="s">
        <v>27</v>
      </c>
      <c r="D29" s="44"/>
      <c r="E29" s="44"/>
      <c r="F29" s="44"/>
      <c r="G29" s="44"/>
      <c r="H29" s="44"/>
      <c r="I29" s="424">
        <f>VLOOKUP($F$1,Part4,11,FALSE)</f>
        <v>93930003</v>
      </c>
      <c r="J29" s="425"/>
      <c r="K29" s="113"/>
      <c r="L29" s="113"/>
      <c r="M29" s="113"/>
      <c r="N29" s="44"/>
      <c r="O29" s="45"/>
    </row>
    <row r="30" spans="1:15" ht="15" thickBot="1">
      <c r="A30" s="40"/>
      <c r="B30" s="2"/>
      <c r="C30" s="44"/>
      <c r="D30" s="44"/>
      <c r="E30" s="44"/>
      <c r="F30" s="44"/>
      <c r="G30" s="44"/>
      <c r="H30" s="44"/>
      <c r="I30" s="113"/>
      <c r="J30" s="113"/>
      <c r="K30" s="113"/>
      <c r="L30" s="113"/>
      <c r="M30" s="113"/>
      <c r="N30" s="44"/>
      <c r="O30" s="45"/>
    </row>
    <row r="31" spans="1:15" ht="15.75" thickBot="1">
      <c r="A31" s="40"/>
      <c r="B31" s="2"/>
      <c r="C31" s="367" t="s">
        <v>28</v>
      </c>
      <c r="D31" s="367"/>
      <c r="E31" s="367"/>
      <c r="F31" s="367"/>
      <c r="G31" s="367"/>
      <c r="H31" s="44"/>
      <c r="I31" s="424">
        <f>VLOOKUP($F$1,Part4,12,FALSE)</f>
        <v>10871261080</v>
      </c>
      <c r="J31" s="425"/>
      <c r="K31" s="113"/>
      <c r="L31" s="113"/>
      <c r="M31" s="113"/>
      <c r="N31" s="44"/>
      <c r="O31" s="45"/>
    </row>
    <row r="32" spans="1:15" ht="15">
      <c r="A32" s="40"/>
      <c r="B32" s="2"/>
      <c r="C32" s="367"/>
      <c r="D32" s="367"/>
      <c r="E32" s="367"/>
      <c r="F32" s="367"/>
      <c r="G32" s="367"/>
      <c r="H32" s="44"/>
      <c r="I32" s="113"/>
      <c r="J32" s="113"/>
      <c r="K32" s="113"/>
      <c r="L32" s="113"/>
      <c r="M32" s="113"/>
      <c r="N32" s="44"/>
      <c r="O32" s="45"/>
    </row>
    <row r="33" spans="1:15" ht="15" thickBot="1">
      <c r="A33" s="40"/>
      <c r="B33" s="2"/>
      <c r="C33" s="44"/>
      <c r="D33" s="44"/>
      <c r="E33" s="44"/>
      <c r="F33" s="44"/>
      <c r="G33" s="44"/>
      <c r="H33" s="44"/>
      <c r="I33" s="113"/>
      <c r="J33" s="113"/>
      <c r="K33" s="113"/>
      <c r="L33" s="113"/>
      <c r="M33" s="113"/>
      <c r="N33" s="44"/>
      <c r="O33" s="45"/>
    </row>
    <row r="34" spans="1:15" ht="15.75" thickBot="1">
      <c r="A34" s="40"/>
      <c r="B34" s="2"/>
      <c r="C34" s="44" t="s">
        <v>29</v>
      </c>
      <c r="D34" s="44"/>
      <c r="E34" s="44"/>
      <c r="F34" s="44"/>
      <c r="G34" s="44"/>
      <c r="H34" s="44"/>
      <c r="I34" s="424">
        <f>VLOOKUP($F$1,Part4,13,FALSE)</f>
        <v>2154050181</v>
      </c>
      <c r="J34" s="425"/>
      <c r="K34" s="113"/>
      <c r="L34" s="113"/>
      <c r="M34" s="113"/>
      <c r="N34" s="44"/>
      <c r="O34" s="45"/>
    </row>
    <row r="35" spans="1:15" ht="15">
      <c r="A35" s="40"/>
      <c r="B35" s="2"/>
      <c r="C35" s="44" t="s">
        <v>54</v>
      </c>
      <c r="D35" s="44"/>
      <c r="E35" s="44"/>
      <c r="F35" s="44"/>
      <c r="G35" s="44"/>
      <c r="H35" s="44"/>
      <c r="I35" s="44"/>
      <c r="J35" s="44"/>
      <c r="K35" s="44"/>
      <c r="L35" s="113"/>
      <c r="M35" s="113"/>
      <c r="N35" s="44"/>
      <c r="O35" s="45"/>
    </row>
    <row r="36" spans="1:15" ht="15" thickBot="1">
      <c r="A36" s="40"/>
      <c r="B36" s="2"/>
      <c r="C36" s="44"/>
      <c r="D36" s="44"/>
      <c r="E36" s="44"/>
      <c r="F36" s="44"/>
      <c r="G36" s="44"/>
      <c r="H36" s="44"/>
      <c r="I36" s="113"/>
      <c r="J36" s="113"/>
      <c r="K36" s="113"/>
      <c r="L36" s="113"/>
      <c r="M36" s="113"/>
      <c r="N36" s="44"/>
      <c r="O36" s="45"/>
    </row>
    <row r="37" spans="1:15" ht="15.75" thickBot="1">
      <c r="A37" s="40"/>
      <c r="B37" s="2"/>
      <c r="C37" s="367" t="s">
        <v>30</v>
      </c>
      <c r="D37" s="367"/>
      <c r="E37" s="367"/>
      <c r="F37" s="367"/>
      <c r="G37" s="367"/>
      <c r="H37" s="44"/>
      <c r="I37" s="424">
        <f>VLOOKUP($F$1,Part4,14,FALSE)</f>
        <v>8664398417</v>
      </c>
      <c r="J37" s="425"/>
      <c r="K37" s="113"/>
      <c r="L37" s="113"/>
      <c r="M37" s="113"/>
      <c r="N37" s="44"/>
      <c r="O37" s="45"/>
    </row>
    <row r="38" spans="1:15" ht="15">
      <c r="A38" s="40"/>
      <c r="B38" s="2"/>
      <c r="C38" s="367"/>
      <c r="D38" s="367"/>
      <c r="E38" s="367"/>
      <c r="F38" s="367"/>
      <c r="G38" s="367"/>
      <c r="H38" s="44"/>
      <c r="I38" s="113"/>
      <c r="J38" s="113"/>
      <c r="K38" s="113"/>
      <c r="L38" s="113"/>
      <c r="M38" s="113"/>
      <c r="N38" s="44"/>
      <c r="O38" s="45"/>
    </row>
    <row r="39" spans="1:15" ht="15" thickBot="1">
      <c r="A39" s="40"/>
      <c r="B39" s="2"/>
      <c r="C39" s="109"/>
      <c r="D39" s="109"/>
      <c r="E39" s="109"/>
      <c r="F39" s="109"/>
      <c r="G39" s="109"/>
      <c r="H39" s="44"/>
      <c r="I39" s="113"/>
      <c r="J39" s="113"/>
      <c r="K39" s="113"/>
      <c r="L39" s="113"/>
      <c r="M39" s="113"/>
      <c r="N39" s="44"/>
      <c r="O39" s="45"/>
    </row>
    <row r="40" spans="1:15" ht="15.75" thickBot="1">
      <c r="A40" s="40"/>
      <c r="B40" s="2"/>
      <c r="C40" s="64" t="s">
        <v>31</v>
      </c>
      <c r="D40" s="109"/>
      <c r="E40" s="109"/>
      <c r="F40" s="109"/>
      <c r="G40" s="109"/>
      <c r="H40" s="44"/>
      <c r="I40" s="424">
        <f>VLOOKUP($F$1,Part4,15,FALSE)</f>
        <v>96155511</v>
      </c>
      <c r="J40" s="425"/>
      <c r="K40" s="113"/>
      <c r="L40" s="113"/>
      <c r="M40" s="113"/>
      <c r="N40" s="44"/>
      <c r="O40" s="45"/>
    </row>
    <row r="41" spans="1:15" ht="15">
      <c r="A41" s="40"/>
      <c r="B41" s="2"/>
      <c r="C41" s="64" t="s">
        <v>55</v>
      </c>
      <c r="D41" s="109"/>
      <c r="E41" s="109"/>
      <c r="F41" s="109"/>
      <c r="G41" s="109"/>
      <c r="H41" s="44"/>
      <c r="I41" s="113"/>
      <c r="J41" s="113"/>
      <c r="K41" s="113"/>
      <c r="L41" s="113"/>
      <c r="M41" s="113"/>
      <c r="N41" s="44"/>
      <c r="O41" s="45"/>
    </row>
    <row r="42" spans="1:15" ht="15" thickBot="1">
      <c r="A42" s="40"/>
      <c r="B42" s="2"/>
      <c r="C42" s="64"/>
      <c r="D42" s="109"/>
      <c r="E42" s="109"/>
      <c r="F42" s="109"/>
      <c r="G42" s="109"/>
      <c r="H42" s="44"/>
      <c r="I42" s="113"/>
      <c r="J42" s="113"/>
      <c r="K42" s="113"/>
      <c r="L42" s="113"/>
      <c r="M42" s="113"/>
      <c r="N42" s="44"/>
      <c r="O42" s="45"/>
    </row>
    <row r="43" spans="1:15" ht="15.75" thickBot="1">
      <c r="A43" s="40"/>
      <c r="C43" s="44" t="s">
        <v>36</v>
      </c>
      <c r="D43" s="44"/>
      <c r="E43" s="44"/>
      <c r="F43" s="44"/>
      <c r="G43" s="44"/>
      <c r="H43" s="44"/>
      <c r="I43" s="424">
        <f>VLOOKUP($F$1,Part4,16,FALSE)</f>
        <v>32578362</v>
      </c>
      <c r="J43" s="425"/>
      <c r="K43" s="228"/>
      <c r="L43" s="113"/>
      <c r="M43" s="113"/>
      <c r="N43" s="44"/>
      <c r="O43" s="45"/>
    </row>
    <row r="44" spans="1:15" ht="15.75" thickBot="1">
      <c r="A44" s="40"/>
      <c r="B44" s="2"/>
      <c r="C44" s="44"/>
      <c r="D44" s="44"/>
      <c r="E44" s="44"/>
      <c r="F44" s="44"/>
      <c r="G44" s="44"/>
      <c r="H44" s="44"/>
      <c r="I44" s="114"/>
      <c r="J44" s="114"/>
      <c r="K44" s="113"/>
      <c r="L44" s="113"/>
      <c r="M44" s="113"/>
      <c r="N44" s="44"/>
      <c r="O44" s="45"/>
    </row>
    <row r="45" spans="1:15" ht="15.75" thickBot="1">
      <c r="A45" s="40"/>
      <c r="B45" s="2"/>
      <c r="C45" s="44" t="s">
        <v>32</v>
      </c>
      <c r="D45" s="44"/>
      <c r="E45" s="44"/>
      <c r="F45" s="44"/>
      <c r="G45" s="44"/>
      <c r="H45" s="44"/>
      <c r="I45" s="424">
        <f>VLOOKUP($F$1,Part4,17,FALSE)</f>
        <v>8514558</v>
      </c>
      <c r="J45" s="425"/>
      <c r="K45" s="113"/>
      <c r="L45" s="113"/>
      <c r="M45" s="113"/>
      <c r="N45" s="44"/>
      <c r="O45" s="45"/>
    </row>
    <row r="46" spans="1:15" ht="15.75" thickBot="1">
      <c r="A46" s="40"/>
      <c r="B46" s="2"/>
      <c r="C46" s="44"/>
      <c r="D46" s="44"/>
      <c r="E46" s="44"/>
      <c r="F46" s="44"/>
      <c r="G46" s="44"/>
      <c r="H46" s="44"/>
      <c r="I46" s="114"/>
      <c r="J46" s="114"/>
      <c r="K46" s="113"/>
      <c r="L46" s="113"/>
      <c r="M46" s="113"/>
      <c r="N46" s="44"/>
      <c r="O46" s="45"/>
    </row>
    <row r="47" spans="1:15" ht="15.75" thickBot="1">
      <c r="A47" s="40"/>
      <c r="B47" s="2"/>
      <c r="C47" s="43" t="s">
        <v>33</v>
      </c>
      <c r="D47" s="44"/>
      <c r="E47" s="44"/>
      <c r="F47" s="44"/>
      <c r="G47" s="44"/>
      <c r="H47" s="44"/>
      <c r="I47" s="113"/>
      <c r="J47" s="113"/>
      <c r="K47" s="113"/>
      <c r="L47" s="424">
        <f>VLOOKUP($F$1,Part4,18,FALSE)</f>
        <v>23847989774</v>
      </c>
      <c r="M47" s="425"/>
      <c r="N47" s="111"/>
      <c r="O47" s="45"/>
    </row>
    <row r="48" spans="1:15" ht="15.75" thickBot="1">
      <c r="A48" s="40"/>
      <c r="B48" s="2"/>
      <c r="C48" s="43"/>
      <c r="D48" s="44"/>
      <c r="E48" s="44"/>
      <c r="F48" s="44"/>
      <c r="G48" s="44"/>
      <c r="H48" s="44"/>
      <c r="I48" s="113"/>
      <c r="J48" s="113"/>
      <c r="K48" s="113"/>
      <c r="L48" s="113"/>
      <c r="M48" s="113"/>
      <c r="N48" s="113"/>
      <c r="O48" s="45"/>
    </row>
    <row r="49" spans="1:15" ht="15.75" thickBot="1">
      <c r="A49" s="40"/>
      <c r="B49" s="2"/>
      <c r="C49" s="43" t="s">
        <v>34</v>
      </c>
      <c r="D49" s="44"/>
      <c r="E49" s="44"/>
      <c r="F49" s="44"/>
      <c r="G49" s="44"/>
      <c r="H49" s="44"/>
      <c r="I49" s="113"/>
      <c r="J49" s="113"/>
      <c r="K49" s="113"/>
      <c r="L49" s="424">
        <f>VLOOKUP($F$1,Part4,19,FALSE)</f>
        <v>185945690</v>
      </c>
      <c r="M49" s="425"/>
      <c r="N49" s="111"/>
      <c r="O49" s="45"/>
    </row>
    <row r="50" spans="1:15" ht="15.75" thickBot="1">
      <c r="A50" s="40"/>
      <c r="B50" s="2"/>
      <c r="C50" s="43"/>
      <c r="D50" s="44"/>
      <c r="E50" s="44"/>
      <c r="F50" s="44"/>
      <c r="G50" s="44"/>
      <c r="H50" s="44"/>
      <c r="I50" s="113"/>
      <c r="J50" s="113"/>
      <c r="K50" s="113"/>
      <c r="L50" s="113"/>
      <c r="M50" s="113"/>
      <c r="N50" s="111"/>
      <c r="O50" s="45"/>
    </row>
    <row r="51" spans="1:15" ht="15">
      <c r="A51" s="40"/>
      <c r="B51" s="176"/>
      <c r="C51" s="177"/>
      <c r="D51" s="178"/>
      <c r="E51" s="178"/>
      <c r="F51" s="178"/>
      <c r="G51" s="178"/>
      <c r="H51" s="178"/>
      <c r="I51" s="179"/>
      <c r="J51" s="179"/>
      <c r="K51" s="179"/>
      <c r="L51" s="179"/>
      <c r="M51" s="179"/>
      <c r="N51" s="180"/>
      <c r="O51" s="45"/>
    </row>
    <row r="52" spans="1:15" ht="15.75" thickBot="1">
      <c r="A52" s="40"/>
      <c r="B52" s="181"/>
      <c r="C52" s="51" t="s">
        <v>56</v>
      </c>
      <c r="D52" s="52"/>
      <c r="E52" s="52"/>
      <c r="F52" s="52"/>
      <c r="G52" s="52"/>
      <c r="H52" s="52"/>
      <c r="I52" s="118"/>
      <c r="J52" s="118"/>
      <c r="K52" s="118"/>
      <c r="L52" s="433" t="s">
        <v>624</v>
      </c>
      <c r="M52" s="433"/>
      <c r="N52" s="182"/>
      <c r="O52" s="45"/>
    </row>
    <row r="53" spans="1:15" ht="15.75" thickBot="1">
      <c r="A53" s="40"/>
      <c r="B53" s="181"/>
      <c r="C53" s="52" t="s">
        <v>35</v>
      </c>
      <c r="D53" s="52"/>
      <c r="E53" s="52"/>
      <c r="F53" s="52"/>
      <c r="G53" s="52"/>
      <c r="H53" s="52"/>
      <c r="I53" s="118"/>
      <c r="J53" s="118"/>
      <c r="K53" s="118"/>
      <c r="L53" s="424">
        <f>VLOOKUP($F$1,Part4,20,FALSE)</f>
        <v>-518748193</v>
      </c>
      <c r="M53" s="425"/>
      <c r="N53" s="183"/>
      <c r="O53" s="45"/>
    </row>
    <row r="54" spans="1:15" ht="15.75" thickBot="1">
      <c r="A54" s="40"/>
      <c r="B54" s="184"/>
      <c r="C54" s="185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45"/>
    </row>
    <row r="55" spans="1:15" ht="20.25" customHeight="1" thickBo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89"/>
    </row>
    <row r="56" ht="12.75">
      <c r="A56" s="301"/>
    </row>
    <row r="57" ht="12.75">
      <c r="A57" s="301"/>
    </row>
  </sheetData>
  <sheetProtection/>
  <mergeCells count="26">
    <mergeCell ref="L13:M13"/>
    <mergeCell ref="I40:J40"/>
    <mergeCell ref="I22:J22"/>
    <mergeCell ref="I20:J20"/>
    <mergeCell ref="I16:J16"/>
    <mergeCell ref="L24:M24"/>
    <mergeCell ref="I18:J18"/>
    <mergeCell ref="I34:J34"/>
    <mergeCell ref="I37:J37"/>
    <mergeCell ref="L53:M53"/>
    <mergeCell ref="L52:M52"/>
    <mergeCell ref="I45:J45"/>
    <mergeCell ref="L47:M47"/>
    <mergeCell ref="I43:J43"/>
    <mergeCell ref="C37:G38"/>
    <mergeCell ref="L49:M49"/>
    <mergeCell ref="A3:O3"/>
    <mergeCell ref="C7:D7"/>
    <mergeCell ref="C31:G32"/>
    <mergeCell ref="I27:J27"/>
    <mergeCell ref="I29:J29"/>
    <mergeCell ref="I31:J31"/>
    <mergeCell ref="A5:O5"/>
    <mergeCell ref="A4:O4"/>
    <mergeCell ref="L12:M12"/>
    <mergeCell ref="I12:J1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11.421875" style="191" customWidth="1"/>
    <col min="2" max="2" width="14.57421875" style="191" customWidth="1"/>
    <col min="3" max="3" width="14.00390625" style="191" customWidth="1"/>
    <col min="4" max="4" width="3.7109375" style="191" customWidth="1"/>
    <col min="5" max="5" width="13.8515625" style="194" customWidth="1"/>
    <col min="6" max="6" width="10.28125" style="194" customWidth="1"/>
    <col min="7" max="7" width="18.57421875" style="194" customWidth="1"/>
    <col min="8" max="8" width="10.28125" style="194" customWidth="1"/>
    <col min="9" max="9" width="14.00390625" style="194" bestFit="1" customWidth="1"/>
    <col min="10" max="10" width="8.7109375" style="194" customWidth="1"/>
    <col min="11" max="11" width="12.00390625" style="194" bestFit="1" customWidth="1"/>
    <col min="12" max="12" width="5.7109375" style="194" customWidth="1"/>
    <col min="13" max="13" width="18.57421875" style="194" customWidth="1"/>
    <col min="14" max="14" width="8.57421875" style="194" customWidth="1"/>
    <col min="15" max="15" width="12.00390625" style="194" bestFit="1" customWidth="1"/>
    <col min="16" max="16" width="6.00390625" style="194" customWidth="1"/>
    <col min="17" max="17" width="12.00390625" style="194" bestFit="1" customWidth="1"/>
    <col min="18" max="18" width="11.421875" style="194" customWidth="1"/>
    <col min="19" max="19" width="12.00390625" style="194" bestFit="1" customWidth="1"/>
    <col min="20" max="20" width="6.421875" style="194" customWidth="1"/>
    <col min="21" max="21" width="11.421875" style="194" customWidth="1"/>
    <col min="22" max="22" width="6.421875" style="194" customWidth="1"/>
    <col min="23" max="23" width="14.00390625" style="194" bestFit="1" customWidth="1"/>
    <col min="24" max="24" width="5.8515625" style="194" customWidth="1"/>
    <col min="25" max="25" width="11.421875" style="194" customWidth="1"/>
    <col min="26" max="26" width="1.8515625" style="194" bestFit="1" customWidth="1"/>
    <col min="27" max="40" width="11.421875" style="194" customWidth="1"/>
    <col min="41" max="16384" width="11.421875" style="191" customWidth="1"/>
  </cols>
  <sheetData>
    <row r="1" spans="1:24" ht="15">
      <c r="A1" s="188" t="s">
        <v>608</v>
      </c>
      <c r="B1" s="213" t="e">
        <f>'Part 1'!#REF!</f>
        <v>#REF!</v>
      </c>
      <c r="C1" s="190" t="s">
        <v>609</v>
      </c>
      <c r="D1" s="189" t="s">
        <v>610</v>
      </c>
      <c r="E1" s="198">
        <f>'Part 1'!K15</f>
        <v>22435144785.450005</v>
      </c>
      <c r="F1" s="193" t="s">
        <v>610</v>
      </c>
      <c r="G1" s="198">
        <f>'Part 1'!K21</f>
        <v>82920308.56</v>
      </c>
      <c r="H1" s="193" t="s">
        <v>610</v>
      </c>
      <c r="I1" s="198">
        <f>'Part 1'!K23</f>
        <v>9045578.240000002</v>
      </c>
      <c r="J1" s="193" t="s">
        <v>610</v>
      </c>
      <c r="K1" s="198">
        <f>'Part 1'!K26</f>
        <v>83999996</v>
      </c>
      <c r="L1" s="193" t="s">
        <v>610</v>
      </c>
      <c r="M1" s="198">
        <f>'Part 1'!K28</f>
        <v>99198</v>
      </c>
      <c r="N1" s="193" t="s">
        <v>610</v>
      </c>
      <c r="O1" s="198">
        <f>'Part 1'!K30</f>
        <v>84099194</v>
      </c>
      <c r="P1" s="193" t="s">
        <v>610</v>
      </c>
      <c r="Q1" s="198">
        <f>'Part 1'!K33</f>
        <v>10743000</v>
      </c>
      <c r="R1" s="193" t="s">
        <v>610</v>
      </c>
      <c r="S1" s="198">
        <f>'Part 1'!K36</f>
        <v>8986747.5</v>
      </c>
      <c r="T1" s="193" t="s">
        <v>610</v>
      </c>
      <c r="U1" s="198">
        <f>'Part 1'!K38</f>
        <v>10261844</v>
      </c>
      <c r="V1" s="193" t="s">
        <v>610</v>
      </c>
      <c r="W1" s="198">
        <f>'Part 1'!K40</f>
        <v>8680749</v>
      </c>
      <c r="X1" s="193" t="s">
        <v>610</v>
      </c>
    </row>
    <row r="2" spans="1:24" ht="15">
      <c r="A2" s="188" t="s">
        <v>608</v>
      </c>
      <c r="B2" s="213" t="e">
        <f>'Part 1'!#REF!</f>
        <v>#REF!</v>
      </c>
      <c r="C2" s="190" t="s">
        <v>609</v>
      </c>
      <c r="D2" s="189" t="s">
        <v>610</v>
      </c>
      <c r="E2" s="198">
        <f>'Part 1'!K43</f>
        <v>8087962</v>
      </c>
      <c r="F2" s="193" t="s">
        <v>610</v>
      </c>
      <c r="G2" s="198">
        <f>'Part 1'!K45</f>
        <v>592787</v>
      </c>
      <c r="H2" s="193" t="s">
        <v>610</v>
      </c>
      <c r="I2" s="198">
        <f>'Part 1'!K48</f>
        <v>22386247983.950012</v>
      </c>
      <c r="J2" s="193" t="s">
        <v>610</v>
      </c>
      <c r="K2" s="198">
        <f>'Part 1'!K63</f>
        <v>11193123997.879993</v>
      </c>
      <c r="L2" s="193" t="s">
        <v>610</v>
      </c>
      <c r="M2" s="198">
        <f>'Part 1'!N63</f>
        <v>9067595229.5</v>
      </c>
      <c r="N2" s="193" t="s">
        <v>610</v>
      </c>
      <c r="O2" s="198">
        <f>'Part 1'!Q63</f>
        <v>2001298668.3</v>
      </c>
      <c r="P2" s="193" t="s">
        <v>610</v>
      </c>
      <c r="Q2" s="198">
        <f>'Part 1'!T63</f>
        <v>124230088</v>
      </c>
      <c r="R2" s="193" t="s">
        <v>610</v>
      </c>
      <c r="S2" s="198">
        <f>'Part 1'!W63</f>
        <v>22386247983.4</v>
      </c>
      <c r="T2" s="193" t="s">
        <v>610</v>
      </c>
      <c r="U2" s="198">
        <f>'Part 1'!K66</f>
        <v>5969159</v>
      </c>
      <c r="V2" s="193" t="s">
        <v>610</v>
      </c>
      <c r="W2" s="198">
        <f>'Part 1'!K68</f>
        <v>11187154839.379993</v>
      </c>
      <c r="X2" s="193" t="s">
        <v>610</v>
      </c>
    </row>
    <row r="3" spans="1:24" ht="15">
      <c r="A3" s="188" t="s">
        <v>608</v>
      </c>
      <c r="B3" s="213" t="e">
        <f>'Part 1'!#REF!</f>
        <v>#REF!</v>
      </c>
      <c r="C3" s="190" t="s">
        <v>609</v>
      </c>
      <c r="D3" s="189" t="s">
        <v>610</v>
      </c>
      <c r="E3" s="198">
        <f>'Part 1'!N71</f>
        <v>84099194</v>
      </c>
      <c r="F3" s="193" t="s">
        <v>610</v>
      </c>
      <c r="G3" s="198">
        <f>'Part 1'!W71</f>
        <v>84099194</v>
      </c>
      <c r="H3" s="193" t="s">
        <v>610</v>
      </c>
      <c r="I3" s="198">
        <f>'Part 1'!N73</f>
        <v>8986747.5</v>
      </c>
      <c r="J3" s="193" t="s">
        <v>610</v>
      </c>
      <c r="K3" s="198">
        <f>'Part 1'!W73</f>
        <v>8986747.5</v>
      </c>
      <c r="L3" s="193" t="s">
        <v>610</v>
      </c>
      <c r="M3" s="198">
        <f>'Part 1'!N75</f>
        <v>10261844</v>
      </c>
      <c r="N3" s="193" t="s">
        <v>610</v>
      </c>
      <c r="O3" s="198">
        <f>'Part 1'!W75</f>
        <v>10261844</v>
      </c>
      <c r="P3" s="193" t="s">
        <v>610</v>
      </c>
      <c r="Q3" s="198">
        <f>'Part 1'!N77</f>
        <v>8087962</v>
      </c>
      <c r="R3" s="193" t="s">
        <v>610</v>
      </c>
      <c r="S3" s="198">
        <f>'Part 1'!Q77</f>
        <v>592787</v>
      </c>
      <c r="T3" s="193" t="s">
        <v>610</v>
      </c>
      <c r="U3" s="198">
        <f>'Part 1'!W77</f>
        <v>8680749</v>
      </c>
      <c r="V3" s="193" t="s">
        <v>610</v>
      </c>
      <c r="W3" s="198">
        <f>'Part 1'!N79</f>
        <v>5909279</v>
      </c>
      <c r="X3" s="193" t="s">
        <v>610</v>
      </c>
    </row>
    <row r="4" spans="1:24" ht="15">
      <c r="A4" s="188" t="s">
        <v>608</v>
      </c>
      <c r="B4" s="213" t="e">
        <f>'Part 1'!#REF!</f>
        <v>#REF!</v>
      </c>
      <c r="C4" s="190" t="s">
        <v>609</v>
      </c>
      <c r="D4" s="189" t="s">
        <v>610</v>
      </c>
      <c r="E4" s="198">
        <f>'Part 1'!Q79</f>
        <v>50344</v>
      </c>
      <c r="F4" s="193" t="s">
        <v>610</v>
      </c>
      <c r="G4" s="198">
        <f>'Part 1'!T79</f>
        <v>9536</v>
      </c>
      <c r="H4" s="193" t="s">
        <v>610</v>
      </c>
      <c r="I4" s="198">
        <f>'Part 1'!W79</f>
        <v>5969159</v>
      </c>
      <c r="J4" s="193" t="s">
        <v>610</v>
      </c>
      <c r="K4" s="198">
        <f>'Part 1'!N81</f>
        <v>10743000</v>
      </c>
      <c r="L4" s="193" t="s">
        <v>610</v>
      </c>
      <c r="M4" s="198">
        <f>'Part 1'!W81</f>
        <v>10743000</v>
      </c>
      <c r="N4" s="193" t="s">
        <v>610</v>
      </c>
      <c r="O4" s="198">
        <f>'Part 1'!K84</f>
        <v>-259374093.51999995</v>
      </c>
      <c r="P4" s="193" t="s">
        <v>610</v>
      </c>
      <c r="Q4" s="198">
        <f>'Part 1'!N84</f>
        <v>-219837331.46999988</v>
      </c>
      <c r="R4" s="193" t="s">
        <v>610</v>
      </c>
      <c r="S4" s="198">
        <f>'Part 1'!Q84</f>
        <v>-36106046.10000001</v>
      </c>
      <c r="T4" s="193" t="s">
        <v>610</v>
      </c>
      <c r="U4" s="198">
        <f>'Part 1'!T84</f>
        <v>-3430714.9300000006</v>
      </c>
      <c r="V4" s="193" t="s">
        <v>610</v>
      </c>
      <c r="W4" s="198">
        <f>'Part 1'!W84</f>
        <v>-518748186.98999995</v>
      </c>
      <c r="X4" s="193" t="s">
        <v>610</v>
      </c>
    </row>
    <row r="5" spans="1:24" ht="15">
      <c r="A5" s="188" t="s">
        <v>608</v>
      </c>
      <c r="B5" s="213" t="e">
        <f>'Part 1'!#REF!</f>
        <v>#REF!</v>
      </c>
      <c r="C5" s="190" t="s">
        <v>609</v>
      </c>
      <c r="D5" s="189" t="s">
        <v>610</v>
      </c>
      <c r="E5" s="198">
        <f>'Part 1'!K88</f>
        <v>10927780772.7</v>
      </c>
      <c r="F5" s="193" t="s">
        <v>610</v>
      </c>
      <c r="G5" s="198">
        <f>'Part 1'!N88</f>
        <v>8975845924.2</v>
      </c>
      <c r="H5" s="193" t="s">
        <v>610</v>
      </c>
      <c r="I5" s="198">
        <f>'Part 1'!Q88</f>
        <v>1965835747.49</v>
      </c>
      <c r="J5" s="193" t="s">
        <v>610</v>
      </c>
      <c r="K5" s="198">
        <f>'Part 1'!T88</f>
        <v>120808911.06</v>
      </c>
      <c r="L5" s="193" t="s">
        <v>610</v>
      </c>
      <c r="M5" s="198">
        <f>'Part 1'!W88</f>
        <v>21990271333.5</v>
      </c>
      <c r="N5" s="193" t="s">
        <v>610</v>
      </c>
      <c r="O5" s="198">
        <f>'Part 1'!N104</f>
        <v>97618724</v>
      </c>
      <c r="P5" s="193" t="s">
        <v>610</v>
      </c>
      <c r="Q5" s="198">
        <f>'Part 1'!Q104</f>
        <v>21252036</v>
      </c>
      <c r="R5" s="193" t="s">
        <v>610</v>
      </c>
      <c r="S5" s="198">
        <f>'Part 1'!T104</f>
        <v>1318893</v>
      </c>
      <c r="T5" s="193" t="s">
        <v>610</v>
      </c>
      <c r="U5" s="198">
        <f>'Part 1'!W104</f>
        <v>120189653</v>
      </c>
      <c r="V5" s="193" t="s">
        <v>610</v>
      </c>
      <c r="W5" s="198">
        <f>'Part 1'!N107</f>
        <v>213984760</v>
      </c>
      <c r="X5" s="193" t="s">
        <v>610</v>
      </c>
    </row>
    <row r="6" spans="1:24" ht="15">
      <c r="A6" s="188" t="s">
        <v>608</v>
      </c>
      <c r="B6" s="213" t="e">
        <f>'Part 1'!#REF!</f>
        <v>#REF!</v>
      </c>
      <c r="C6" s="190" t="s">
        <v>609</v>
      </c>
      <c r="D6" s="189" t="s">
        <v>610</v>
      </c>
      <c r="E6" s="198">
        <f>'Part 1'!Q107</f>
        <v>31041015</v>
      </c>
      <c r="F6" s="193" t="s">
        <v>610</v>
      </c>
      <c r="G6" s="198">
        <f>'Part 1'!T107</f>
        <v>3461108</v>
      </c>
      <c r="H6" s="193" t="s">
        <v>610</v>
      </c>
      <c r="I6" s="198">
        <f>'Part 1'!W107</f>
        <v>248486883</v>
      </c>
      <c r="J6" s="193" t="s">
        <v>610</v>
      </c>
      <c r="K6" s="198">
        <f>'Part 1'!N109</f>
        <v>3488405</v>
      </c>
      <c r="L6" s="193" t="s">
        <v>610</v>
      </c>
      <c r="M6" s="198">
        <f>'Part 1'!Q109</f>
        <v>547167</v>
      </c>
      <c r="N6" s="193" t="s">
        <v>610</v>
      </c>
      <c r="O6" s="198">
        <f>'Part 1'!T109</f>
        <v>57107</v>
      </c>
      <c r="P6" s="193" t="s">
        <v>610</v>
      </c>
      <c r="Q6" s="198">
        <f>'Part 1'!W109</f>
        <v>4092679</v>
      </c>
      <c r="R6" s="193" t="s">
        <v>610</v>
      </c>
      <c r="S6" s="198">
        <f>'Part 1'!N112</f>
        <v>8876359</v>
      </c>
      <c r="T6" s="193" t="s">
        <v>610</v>
      </c>
      <c r="U6" s="198">
        <f>'Part 1'!Q112</f>
        <v>2662676</v>
      </c>
      <c r="V6" s="193" t="s">
        <v>610</v>
      </c>
      <c r="W6" s="198">
        <f>'Part 1'!T112</f>
        <v>93206</v>
      </c>
      <c r="X6" s="193" t="s">
        <v>610</v>
      </c>
    </row>
    <row r="7" spans="1:24" ht="15">
      <c r="A7" s="188" t="s">
        <v>608</v>
      </c>
      <c r="B7" s="213" t="e">
        <f>'Part 1'!#REF!</f>
        <v>#REF!</v>
      </c>
      <c r="C7" s="190" t="s">
        <v>609</v>
      </c>
      <c r="D7" s="189" t="s">
        <v>610</v>
      </c>
      <c r="E7" s="199">
        <f>'Part 1'!W112</f>
        <v>11632241</v>
      </c>
      <c r="F7" s="193" t="s">
        <v>610</v>
      </c>
      <c r="G7" s="198">
        <f>'Part 1'!N115</f>
        <v>20362213</v>
      </c>
      <c r="H7" s="193" t="s">
        <v>610</v>
      </c>
      <c r="I7" s="198">
        <f>'Part 1'!Q115</f>
        <v>5375007</v>
      </c>
      <c r="J7" s="193" t="s">
        <v>610</v>
      </c>
      <c r="K7" s="198">
        <f>'Part 1'!T115</f>
        <v>252643</v>
      </c>
      <c r="L7" s="193" t="s">
        <v>610</v>
      </c>
      <c r="M7" s="198">
        <f>'Part 1'!W115</f>
        <v>25989863</v>
      </c>
      <c r="N7" s="193" t="s">
        <v>610</v>
      </c>
      <c r="O7" s="198">
        <f>'Part 1'!N118</f>
        <v>114660651</v>
      </c>
      <c r="P7" s="193" t="s">
        <v>610</v>
      </c>
      <c r="Q7" s="198">
        <f>'Part 1'!Q118</f>
        <v>21207527</v>
      </c>
      <c r="R7" s="193" t="s">
        <v>610</v>
      </c>
      <c r="S7" s="198">
        <f>'Part 1'!T118</f>
        <v>1625301</v>
      </c>
      <c r="T7" s="193" t="s">
        <v>610</v>
      </c>
      <c r="U7" s="198">
        <f>'Part 1'!W118</f>
        <v>137493479</v>
      </c>
      <c r="V7" s="193" t="s">
        <v>610</v>
      </c>
      <c r="W7" s="198">
        <f>'Part 1'!N122</f>
        <v>458991112</v>
      </c>
      <c r="X7" s="193" t="s">
        <v>610</v>
      </c>
    </row>
    <row r="8" spans="1:24" ht="15">
      <c r="A8" s="188" t="s">
        <v>608</v>
      </c>
      <c r="B8" s="213" t="e">
        <f>'Part 1'!#REF!</f>
        <v>#REF!</v>
      </c>
      <c r="C8" s="190" t="s">
        <v>609</v>
      </c>
      <c r="D8" s="189" t="s">
        <v>610</v>
      </c>
      <c r="E8" s="198">
        <f>'Part 1'!Q122</f>
        <v>82085428</v>
      </c>
      <c r="F8" s="193" t="s">
        <v>610</v>
      </c>
      <c r="G8" s="198">
        <f>'Part 1'!T122</f>
        <v>6808258</v>
      </c>
      <c r="H8" s="193" t="s">
        <v>610</v>
      </c>
      <c r="I8" s="198">
        <f>'Part 1'!W122</f>
        <v>547884798</v>
      </c>
      <c r="J8" s="193" t="s">
        <v>610</v>
      </c>
      <c r="K8" s="198"/>
      <c r="L8" s="193"/>
      <c r="M8" s="198"/>
      <c r="N8" s="193"/>
      <c r="O8" s="198"/>
      <c r="P8" s="193"/>
      <c r="Q8" s="198"/>
      <c r="R8" s="193"/>
      <c r="S8" s="198"/>
      <c r="T8" s="193"/>
      <c r="U8" s="198"/>
      <c r="V8" s="193"/>
      <c r="W8" s="198"/>
      <c r="X8" s="193"/>
    </row>
    <row r="9" spans="1:24" ht="15">
      <c r="A9" s="188" t="s">
        <v>608</v>
      </c>
      <c r="B9" s="213" t="e">
        <f>'Part 1'!#REF!</f>
        <v>#REF!</v>
      </c>
      <c r="C9" s="189" t="s">
        <v>609</v>
      </c>
      <c r="D9" s="189" t="s">
        <v>610</v>
      </c>
      <c r="E9" s="200" t="str">
        <f>'Part 2'!F14</f>
        <v>   </v>
      </c>
      <c r="F9" s="193" t="s">
        <v>610</v>
      </c>
      <c r="G9" s="200">
        <f>'Part 2'!J14</f>
        <v>56806423579</v>
      </c>
      <c r="H9" s="193" t="s">
        <v>610</v>
      </c>
      <c r="I9" s="200">
        <f>'Part 2'!N14</f>
        <v>90319847</v>
      </c>
      <c r="J9" s="193" t="s">
        <v>610</v>
      </c>
      <c r="K9" s="200">
        <f>'Part 2'!R14</f>
        <v>204077437</v>
      </c>
      <c r="L9" s="193" t="s">
        <v>610</v>
      </c>
      <c r="M9" s="200">
        <f>'Part 2'!V14</f>
        <v>57100820863</v>
      </c>
      <c r="N9" s="193" t="s">
        <v>610</v>
      </c>
      <c r="O9" s="200">
        <f>'Part 2'!J19</f>
        <v>26755825498</v>
      </c>
      <c r="P9" s="193" t="s">
        <v>610</v>
      </c>
      <c r="Q9" s="200">
        <f>'Part 2'!N19</f>
        <v>42540649</v>
      </c>
      <c r="R9" s="193" t="s">
        <v>610</v>
      </c>
      <c r="S9" s="200">
        <f>'Part 2'!R19</f>
        <v>96120476</v>
      </c>
      <c r="T9" s="193" t="s">
        <v>610</v>
      </c>
      <c r="U9" s="200">
        <f>'Part 2'!J21</f>
        <v>-112452663.84</v>
      </c>
      <c r="V9" s="193" t="s">
        <v>610</v>
      </c>
      <c r="W9" s="200">
        <f>'Part 2'!N21</f>
        <v>592602</v>
      </c>
      <c r="X9" s="193" t="s">
        <v>610</v>
      </c>
    </row>
    <row r="10" spans="1:24" ht="15">
      <c r="A10" s="188" t="s">
        <v>608</v>
      </c>
      <c r="B10" s="213" t="e">
        <f>'Part 1'!#REF!</f>
        <v>#REF!</v>
      </c>
      <c r="C10" s="189" t="s">
        <v>609</v>
      </c>
      <c r="D10" s="189" t="s">
        <v>610</v>
      </c>
      <c r="E10" s="200">
        <f>'Part 2'!R21</f>
        <v>5056615</v>
      </c>
      <c r="F10" s="193" t="s">
        <v>610</v>
      </c>
      <c r="G10" s="200">
        <f>'Part 2'!J23</f>
        <v>26643372835.100002</v>
      </c>
      <c r="H10" s="193" t="s">
        <v>610</v>
      </c>
      <c r="I10" s="200">
        <f>'Part 2'!N23</f>
        <v>43133251</v>
      </c>
      <c r="J10" s="193" t="s">
        <v>610</v>
      </c>
      <c r="K10" s="200">
        <f>'Part 2'!R23</f>
        <v>101177091</v>
      </c>
      <c r="L10" s="193" t="s">
        <v>610</v>
      </c>
      <c r="M10" s="200">
        <f>'Part 2'!V23</f>
        <v>26787683177.100002</v>
      </c>
      <c r="N10" s="193" t="s">
        <v>610</v>
      </c>
      <c r="O10" s="200">
        <f>'Part 2'!J27</f>
        <v>91630551.42000003</v>
      </c>
      <c r="P10" s="193" t="s">
        <v>610</v>
      </c>
      <c r="Q10" s="200">
        <f>'Part 2'!N27</f>
        <v>10670</v>
      </c>
      <c r="R10" s="193" t="s">
        <v>610</v>
      </c>
      <c r="S10" s="200">
        <f>'Part 2'!R27</f>
        <v>146395.66999999998</v>
      </c>
      <c r="T10" s="193" t="s">
        <v>610</v>
      </c>
      <c r="U10" s="200">
        <f>'Part 2'!V27</f>
        <v>91787617.09000003</v>
      </c>
      <c r="V10" s="193" t="s">
        <v>610</v>
      </c>
      <c r="W10" s="200">
        <f>'Part 2'!J30</f>
        <v>14879097.409999996</v>
      </c>
      <c r="X10" s="193" t="s">
        <v>610</v>
      </c>
    </row>
    <row r="11" spans="1:24" ht="15">
      <c r="A11" s="188" t="s">
        <v>608</v>
      </c>
      <c r="B11" s="213" t="e">
        <f>'Part 1'!#REF!</f>
        <v>#REF!</v>
      </c>
      <c r="C11" s="189" t="s">
        <v>609</v>
      </c>
      <c r="D11" s="189" t="s">
        <v>610</v>
      </c>
      <c r="E11" s="200">
        <f>'Part 2'!N30</f>
        <v>73005</v>
      </c>
      <c r="F11" s="193" t="s">
        <v>610</v>
      </c>
      <c r="G11" s="200">
        <f>'Part 2'!R30</f>
        <v>64276.89</v>
      </c>
      <c r="H11" s="193" t="s">
        <v>610</v>
      </c>
      <c r="I11" s="200">
        <f>'Part 2'!V30</f>
        <v>15016379.299999997</v>
      </c>
      <c r="J11" s="193" t="s">
        <v>610</v>
      </c>
      <c r="K11" s="200">
        <f>'Part 2'!J33</f>
        <v>76751453.97000001</v>
      </c>
      <c r="L11" s="193" t="s">
        <v>610</v>
      </c>
      <c r="M11" s="200">
        <f>'Part 2'!N33</f>
        <v>-62335</v>
      </c>
      <c r="N11" s="193" t="s">
        <v>610</v>
      </c>
      <c r="O11" s="200">
        <f>'Part 2'!R33</f>
        <v>82118.78</v>
      </c>
      <c r="P11" s="193" t="s">
        <v>610</v>
      </c>
      <c r="Q11" s="200">
        <f>'Part 2'!J35</f>
        <v>-2889507.4299999997</v>
      </c>
      <c r="R11" s="193" t="s">
        <v>610</v>
      </c>
      <c r="S11" s="200">
        <f>'Part 2'!N35</f>
        <v>0</v>
      </c>
      <c r="T11" s="193" t="s">
        <v>610</v>
      </c>
      <c r="U11" s="200">
        <f>'Part 2'!R35</f>
        <v>-7000</v>
      </c>
      <c r="V11" s="193" t="s">
        <v>610</v>
      </c>
      <c r="W11" s="200">
        <f>'Part 2'!J39</f>
        <v>73861946.54</v>
      </c>
      <c r="X11" s="193" t="s">
        <v>610</v>
      </c>
    </row>
    <row r="12" spans="1:24" ht="15">
      <c r="A12" s="188" t="s">
        <v>608</v>
      </c>
      <c r="B12" s="213" t="e">
        <f>'Part 1'!#REF!</f>
        <v>#REF!</v>
      </c>
      <c r="C12" s="189" t="s">
        <v>609</v>
      </c>
      <c r="D12" s="189" t="s">
        <v>610</v>
      </c>
      <c r="E12" s="200">
        <f>'Part 2'!N39</f>
        <v>-62335</v>
      </c>
      <c r="F12" s="193" t="s">
        <v>610</v>
      </c>
      <c r="G12" s="200">
        <f>'Part 2'!R39</f>
        <v>75118.78</v>
      </c>
      <c r="H12" s="193" t="s">
        <v>610</v>
      </c>
      <c r="I12" s="200">
        <f>'Part 2'!V39</f>
        <v>73874730.32000001</v>
      </c>
      <c r="J12" s="193" t="s">
        <v>610</v>
      </c>
      <c r="K12" s="200">
        <f>'Part 2'!J44</f>
        <v>73861946.54</v>
      </c>
      <c r="L12" s="193" t="s">
        <v>610</v>
      </c>
      <c r="M12" s="200">
        <f>'Part 2'!N44</f>
        <v>-62335</v>
      </c>
      <c r="N12" s="193" t="s">
        <v>610</v>
      </c>
      <c r="O12" s="200">
        <f>'Part 2'!R44</f>
        <v>75118.78</v>
      </c>
      <c r="P12" s="193" t="s">
        <v>610</v>
      </c>
      <c r="Q12" s="200">
        <f>'Part 2'!V44</f>
        <v>73874730.32000001</v>
      </c>
      <c r="R12" s="193" t="s">
        <v>610</v>
      </c>
      <c r="S12" s="200">
        <f>'Part 2'!J50</f>
        <v>990360219.5599998</v>
      </c>
      <c r="T12" s="193" t="s">
        <v>610</v>
      </c>
      <c r="U12" s="200">
        <f>'Part 2'!N50</f>
        <v>833283.51</v>
      </c>
      <c r="V12" s="193" t="s">
        <v>610</v>
      </c>
      <c r="W12" s="200">
        <f>'Part 2'!R50</f>
        <v>833283.51</v>
      </c>
      <c r="X12" s="193" t="s">
        <v>610</v>
      </c>
    </row>
    <row r="13" spans="1:24" ht="15">
      <c r="A13" s="188" t="s">
        <v>608</v>
      </c>
      <c r="B13" s="213" t="e">
        <f>'Part 1'!#REF!</f>
        <v>#REF!</v>
      </c>
      <c r="C13" s="189" t="s">
        <v>609</v>
      </c>
      <c r="D13" s="189" t="s">
        <v>610</v>
      </c>
      <c r="E13" s="200">
        <f>'Part 2'!V50</f>
        <v>991606326.0699998</v>
      </c>
      <c r="F13" s="193" t="s">
        <v>610</v>
      </c>
      <c r="G13" s="200">
        <f>'Part 2'!J52</f>
        <v>8068220.02</v>
      </c>
      <c r="H13" s="193" t="s">
        <v>610</v>
      </c>
      <c r="I13" s="200">
        <f>'Part 2'!N52</f>
        <v>5263</v>
      </c>
      <c r="J13" s="193" t="s">
        <v>610</v>
      </c>
      <c r="K13" s="200">
        <f>'Part 2'!R52</f>
        <v>25897</v>
      </c>
      <c r="L13" s="193" t="s">
        <v>610</v>
      </c>
      <c r="M13" s="200">
        <f>'Part 2'!V52</f>
        <v>8099380.02</v>
      </c>
      <c r="N13" s="193" t="s">
        <v>610</v>
      </c>
      <c r="O13" s="200">
        <f>'Part 2'!J55</f>
        <v>531992299.6299998</v>
      </c>
      <c r="P13" s="193" t="s">
        <v>610</v>
      </c>
      <c r="Q13" s="200">
        <f>'Part 2'!N55</f>
        <v>882351</v>
      </c>
      <c r="R13" s="193" t="s">
        <v>610</v>
      </c>
      <c r="S13" s="200">
        <f>'Part 2'!R55</f>
        <v>1816317.71</v>
      </c>
      <c r="T13" s="193" t="s">
        <v>610</v>
      </c>
      <c r="U13" s="200">
        <f>'Part 2'!V55</f>
        <v>534690968.3399999</v>
      </c>
      <c r="V13" s="193" t="s">
        <v>610</v>
      </c>
      <c r="W13" s="200">
        <f>'Part 2'!J58</f>
        <v>458367919.67</v>
      </c>
      <c r="X13" s="193" t="s">
        <v>610</v>
      </c>
    </row>
    <row r="14" spans="1:24" ht="15">
      <c r="A14" s="188" t="s">
        <v>608</v>
      </c>
      <c r="B14" s="213" t="e">
        <f>'Part 1'!#REF!</f>
        <v>#REF!</v>
      </c>
      <c r="C14" s="189" t="s">
        <v>609</v>
      </c>
      <c r="D14" s="189" t="s">
        <v>610</v>
      </c>
      <c r="E14" s="200">
        <f>'Part 2'!N58</f>
        <v>-469528</v>
      </c>
      <c r="F14" s="193" t="s">
        <v>610</v>
      </c>
      <c r="G14" s="200">
        <f>'Part 2'!R58</f>
        <v>-983034.2</v>
      </c>
      <c r="H14" s="193" t="s">
        <v>610</v>
      </c>
      <c r="I14" s="200">
        <f>'Part 2'!V58</f>
        <v>456915357.4700001</v>
      </c>
      <c r="J14" s="193" t="s">
        <v>610</v>
      </c>
      <c r="K14" s="200">
        <f>'Part 2'!J61</f>
        <v>1417304662.99</v>
      </c>
      <c r="L14" s="193" t="s">
        <v>610</v>
      </c>
      <c r="M14" s="200">
        <f>'Part 2'!N61</f>
        <v>1678838</v>
      </c>
      <c r="N14" s="193" t="s">
        <v>610</v>
      </c>
      <c r="O14" s="200">
        <f>'Part 2'!R61</f>
        <v>571708.13</v>
      </c>
      <c r="P14" s="193" t="s">
        <v>610</v>
      </c>
      <c r="Q14" s="200">
        <f>'Part 2'!V61</f>
        <v>1419555209.1200001</v>
      </c>
      <c r="R14" s="193" t="s">
        <v>610</v>
      </c>
      <c r="S14" s="200">
        <f>'Part 2'!J64</f>
        <v>18613993.62</v>
      </c>
      <c r="T14" s="193" t="s">
        <v>610</v>
      </c>
      <c r="U14" s="200">
        <f>'Part 2'!N64</f>
        <v>0</v>
      </c>
      <c r="V14" s="193" t="s">
        <v>610</v>
      </c>
      <c r="W14" s="200">
        <f>'Part 2'!R64</f>
        <v>0</v>
      </c>
      <c r="X14" s="193" t="s">
        <v>610</v>
      </c>
    </row>
    <row r="15" spans="1:24" ht="15">
      <c r="A15" s="188" t="s">
        <v>608</v>
      </c>
      <c r="B15" s="213" t="e">
        <f>'Part 1'!#REF!</f>
        <v>#REF!</v>
      </c>
      <c r="C15" s="189" t="s">
        <v>609</v>
      </c>
      <c r="D15" s="189" t="s">
        <v>610</v>
      </c>
      <c r="E15" s="200">
        <f>'Part 2'!V64</f>
        <v>18613993.62</v>
      </c>
      <c r="F15" s="193" t="s">
        <v>610</v>
      </c>
      <c r="G15" s="200">
        <f>'Part 2'!J67</f>
        <v>6065031.970000001</v>
      </c>
      <c r="H15" s="193" t="s">
        <v>610</v>
      </c>
      <c r="I15" s="200">
        <f>'Part 2'!N67</f>
        <v>0</v>
      </c>
      <c r="J15" s="193" t="s">
        <v>610</v>
      </c>
      <c r="K15" s="200">
        <f>'Part 2'!R67</f>
        <v>771.2</v>
      </c>
      <c r="L15" s="193" t="s">
        <v>610</v>
      </c>
      <c r="M15" s="200">
        <f>'Part 2'!V67</f>
        <v>6065803.170000001</v>
      </c>
      <c r="N15" s="193" t="s">
        <v>610</v>
      </c>
      <c r="O15" s="200">
        <f>'Part 2'!J71</f>
        <v>1900351608.5800006</v>
      </c>
      <c r="P15" s="193" t="s">
        <v>610</v>
      </c>
      <c r="Q15" s="200">
        <f>'Part 2'!N71</f>
        <v>1209310</v>
      </c>
      <c r="R15" s="193" t="s">
        <v>610</v>
      </c>
      <c r="S15" s="200">
        <f>'Part 2'!R71</f>
        <v>-409363.87</v>
      </c>
      <c r="T15" s="193" t="s">
        <v>610</v>
      </c>
      <c r="U15" s="200">
        <f>'Part 2'!J74</f>
        <v>40831160.199999996</v>
      </c>
      <c r="V15" s="193" t="s">
        <v>610</v>
      </c>
      <c r="W15" s="200">
        <f>'Part 2'!N74</f>
        <v>36974</v>
      </c>
      <c r="X15" s="193" t="s">
        <v>610</v>
      </c>
    </row>
    <row r="16" spans="1:24" ht="15">
      <c r="A16" s="188" t="s">
        <v>608</v>
      </c>
      <c r="B16" s="213" t="e">
        <f>'Part 1'!#REF!</f>
        <v>#REF!</v>
      </c>
      <c r="C16" s="189" t="s">
        <v>609</v>
      </c>
      <c r="D16" s="189" t="s">
        <v>610</v>
      </c>
      <c r="E16" s="200">
        <f>'Part 2'!R74</f>
        <v>49368</v>
      </c>
      <c r="F16" s="193" t="s">
        <v>610</v>
      </c>
      <c r="G16" s="200">
        <f>'Part 2'!J77</f>
        <v>1941182768.7800004</v>
      </c>
      <c r="H16" s="193" t="s">
        <v>610</v>
      </c>
      <c r="I16" s="200">
        <f>'Part 2'!N77</f>
        <v>1246284</v>
      </c>
      <c r="J16" s="193" t="s">
        <v>610</v>
      </c>
      <c r="K16" s="200">
        <f>'Part 2'!R77</f>
        <v>-359995.87</v>
      </c>
      <c r="L16" s="193" t="s">
        <v>610</v>
      </c>
      <c r="M16" s="200">
        <f>'Part 2'!V77</f>
        <v>1942069056.9100003</v>
      </c>
      <c r="N16" s="193" t="s">
        <v>610</v>
      </c>
      <c r="O16" s="200">
        <f>'Part 2'!J85</f>
        <v>34310715.39</v>
      </c>
      <c r="P16" s="193" t="s">
        <v>610</v>
      </c>
      <c r="Q16" s="200">
        <f>'Part 2'!N85</f>
        <v>169831</v>
      </c>
      <c r="R16" s="193" t="s">
        <v>610</v>
      </c>
      <c r="S16" s="200">
        <f>'Part 2'!R85</f>
        <v>191015</v>
      </c>
      <c r="T16" s="193" t="s">
        <v>610</v>
      </c>
      <c r="U16" s="200">
        <f>'Part 2'!V85</f>
        <v>34671561.39</v>
      </c>
      <c r="V16" s="193" t="s">
        <v>610</v>
      </c>
      <c r="W16" s="200">
        <f>'Part 2'!J88</f>
        <v>902338731.68</v>
      </c>
      <c r="X16" s="193" t="s">
        <v>610</v>
      </c>
    </row>
    <row r="17" spans="1:24" ht="15">
      <c r="A17" s="188" t="s">
        <v>608</v>
      </c>
      <c r="B17" s="213" t="e">
        <f>'Part 1'!#REF!</f>
        <v>#REF!</v>
      </c>
      <c r="C17" s="189" t="s">
        <v>609</v>
      </c>
      <c r="D17" s="189" t="s">
        <v>610</v>
      </c>
      <c r="E17" s="200">
        <f>'Part 2'!N88</f>
        <v>4265974</v>
      </c>
      <c r="F17" s="193" t="s">
        <v>610</v>
      </c>
      <c r="G17" s="200">
        <f>'Part 2'!R88</f>
        <v>10675821.96</v>
      </c>
      <c r="H17" s="193" t="s">
        <v>610</v>
      </c>
      <c r="I17" s="200">
        <f>'Part 2'!V88</f>
        <v>917280527.6399999</v>
      </c>
      <c r="J17" s="193" t="s">
        <v>610</v>
      </c>
      <c r="K17" s="200">
        <f>'Part 2'!J92</f>
        <v>936649447.0700002</v>
      </c>
      <c r="L17" s="193" t="s">
        <v>610</v>
      </c>
      <c r="M17" s="200">
        <f>'Part 2'!N92</f>
        <v>4435805</v>
      </c>
      <c r="N17" s="193" t="s">
        <v>610</v>
      </c>
      <c r="O17" s="200">
        <f>'Part 2'!R92</f>
        <v>10866836.96</v>
      </c>
      <c r="P17" s="193" t="s">
        <v>610</v>
      </c>
      <c r="Q17" s="200">
        <f>'Part 2'!J95</f>
        <v>39446528.09</v>
      </c>
      <c r="R17" s="193" t="s">
        <v>610</v>
      </c>
      <c r="S17" s="200">
        <f>'Part 2'!N95</f>
        <v>-868533</v>
      </c>
      <c r="T17" s="193" t="s">
        <v>610</v>
      </c>
      <c r="U17" s="200">
        <f>'Part 2'!R95</f>
        <v>66102</v>
      </c>
      <c r="V17" s="193" t="s">
        <v>610</v>
      </c>
      <c r="W17" s="200">
        <f>'Part 2'!J98</f>
        <v>976095975.16</v>
      </c>
      <c r="X17" s="193" t="s">
        <v>610</v>
      </c>
    </row>
    <row r="18" spans="1:24" ht="15">
      <c r="A18" s="188" t="s">
        <v>608</v>
      </c>
      <c r="B18" s="213" t="e">
        <f>'Part 1'!#REF!</f>
        <v>#REF!</v>
      </c>
      <c r="C18" s="189" t="s">
        <v>609</v>
      </c>
      <c r="D18" s="189" t="s">
        <v>610</v>
      </c>
      <c r="E18" s="200">
        <f>'Part 2'!N98</f>
        <v>3567272</v>
      </c>
      <c r="F18" s="193" t="s">
        <v>610</v>
      </c>
      <c r="G18" s="200">
        <f>'Part 2'!R98</f>
        <v>10932938.96</v>
      </c>
      <c r="H18" s="193" t="s">
        <v>610</v>
      </c>
      <c r="I18" s="200">
        <f>'Part 2'!V98</f>
        <v>990596186.1199999</v>
      </c>
      <c r="J18" s="193" t="s">
        <v>610</v>
      </c>
      <c r="K18" s="200">
        <f>'Part 2'!J104</f>
        <v>43648482.95999999</v>
      </c>
      <c r="L18" s="193" t="s">
        <v>610</v>
      </c>
      <c r="M18" s="200">
        <f>'Part 2'!N104</f>
        <v>2313</v>
      </c>
      <c r="N18" s="193" t="s">
        <v>610</v>
      </c>
      <c r="O18" s="200">
        <f>'Part 2'!R104</f>
        <v>293031.18</v>
      </c>
      <c r="P18" s="193" t="s">
        <v>610</v>
      </c>
      <c r="Q18" s="200">
        <f>'Part 2'!V104</f>
        <v>43943827.13999999</v>
      </c>
      <c r="R18" s="193" t="s">
        <v>610</v>
      </c>
      <c r="S18" s="200">
        <f>'Part 2'!J107</f>
        <v>35528670.85</v>
      </c>
      <c r="T18" s="193" t="s">
        <v>610</v>
      </c>
      <c r="U18" s="200">
        <f>'Part 2'!N107</f>
        <v>265681</v>
      </c>
      <c r="V18" s="193" t="s">
        <v>610</v>
      </c>
      <c r="W18" s="200">
        <f>'Part 2'!R107</f>
        <v>86363.56</v>
      </c>
      <c r="X18" s="193" t="s">
        <v>610</v>
      </c>
    </row>
    <row r="19" spans="1:24" ht="15">
      <c r="A19" s="188" t="s">
        <v>608</v>
      </c>
      <c r="B19" s="213" t="e">
        <f>'Part 1'!#REF!</f>
        <v>#REF!</v>
      </c>
      <c r="C19" s="189" t="s">
        <v>609</v>
      </c>
      <c r="D19" s="189" t="s">
        <v>610</v>
      </c>
      <c r="E19" s="200">
        <f>'Part 2'!V107</f>
        <v>35880715.410000004</v>
      </c>
      <c r="F19" s="193" t="s">
        <v>610</v>
      </c>
      <c r="G19" s="200">
        <f>'Part 2'!J110</f>
        <v>1147178.7500000002</v>
      </c>
      <c r="H19" s="193" t="s">
        <v>610</v>
      </c>
      <c r="I19" s="200">
        <f>'Part 2'!N110</f>
        <v>0</v>
      </c>
      <c r="J19" s="193" t="s">
        <v>610</v>
      </c>
      <c r="K19" s="200">
        <f>'Part 2'!R110</f>
        <v>0</v>
      </c>
      <c r="L19" s="193" t="s">
        <v>610</v>
      </c>
      <c r="M19" s="200">
        <f>'Part 2'!V110</f>
        <v>1147178.7500000002</v>
      </c>
      <c r="N19" s="193" t="s">
        <v>610</v>
      </c>
      <c r="O19" s="200">
        <f>'Part 2'!J113</f>
        <v>3186015.829999999</v>
      </c>
      <c r="P19" s="193" t="s">
        <v>610</v>
      </c>
      <c r="Q19" s="200">
        <f>'Part 2'!N113</f>
        <v>0</v>
      </c>
      <c r="R19" s="193" t="s">
        <v>610</v>
      </c>
      <c r="S19" s="200">
        <f>'Part 2'!R113</f>
        <v>771.2</v>
      </c>
      <c r="T19" s="193" t="s">
        <v>610</v>
      </c>
      <c r="U19" s="200">
        <f>'Part 2'!V113</f>
        <v>3186787.029999999</v>
      </c>
      <c r="V19" s="193" t="s">
        <v>610</v>
      </c>
      <c r="W19" s="200">
        <f>'Part 2'!J116</f>
        <v>1624435.92</v>
      </c>
      <c r="X19" s="193" t="s">
        <v>610</v>
      </c>
    </row>
    <row r="20" spans="1:24" ht="15">
      <c r="A20" s="188" t="s">
        <v>608</v>
      </c>
      <c r="B20" s="213" t="e">
        <f>'Part 1'!#REF!</f>
        <v>#REF!</v>
      </c>
      <c r="C20" s="189" t="s">
        <v>609</v>
      </c>
      <c r="D20" s="189" t="s">
        <v>610</v>
      </c>
      <c r="E20" s="200">
        <f>'Part 2'!N116</f>
        <v>0</v>
      </c>
      <c r="F20" s="193" t="s">
        <v>610</v>
      </c>
      <c r="G20" s="200">
        <f>'Part 2'!R116</f>
        <v>0</v>
      </c>
      <c r="H20" s="193" t="s">
        <v>610</v>
      </c>
      <c r="I20" s="200">
        <f>'Part 2'!V116</f>
        <v>1624435.92</v>
      </c>
      <c r="J20" s="193" t="s">
        <v>610</v>
      </c>
      <c r="K20" s="200">
        <f>'Part 2'!J119</f>
        <v>3838108.55</v>
      </c>
      <c r="L20" s="193" t="s">
        <v>610</v>
      </c>
      <c r="M20" s="200">
        <f>'Part 2'!N119</f>
        <v>0</v>
      </c>
      <c r="N20" s="193" t="s">
        <v>610</v>
      </c>
      <c r="O20" s="200">
        <f>'Part 2'!R119</f>
        <v>3217414.0500000003</v>
      </c>
      <c r="P20" s="193" t="s">
        <v>610</v>
      </c>
      <c r="Q20" s="200">
        <f>'Part 2'!V119</f>
        <v>7055522.600000001</v>
      </c>
      <c r="R20" s="193" t="s">
        <v>610</v>
      </c>
      <c r="S20" s="200">
        <f>'Part 2'!J123</f>
        <v>88972892.85000002</v>
      </c>
      <c r="T20" s="193" t="s">
        <v>610</v>
      </c>
      <c r="U20" s="200">
        <f>'Part 2'!N123</f>
        <v>267994</v>
      </c>
      <c r="V20" s="193" t="s">
        <v>610</v>
      </c>
      <c r="W20" s="200">
        <f>'Part 2'!R123</f>
        <v>3597579.9899999998</v>
      </c>
      <c r="X20" s="193" t="s">
        <v>610</v>
      </c>
    </row>
    <row r="21" spans="1:24" ht="15">
      <c r="A21" s="188" t="s">
        <v>608</v>
      </c>
      <c r="B21" s="213" t="e">
        <f>'Part 1'!#REF!</f>
        <v>#REF!</v>
      </c>
      <c r="C21" s="189" t="s">
        <v>609</v>
      </c>
      <c r="D21" s="189" t="s">
        <v>610</v>
      </c>
      <c r="E21" s="200">
        <f>'Part 2'!J126</f>
        <v>1405993.8900000001</v>
      </c>
      <c r="F21" s="193" t="s">
        <v>610</v>
      </c>
      <c r="G21" s="200">
        <f>'Part 2'!N126</f>
        <v>1743</v>
      </c>
      <c r="H21" s="193" t="s">
        <v>610</v>
      </c>
      <c r="I21" s="200">
        <f>'Part 2'!R126</f>
        <v>265853</v>
      </c>
      <c r="J21" s="193" t="s">
        <v>610</v>
      </c>
      <c r="K21" s="200">
        <f>'Part 2'!J129</f>
        <v>90378886.74000002</v>
      </c>
      <c r="L21" s="193" t="s">
        <v>610</v>
      </c>
      <c r="M21" s="200">
        <f>'Part 2'!N129</f>
        <v>269737</v>
      </c>
      <c r="N21" s="193" t="s">
        <v>610</v>
      </c>
      <c r="O21" s="200">
        <f>'Part 2'!R129</f>
        <v>3863432.9899999998</v>
      </c>
      <c r="P21" s="193" t="s">
        <v>610</v>
      </c>
      <c r="Q21" s="200">
        <f>'Part 2'!V129</f>
        <v>94512056.73000002</v>
      </c>
      <c r="R21" s="193" t="s">
        <v>610</v>
      </c>
      <c r="S21" s="200">
        <f>'Part 2'!R134</f>
        <v>5492354</v>
      </c>
      <c r="T21" s="193" t="s">
        <v>610</v>
      </c>
      <c r="U21" s="200">
        <f>'Part 2'!J136</f>
        <v>953610</v>
      </c>
      <c r="V21" s="193" t="s">
        <v>610</v>
      </c>
      <c r="W21" s="200">
        <f>'Part 2'!J142</f>
        <v>22373336.490000002</v>
      </c>
      <c r="X21" s="193" t="s">
        <v>610</v>
      </c>
    </row>
    <row r="22" spans="1:24" ht="15">
      <c r="A22" s="188" t="s">
        <v>608</v>
      </c>
      <c r="B22" s="213" t="e">
        <f>'Part 1'!#REF!</f>
        <v>#REF!</v>
      </c>
      <c r="C22" s="189" t="s">
        <v>609</v>
      </c>
      <c r="D22" s="189" t="s">
        <v>610</v>
      </c>
      <c r="E22" s="200">
        <f>'Part 2'!N142</f>
        <v>639275</v>
      </c>
      <c r="F22" s="193" t="s">
        <v>610</v>
      </c>
      <c r="G22" s="200">
        <f>'Part 2'!R142</f>
        <v>7500</v>
      </c>
      <c r="H22" s="193" t="s">
        <v>610</v>
      </c>
      <c r="I22" s="200">
        <f>'Part 2'!V142</f>
        <v>23020111.490000002</v>
      </c>
      <c r="J22" s="193" t="s">
        <v>610</v>
      </c>
      <c r="K22" s="200">
        <f>'Part 2'!J145</f>
        <v>51137487.70999999</v>
      </c>
      <c r="L22" s="193" t="s">
        <v>610</v>
      </c>
      <c r="M22" s="200">
        <f>'Part 2'!N145</f>
        <v>85883</v>
      </c>
      <c r="N22" s="193" t="s">
        <v>610</v>
      </c>
      <c r="O22" s="200">
        <f>'Part 2'!R145</f>
        <v>210362</v>
      </c>
      <c r="P22" s="193" t="s">
        <v>610</v>
      </c>
      <c r="Q22" s="200">
        <f>'Part 2'!V145</f>
        <v>51433732.70999999</v>
      </c>
      <c r="R22" s="193" t="s">
        <v>610</v>
      </c>
      <c r="S22" s="200">
        <f>'Part 2'!J148</f>
        <v>271698646.01</v>
      </c>
      <c r="T22" s="193" t="s">
        <v>610</v>
      </c>
      <c r="U22" s="200">
        <f>'Part 2'!N148</f>
        <v>154352</v>
      </c>
      <c r="V22" s="193" t="s">
        <v>610</v>
      </c>
      <c r="W22" s="200">
        <f>'Part 2'!R148</f>
        <v>245417</v>
      </c>
      <c r="X22" s="193" t="s">
        <v>610</v>
      </c>
    </row>
    <row r="23" spans="1:24" ht="15">
      <c r="A23" s="188" t="s">
        <v>608</v>
      </c>
      <c r="B23" s="213" t="e">
        <f>'Part 1'!#REF!</f>
        <v>#REF!</v>
      </c>
      <c r="C23" s="189" t="s">
        <v>609</v>
      </c>
      <c r="D23" s="189" t="s">
        <v>610</v>
      </c>
      <c r="E23" s="200">
        <f>'Part 2'!V148</f>
        <v>272098415.01</v>
      </c>
      <c r="F23" s="193" t="s">
        <v>610</v>
      </c>
      <c r="G23" s="200">
        <f>'Part 2'!J152</f>
        <v>345209470.2099999</v>
      </c>
      <c r="H23" s="193" t="s">
        <v>610</v>
      </c>
      <c r="I23" s="200">
        <f>'Part 2'!N152</f>
        <v>879510</v>
      </c>
      <c r="J23" s="193" t="s">
        <v>610</v>
      </c>
      <c r="K23" s="200">
        <f>'Part 2'!R152</f>
        <v>463279</v>
      </c>
      <c r="L23" s="193" t="s">
        <v>610</v>
      </c>
      <c r="M23" s="200">
        <f>'Part 2'!J156</f>
        <v>287865.39</v>
      </c>
      <c r="N23" s="193" t="s">
        <v>610</v>
      </c>
      <c r="O23" s="200">
        <f>'Part 2'!N156</f>
        <v>41281</v>
      </c>
      <c r="P23" s="193" t="s">
        <v>610</v>
      </c>
      <c r="Q23" s="200">
        <f>'Part 2'!R156</f>
        <v>0</v>
      </c>
      <c r="R23" s="193" t="s">
        <v>610</v>
      </c>
      <c r="S23" s="200">
        <f>'Part 2'!J159</f>
        <v>345497335.5999999</v>
      </c>
      <c r="T23" s="193" t="s">
        <v>610</v>
      </c>
      <c r="U23" s="200">
        <f>'Part 2'!N159</f>
        <v>920791</v>
      </c>
      <c r="V23" s="193" t="s">
        <v>610</v>
      </c>
      <c r="W23" s="200">
        <f>'Part 2'!R159</f>
        <v>463279</v>
      </c>
      <c r="X23" s="193" t="s">
        <v>610</v>
      </c>
    </row>
    <row r="24" spans="1:24" ht="15">
      <c r="A24" s="188" t="s">
        <v>608</v>
      </c>
      <c r="B24" s="213" t="e">
        <f>'Part 1'!#REF!</f>
        <v>#REF!</v>
      </c>
      <c r="C24" s="189" t="s">
        <v>609</v>
      </c>
      <c r="D24" s="189" t="s">
        <v>610</v>
      </c>
      <c r="E24" s="200">
        <f>'Part 2'!V159</f>
        <v>346881405.5999999</v>
      </c>
      <c r="F24" s="193" t="s">
        <v>610</v>
      </c>
      <c r="G24" s="200">
        <f>'Part 2'!J167</f>
        <v>23216355921.65</v>
      </c>
      <c r="H24" s="193" t="s">
        <v>610</v>
      </c>
      <c r="I24" s="200">
        <f>'Part 2'!N167</f>
        <v>37191502</v>
      </c>
      <c r="J24" s="193" t="s">
        <v>610</v>
      </c>
      <c r="K24" s="200">
        <f>'Part 2'!R167</f>
        <v>86202317.14</v>
      </c>
      <c r="L24" s="193" t="s">
        <v>610</v>
      </c>
      <c r="M24" s="200">
        <f>'Part 2'!V167</f>
        <v>23339749740.249996</v>
      </c>
      <c r="N24" s="193" t="s">
        <v>610</v>
      </c>
      <c r="O24" s="200"/>
      <c r="P24" s="193"/>
      <c r="Q24" s="200"/>
      <c r="R24" s="193"/>
      <c r="S24" s="200"/>
      <c r="T24" s="193"/>
      <c r="U24" s="200"/>
      <c r="V24" s="193"/>
      <c r="W24" s="200"/>
      <c r="X24" s="193"/>
    </row>
    <row r="25" spans="1:24" ht="15">
      <c r="A25" s="188" t="s">
        <v>608</v>
      </c>
      <c r="B25" s="213" t="e">
        <f>'Part 1'!#REF!</f>
        <v>#REF!</v>
      </c>
      <c r="C25" s="189" t="s">
        <v>609</v>
      </c>
      <c r="D25" s="189" t="s">
        <v>610</v>
      </c>
      <c r="E25" s="201">
        <f>'Part 3'!G15</f>
        <v>23216355920.65</v>
      </c>
      <c r="F25" s="193" t="s">
        <v>610</v>
      </c>
      <c r="G25" s="201">
        <f>'Part 3'!J15</f>
        <v>37191502</v>
      </c>
      <c r="H25" s="193" t="s">
        <v>610</v>
      </c>
      <c r="I25" s="201">
        <f>'Part 3'!M15</f>
        <v>86202317.14</v>
      </c>
      <c r="J25" s="193" t="s">
        <v>610</v>
      </c>
      <c r="K25" s="201">
        <f>'Part 3'!P15</f>
        <v>23339749739.249996</v>
      </c>
      <c r="L25" s="193" t="s">
        <v>610</v>
      </c>
      <c r="M25" s="201">
        <f>'Part 3'!G20</f>
        <v>324516296.8399999</v>
      </c>
      <c r="N25" s="193" t="s">
        <v>610</v>
      </c>
      <c r="O25" s="201">
        <f>'Part 3'!J20</f>
        <v>488086.38</v>
      </c>
      <c r="P25" s="193" t="s">
        <v>610</v>
      </c>
      <c r="Q25" s="201">
        <f>'Part 3'!M20</f>
        <v>1222625.5899999999</v>
      </c>
      <c r="R25" s="193" t="s">
        <v>610</v>
      </c>
      <c r="S25" s="201">
        <f>'Part 3'!P20</f>
        <v>326227008.8099999</v>
      </c>
      <c r="T25" s="193" t="s">
        <v>610</v>
      </c>
      <c r="U25" s="201">
        <f>'Part 3'!G23</f>
        <v>576189141.36</v>
      </c>
      <c r="V25" s="193" t="s">
        <v>610</v>
      </c>
      <c r="W25" s="201">
        <f>'Part 3'!J23</f>
        <v>758071</v>
      </c>
      <c r="X25" s="193" t="s">
        <v>610</v>
      </c>
    </row>
    <row r="26" spans="1:24" ht="15">
      <c r="A26" s="188" t="s">
        <v>608</v>
      </c>
      <c r="B26" s="213" t="e">
        <f>'Part 1'!#REF!</f>
        <v>#REF!</v>
      </c>
      <c r="C26" s="189" t="s">
        <v>609</v>
      </c>
      <c r="D26" s="189" t="s">
        <v>610</v>
      </c>
      <c r="E26" s="201">
        <f>'Part 3'!M23</f>
        <v>1430731</v>
      </c>
      <c r="F26" s="193" t="s">
        <v>610</v>
      </c>
      <c r="G26" s="201">
        <f>'Part 3'!P23</f>
        <v>578377943.36</v>
      </c>
      <c r="H26" s="193" t="s">
        <v>610</v>
      </c>
      <c r="I26" s="201">
        <f>'Part 3'!G28</f>
        <v>22315650480.850002</v>
      </c>
      <c r="J26" s="193" t="s">
        <v>610</v>
      </c>
      <c r="K26" s="201">
        <f>'Part 3'!J28</f>
        <v>35945344.19</v>
      </c>
      <c r="L26" s="193" t="s">
        <v>610</v>
      </c>
      <c r="M26" s="201">
        <f>'Part 3'!M28</f>
        <v>83548960.94</v>
      </c>
      <c r="N26" s="193" t="s">
        <v>610</v>
      </c>
      <c r="O26" s="201">
        <f>'Part 3'!P28</f>
        <v>22435144785.450005</v>
      </c>
      <c r="P26" s="193" t="s">
        <v>610</v>
      </c>
      <c r="Q26" s="201">
        <f>'Part 3'!G33</f>
        <v>8680749</v>
      </c>
      <c r="R26" s="193" t="s">
        <v>610</v>
      </c>
      <c r="S26" s="201">
        <f>'Part 3'!J33</f>
        <v>0</v>
      </c>
      <c r="T26" s="193" t="s">
        <v>610</v>
      </c>
      <c r="U26" s="201">
        <f>'Part 3'!M33</f>
        <v>0</v>
      </c>
      <c r="V26" s="193" t="s">
        <v>610</v>
      </c>
      <c r="W26" s="201">
        <f>'Part 3'!P33</f>
        <v>8680749</v>
      </c>
      <c r="X26" s="193" t="s">
        <v>610</v>
      </c>
    </row>
    <row r="27" spans="1:24" ht="15">
      <c r="A27" s="188" t="s">
        <v>608</v>
      </c>
      <c r="B27" s="213" t="e">
        <f>'Part 1'!#REF!</f>
        <v>#REF!</v>
      </c>
      <c r="C27" s="189" t="s">
        <v>609</v>
      </c>
      <c r="D27" s="189" t="s">
        <v>610</v>
      </c>
      <c r="E27" s="201">
        <f>'Part 3'!J35</f>
        <v>-62335</v>
      </c>
      <c r="F27" s="193" t="s">
        <v>610</v>
      </c>
      <c r="G27" s="201">
        <f>'Part 3'!M35</f>
        <v>75118.78</v>
      </c>
      <c r="H27" s="193" t="s">
        <v>610</v>
      </c>
      <c r="I27" s="201">
        <f>'Part 3'!J37</f>
        <v>25995748.97</v>
      </c>
      <c r="J27" s="193" t="s">
        <v>610</v>
      </c>
      <c r="K27" s="201">
        <f>'Part 3'!M37</f>
        <v>78359718.47</v>
      </c>
      <c r="L27" s="193" t="s">
        <v>610</v>
      </c>
      <c r="M27" s="201">
        <f>'Part 3'!J41</f>
        <v>10261844</v>
      </c>
      <c r="N27" s="193" t="s">
        <v>610</v>
      </c>
      <c r="O27" s="201">
        <f>'Part 3'!M41</f>
        <v>8986747.5</v>
      </c>
      <c r="P27" s="193" t="s">
        <v>610</v>
      </c>
      <c r="Q27" s="201">
        <f>'Part 3'!P41</f>
        <v>8680749</v>
      </c>
      <c r="R27" s="193" t="s">
        <v>610</v>
      </c>
      <c r="S27" s="201"/>
      <c r="T27" s="193"/>
      <c r="U27" s="201"/>
      <c r="V27" s="193"/>
      <c r="W27" s="201"/>
      <c r="X27" s="193"/>
    </row>
    <row r="28" spans="1:24" ht="15">
      <c r="A28" s="192" t="s">
        <v>608</v>
      </c>
      <c r="B28" s="213" t="e">
        <f>'Part 1'!#REF!</f>
        <v>#REF!</v>
      </c>
      <c r="C28" s="193" t="s">
        <v>609</v>
      </c>
      <c r="D28" s="193" t="s">
        <v>610</v>
      </c>
      <c r="E28" s="202">
        <f>'Part 4'!L13</f>
        <v>0</v>
      </c>
      <c r="F28" s="193" t="s">
        <v>610</v>
      </c>
      <c r="G28" s="202">
        <f>'Part 4'!I16</f>
        <v>23013431521</v>
      </c>
      <c r="H28" s="193" t="s">
        <v>610</v>
      </c>
      <c r="I28" s="202">
        <f>'Part 4'!I18</f>
        <v>111405375</v>
      </c>
      <c r="J28" s="193" t="s">
        <v>610</v>
      </c>
      <c r="K28" s="202">
        <f>'Part 4'!I20</f>
        <v>18458995</v>
      </c>
      <c r="L28" s="193" t="s">
        <v>610</v>
      </c>
      <c r="M28" s="202">
        <f>'Part 4'!I22</f>
        <v>0</v>
      </c>
      <c r="N28" s="193" t="s">
        <v>610</v>
      </c>
      <c r="O28" s="202">
        <f>'Part 4'!L24</f>
        <v>23143295892</v>
      </c>
      <c r="P28" s="193" t="s">
        <v>610</v>
      </c>
      <c r="Q28" s="202">
        <f>'Part 4'!I27</f>
        <v>1927101662</v>
      </c>
      <c r="R28" s="193" t="s">
        <v>610</v>
      </c>
      <c r="S28" s="202">
        <f>'Part 4'!I29</f>
        <v>93930003</v>
      </c>
      <c r="T28" s="193" t="s">
        <v>610</v>
      </c>
      <c r="U28" s="202">
        <f>'Part 4'!I31</f>
        <v>10871261080</v>
      </c>
      <c r="V28" s="193" t="s">
        <v>610</v>
      </c>
      <c r="W28" s="202">
        <f>'Part 4'!I34</f>
        <v>2154050181</v>
      </c>
      <c r="X28" s="193" t="s">
        <v>610</v>
      </c>
    </row>
    <row r="29" spans="1:24" ht="15">
      <c r="A29" s="192" t="s">
        <v>608</v>
      </c>
      <c r="B29" s="213" t="e">
        <f>'Part 1'!#REF!</f>
        <v>#REF!</v>
      </c>
      <c r="C29" s="193" t="s">
        <v>609</v>
      </c>
      <c r="D29" s="193" t="s">
        <v>610</v>
      </c>
      <c r="E29" s="202">
        <f>'Part 4'!I37</f>
        <v>8664398417</v>
      </c>
      <c r="F29" s="193" t="s">
        <v>610</v>
      </c>
      <c r="G29" s="202">
        <f>'Part 4'!I40</f>
        <v>96155511</v>
      </c>
      <c r="H29" s="193" t="s">
        <v>610</v>
      </c>
      <c r="I29" s="202">
        <f>'Part 4'!I43</f>
        <v>32578362</v>
      </c>
      <c r="J29" s="193" t="s">
        <v>610</v>
      </c>
      <c r="K29" s="202">
        <f>'Part 4'!I45</f>
        <v>8514558</v>
      </c>
      <c r="L29" s="193" t="s">
        <v>610</v>
      </c>
      <c r="M29" s="202">
        <f>'Part 4'!L47</f>
        <v>23847989774</v>
      </c>
      <c r="N29" s="193" t="s">
        <v>610</v>
      </c>
      <c r="O29" s="202">
        <f>'Part 4'!L49</f>
        <v>185945690</v>
      </c>
      <c r="P29" s="193" t="s">
        <v>610</v>
      </c>
      <c r="Q29" s="202">
        <f>'Part 4'!L53</f>
        <v>-518748193</v>
      </c>
      <c r="R29" s="193" t="s">
        <v>610</v>
      </c>
      <c r="S29" s="202"/>
      <c r="T29" s="193"/>
      <c r="U29" s="202"/>
      <c r="V29" s="193"/>
      <c r="W29" s="202"/>
      <c r="X29" s="19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0" sqref="E20"/>
    </sheetView>
  </sheetViews>
  <sheetFormatPr defaultColWidth="9.140625" defaultRowHeight="12.75"/>
  <cols>
    <col min="1" max="1" width="8.421875" style="57" customWidth="1"/>
    <col min="2" max="2" width="33.140625" style="57" customWidth="1"/>
    <col min="3" max="3" width="8.140625" style="57" bestFit="1" customWidth="1"/>
  </cols>
  <sheetData>
    <row r="1" spans="1:3" ht="12.75">
      <c r="A1" s="68"/>
      <c r="B1" s="69"/>
      <c r="C1" s="164"/>
    </row>
    <row r="2" spans="1:3" ht="12.75">
      <c r="A2" s="152"/>
      <c r="B2" s="70"/>
      <c r="C2" s="165"/>
    </row>
    <row r="3" spans="1:3" ht="12.75">
      <c r="A3" s="71">
        <v>1</v>
      </c>
      <c r="B3" s="72">
        <v>2</v>
      </c>
      <c r="C3" s="163">
        <v>3</v>
      </c>
    </row>
    <row r="4" spans="1:3" ht="12.75">
      <c r="A4" s="73"/>
      <c r="B4" s="74"/>
      <c r="C4" s="165"/>
    </row>
    <row r="5" spans="1:3" ht="12.75">
      <c r="A5" s="195" t="s">
        <v>703</v>
      </c>
      <c r="B5" s="196" t="s">
        <v>704</v>
      </c>
      <c r="C5" s="197" t="s">
        <v>705</v>
      </c>
    </row>
    <row r="6" spans="1:3" ht="13.5" thickBot="1">
      <c r="A6" s="166"/>
      <c r="B6" s="167"/>
      <c r="C6" s="168"/>
    </row>
    <row r="7" spans="1:3" ht="13.5" thickBot="1">
      <c r="A7" s="153"/>
      <c r="B7" s="154"/>
      <c r="C7" s="162"/>
    </row>
    <row r="8" spans="1:3" ht="12.75">
      <c r="A8" s="169">
        <v>1</v>
      </c>
      <c r="B8" s="171" t="s">
        <v>706</v>
      </c>
      <c r="C8" s="158" t="s">
        <v>707</v>
      </c>
    </row>
    <row r="9" spans="1:3" ht="12.75">
      <c r="A9" s="169">
        <v>2</v>
      </c>
      <c r="B9" s="172" t="s">
        <v>708</v>
      </c>
      <c r="C9" s="159" t="s">
        <v>709</v>
      </c>
    </row>
    <row r="10" spans="1:3" ht="12.75">
      <c r="A10" s="169">
        <v>3</v>
      </c>
      <c r="B10" s="172" t="s">
        <v>710</v>
      </c>
      <c r="C10" s="159" t="s">
        <v>711</v>
      </c>
    </row>
    <row r="11" spans="1:3" ht="12.75">
      <c r="A11" s="169">
        <v>4</v>
      </c>
      <c r="B11" s="172" t="s">
        <v>712</v>
      </c>
      <c r="C11" s="159" t="s">
        <v>713</v>
      </c>
    </row>
    <row r="12" spans="1:3" ht="12.75">
      <c r="A12" s="169">
        <v>5</v>
      </c>
      <c r="B12" s="172" t="s">
        <v>714</v>
      </c>
      <c r="C12" s="159" t="s">
        <v>715</v>
      </c>
    </row>
    <row r="13" spans="1:3" ht="12.75">
      <c r="A13" s="169">
        <v>6</v>
      </c>
      <c r="B13" s="172" t="s">
        <v>716</v>
      </c>
      <c r="C13" s="159" t="s">
        <v>717</v>
      </c>
    </row>
    <row r="14" spans="1:3" ht="12.75">
      <c r="A14" s="169">
        <v>7</v>
      </c>
      <c r="B14" s="172" t="s">
        <v>718</v>
      </c>
      <c r="C14" s="159" t="s">
        <v>719</v>
      </c>
    </row>
    <row r="15" spans="1:3" ht="12.75">
      <c r="A15" s="169">
        <v>8</v>
      </c>
      <c r="B15" s="172" t="s">
        <v>720</v>
      </c>
      <c r="C15" s="159" t="s">
        <v>721</v>
      </c>
    </row>
    <row r="16" spans="1:3" ht="12.75">
      <c r="A16" s="169">
        <v>9</v>
      </c>
      <c r="B16" s="172" t="s">
        <v>722</v>
      </c>
      <c r="C16" s="159" t="s">
        <v>723</v>
      </c>
    </row>
    <row r="17" spans="1:3" ht="12.75">
      <c r="A17" s="169">
        <v>10</v>
      </c>
      <c r="B17" s="172" t="s">
        <v>724</v>
      </c>
      <c r="C17" s="159" t="s">
        <v>725</v>
      </c>
    </row>
    <row r="18" spans="1:3" ht="12.75">
      <c r="A18" s="169">
        <v>11</v>
      </c>
      <c r="B18" s="172" t="s">
        <v>726</v>
      </c>
      <c r="C18" s="159" t="s">
        <v>727</v>
      </c>
    </row>
    <row r="19" spans="1:3" ht="12.75">
      <c r="A19" s="169">
        <v>12</v>
      </c>
      <c r="B19" s="172" t="s">
        <v>728</v>
      </c>
      <c r="C19" s="159" t="s">
        <v>729</v>
      </c>
    </row>
    <row r="20" spans="1:3" ht="12.75">
      <c r="A20" s="169">
        <v>13</v>
      </c>
      <c r="B20" s="172" t="s">
        <v>730</v>
      </c>
      <c r="C20" s="159" t="s">
        <v>731</v>
      </c>
    </row>
    <row r="21" spans="1:3" ht="12.75">
      <c r="A21" s="169">
        <v>14</v>
      </c>
      <c r="B21" s="172" t="s">
        <v>732</v>
      </c>
      <c r="C21" s="159" t="s">
        <v>733</v>
      </c>
    </row>
    <row r="22" spans="1:3" ht="12.75">
      <c r="A22" s="169">
        <v>15</v>
      </c>
      <c r="B22" s="172" t="s">
        <v>734</v>
      </c>
      <c r="C22" s="159" t="s">
        <v>735</v>
      </c>
    </row>
    <row r="23" spans="1:3" ht="12.75">
      <c r="A23" s="169">
        <v>16</v>
      </c>
      <c r="B23" s="172" t="s">
        <v>736</v>
      </c>
      <c r="C23" s="159" t="s">
        <v>737</v>
      </c>
    </row>
    <row r="24" spans="1:3" ht="12.75">
      <c r="A24" s="169">
        <v>17</v>
      </c>
      <c r="B24" s="172" t="s">
        <v>738</v>
      </c>
      <c r="C24" s="159" t="s">
        <v>739</v>
      </c>
    </row>
    <row r="25" spans="1:3" ht="12.75">
      <c r="A25" s="169">
        <v>18</v>
      </c>
      <c r="B25" s="172" t="s">
        <v>740</v>
      </c>
      <c r="C25" s="159" t="s">
        <v>741</v>
      </c>
    </row>
    <row r="26" spans="1:3" ht="12.75">
      <c r="A26" s="169">
        <v>19</v>
      </c>
      <c r="B26" s="172" t="s">
        <v>742</v>
      </c>
      <c r="C26" s="159" t="s">
        <v>743</v>
      </c>
    </row>
    <row r="27" spans="1:3" ht="12.75">
      <c r="A27" s="169">
        <v>20</v>
      </c>
      <c r="B27" s="172" t="s">
        <v>744</v>
      </c>
      <c r="C27" s="159" t="s">
        <v>745</v>
      </c>
    </row>
    <row r="28" spans="1:3" ht="12.75">
      <c r="A28" s="169">
        <v>21</v>
      </c>
      <c r="B28" s="172" t="s">
        <v>746</v>
      </c>
      <c r="C28" s="159" t="s">
        <v>747</v>
      </c>
    </row>
    <row r="29" spans="1:3" ht="12.75">
      <c r="A29" s="169">
        <v>22</v>
      </c>
      <c r="B29" s="172" t="s">
        <v>748</v>
      </c>
      <c r="C29" s="159" t="s">
        <v>749</v>
      </c>
    </row>
    <row r="30" spans="1:3" ht="12.75">
      <c r="A30" s="169">
        <v>23</v>
      </c>
      <c r="B30" s="172" t="s">
        <v>750</v>
      </c>
      <c r="C30" s="159" t="s">
        <v>751</v>
      </c>
    </row>
    <row r="31" spans="1:3" ht="12.75">
      <c r="A31" s="169">
        <v>24</v>
      </c>
      <c r="B31" s="172" t="s">
        <v>752</v>
      </c>
      <c r="C31" s="159" t="s">
        <v>753</v>
      </c>
    </row>
    <row r="32" spans="1:3" ht="12.75">
      <c r="A32" s="169">
        <v>25</v>
      </c>
      <c r="B32" s="172" t="s">
        <v>754</v>
      </c>
      <c r="C32" s="159" t="s">
        <v>755</v>
      </c>
    </row>
    <row r="33" spans="1:3" ht="12.75">
      <c r="A33" s="169">
        <v>26</v>
      </c>
      <c r="B33" s="172" t="s">
        <v>756</v>
      </c>
      <c r="C33" s="159" t="s">
        <v>757</v>
      </c>
    </row>
    <row r="34" spans="1:3" ht="12.75">
      <c r="A34" s="169">
        <v>27</v>
      </c>
      <c r="B34" s="172" t="s">
        <v>758</v>
      </c>
      <c r="C34" s="159" t="s">
        <v>759</v>
      </c>
    </row>
    <row r="35" spans="1:3" ht="12.75">
      <c r="A35" s="169">
        <v>28</v>
      </c>
      <c r="B35" s="172" t="s">
        <v>760</v>
      </c>
      <c r="C35" s="159" t="s">
        <v>761</v>
      </c>
    </row>
    <row r="36" spans="1:3" ht="12.75">
      <c r="A36" s="169">
        <v>29</v>
      </c>
      <c r="B36" s="172" t="s">
        <v>762</v>
      </c>
      <c r="C36" s="159" t="s">
        <v>763</v>
      </c>
    </row>
    <row r="37" spans="1:3" ht="12.75">
      <c r="A37" s="169">
        <v>30</v>
      </c>
      <c r="B37" s="172" t="s">
        <v>764</v>
      </c>
      <c r="C37" s="159" t="s">
        <v>765</v>
      </c>
    </row>
    <row r="38" spans="1:3" ht="12.75">
      <c r="A38" s="169">
        <v>31</v>
      </c>
      <c r="B38" s="172" t="s">
        <v>766</v>
      </c>
      <c r="C38" s="159" t="s">
        <v>767</v>
      </c>
    </row>
    <row r="39" spans="1:3" ht="12.75">
      <c r="A39" s="169">
        <v>32</v>
      </c>
      <c r="B39" s="172" t="s">
        <v>768</v>
      </c>
      <c r="C39" s="159" t="s">
        <v>769</v>
      </c>
    </row>
    <row r="40" spans="1:3" ht="12.75">
      <c r="A40" s="169">
        <v>33</v>
      </c>
      <c r="B40" s="172" t="s">
        <v>770</v>
      </c>
      <c r="C40" s="159" t="s">
        <v>771</v>
      </c>
    </row>
    <row r="41" spans="1:3" ht="12.75">
      <c r="A41" s="169">
        <v>34</v>
      </c>
      <c r="B41" s="172" t="s">
        <v>772</v>
      </c>
      <c r="C41" s="159" t="s">
        <v>773</v>
      </c>
    </row>
    <row r="42" spans="1:3" ht="12.75">
      <c r="A42" s="169">
        <v>35</v>
      </c>
      <c r="B42" s="172" t="s">
        <v>774</v>
      </c>
      <c r="C42" s="159" t="s">
        <v>775</v>
      </c>
    </row>
    <row r="43" spans="1:3" ht="12.75">
      <c r="A43" s="169">
        <v>36</v>
      </c>
      <c r="B43" s="172" t="s">
        <v>776</v>
      </c>
      <c r="C43" s="159" t="s">
        <v>777</v>
      </c>
    </row>
    <row r="44" spans="1:3" ht="12.75">
      <c r="A44" s="169">
        <v>37</v>
      </c>
      <c r="B44" s="172" t="s">
        <v>778</v>
      </c>
      <c r="C44" s="159" t="s">
        <v>779</v>
      </c>
    </row>
    <row r="45" spans="1:3" ht="12.75">
      <c r="A45" s="169">
        <v>38</v>
      </c>
      <c r="B45" s="172" t="s">
        <v>780</v>
      </c>
      <c r="C45" s="159" t="s">
        <v>781</v>
      </c>
    </row>
    <row r="46" spans="1:3" ht="12.75">
      <c r="A46" s="169">
        <v>39</v>
      </c>
      <c r="B46" s="172" t="s">
        <v>782</v>
      </c>
      <c r="C46" s="159" t="s">
        <v>783</v>
      </c>
    </row>
    <row r="47" spans="1:3" ht="12.75">
      <c r="A47" s="169">
        <v>40</v>
      </c>
      <c r="B47" s="172" t="s">
        <v>784</v>
      </c>
      <c r="C47" s="159" t="s">
        <v>785</v>
      </c>
    </row>
    <row r="48" spans="1:3" ht="12.75">
      <c r="A48" s="169">
        <v>41</v>
      </c>
      <c r="B48" s="172" t="s">
        <v>786</v>
      </c>
      <c r="C48" s="159" t="s">
        <v>787</v>
      </c>
    </row>
    <row r="49" spans="1:3" ht="12.75">
      <c r="A49" s="169">
        <v>42</v>
      </c>
      <c r="B49" s="172" t="s">
        <v>788</v>
      </c>
      <c r="C49" s="159" t="s">
        <v>789</v>
      </c>
    </row>
    <row r="50" spans="1:3" ht="12.75">
      <c r="A50" s="169">
        <v>43</v>
      </c>
      <c r="B50" s="172" t="s">
        <v>790</v>
      </c>
      <c r="C50" s="159" t="s">
        <v>791</v>
      </c>
    </row>
    <row r="51" spans="1:3" ht="12.75">
      <c r="A51" s="169">
        <v>44</v>
      </c>
      <c r="B51" s="172" t="s">
        <v>792</v>
      </c>
      <c r="C51" s="159" t="s">
        <v>793</v>
      </c>
    </row>
    <row r="52" spans="1:3" ht="12.75">
      <c r="A52" s="169">
        <v>45</v>
      </c>
      <c r="B52" s="172" t="s">
        <v>794</v>
      </c>
      <c r="C52" s="159" t="s">
        <v>795</v>
      </c>
    </row>
    <row r="53" spans="1:3" ht="12.75">
      <c r="A53" s="169">
        <v>46</v>
      </c>
      <c r="B53" s="172" t="s">
        <v>796</v>
      </c>
      <c r="C53" s="159" t="s">
        <v>797</v>
      </c>
    </row>
    <row r="54" spans="1:3" ht="12.75">
      <c r="A54" s="169">
        <v>47</v>
      </c>
      <c r="B54" s="172" t="s">
        <v>798</v>
      </c>
      <c r="C54" s="159" t="s">
        <v>799</v>
      </c>
    </row>
    <row r="55" spans="1:3" ht="12.75">
      <c r="A55" s="169">
        <v>48</v>
      </c>
      <c r="B55" s="172" t="s">
        <v>800</v>
      </c>
      <c r="C55" s="159" t="s">
        <v>801</v>
      </c>
    </row>
    <row r="56" spans="1:3" ht="12.75">
      <c r="A56" s="169">
        <v>49</v>
      </c>
      <c r="B56" s="173" t="s">
        <v>802</v>
      </c>
      <c r="C56" s="160" t="s">
        <v>803</v>
      </c>
    </row>
    <row r="57" spans="1:3" ht="12.75">
      <c r="A57" s="169">
        <v>50</v>
      </c>
      <c r="B57" s="172" t="s">
        <v>804</v>
      </c>
      <c r="C57" s="159" t="s">
        <v>805</v>
      </c>
    </row>
    <row r="58" spans="1:3" ht="12.75">
      <c r="A58" s="169">
        <v>51</v>
      </c>
      <c r="B58" s="172" t="s">
        <v>806</v>
      </c>
      <c r="C58" s="159" t="s">
        <v>807</v>
      </c>
    </row>
    <row r="59" spans="1:3" ht="12.75">
      <c r="A59" s="169">
        <v>52</v>
      </c>
      <c r="B59" s="172" t="s">
        <v>808</v>
      </c>
      <c r="C59" s="159" t="s">
        <v>809</v>
      </c>
    </row>
    <row r="60" spans="1:3" ht="12.75">
      <c r="A60" s="169">
        <v>53</v>
      </c>
      <c r="B60" s="172" t="s">
        <v>810</v>
      </c>
      <c r="C60" s="159" t="s">
        <v>811</v>
      </c>
    </row>
    <row r="61" spans="1:3" ht="12.75">
      <c r="A61" s="169">
        <v>54</v>
      </c>
      <c r="B61" s="172" t="s">
        <v>812</v>
      </c>
      <c r="C61" s="159" t="s">
        <v>813</v>
      </c>
    </row>
    <row r="62" spans="1:3" ht="12.75">
      <c r="A62" s="169">
        <v>55</v>
      </c>
      <c r="B62" s="172" t="s">
        <v>814</v>
      </c>
      <c r="C62" s="159" t="s">
        <v>815</v>
      </c>
    </row>
    <row r="63" spans="1:3" ht="12.75">
      <c r="A63" s="169">
        <v>56</v>
      </c>
      <c r="B63" s="172" t="s">
        <v>816</v>
      </c>
      <c r="C63" s="159" t="s">
        <v>817</v>
      </c>
    </row>
    <row r="64" spans="1:3" ht="12.75">
      <c r="A64" s="169">
        <v>57</v>
      </c>
      <c r="B64" s="172" t="s">
        <v>818</v>
      </c>
      <c r="C64" s="159" t="s">
        <v>819</v>
      </c>
    </row>
    <row r="65" spans="1:3" ht="12.75">
      <c r="A65" s="169">
        <v>58</v>
      </c>
      <c r="B65" s="172" t="s">
        <v>820</v>
      </c>
      <c r="C65" s="159" t="s">
        <v>821</v>
      </c>
    </row>
    <row r="66" spans="1:3" ht="12.75">
      <c r="A66" s="169">
        <v>59</v>
      </c>
      <c r="B66" s="172" t="s">
        <v>822</v>
      </c>
      <c r="C66" s="159" t="s">
        <v>823</v>
      </c>
    </row>
    <row r="67" spans="1:3" ht="12.75">
      <c r="A67" s="169">
        <v>60</v>
      </c>
      <c r="B67" s="172" t="s">
        <v>824</v>
      </c>
      <c r="C67" s="159" t="s">
        <v>825</v>
      </c>
    </row>
    <row r="68" spans="1:3" ht="12.75">
      <c r="A68" s="169">
        <v>61</v>
      </c>
      <c r="B68" s="172" t="s">
        <v>826</v>
      </c>
      <c r="C68" s="159" t="s">
        <v>0</v>
      </c>
    </row>
    <row r="69" spans="1:3" ht="12.75">
      <c r="A69" s="169">
        <v>62</v>
      </c>
      <c r="B69" s="172" t="s">
        <v>1</v>
      </c>
      <c r="C69" s="159" t="s">
        <v>2</v>
      </c>
    </row>
    <row r="70" spans="1:3" ht="12.75">
      <c r="A70" s="169">
        <v>63</v>
      </c>
      <c r="B70" s="172" t="s">
        <v>3</v>
      </c>
      <c r="C70" s="159" t="s">
        <v>4</v>
      </c>
    </row>
    <row r="71" spans="1:3" ht="12.75">
      <c r="A71" s="169">
        <v>64</v>
      </c>
      <c r="B71" s="172" t="s">
        <v>5</v>
      </c>
      <c r="C71" s="159" t="s">
        <v>6</v>
      </c>
    </row>
    <row r="72" spans="1:3" ht="12.75">
      <c r="A72" s="169">
        <v>65</v>
      </c>
      <c r="B72" s="172" t="s">
        <v>7</v>
      </c>
      <c r="C72" s="159" t="s">
        <v>8</v>
      </c>
    </row>
    <row r="73" spans="1:3" ht="12.75">
      <c r="A73" s="169">
        <v>66</v>
      </c>
      <c r="B73" s="172" t="s">
        <v>9</v>
      </c>
      <c r="C73" s="159" t="s">
        <v>10</v>
      </c>
    </row>
    <row r="74" spans="1:3" ht="12.75">
      <c r="A74" s="169">
        <v>67</v>
      </c>
      <c r="B74" s="172" t="s">
        <v>11</v>
      </c>
      <c r="C74" s="159" t="s">
        <v>12</v>
      </c>
    </row>
    <row r="75" spans="1:3" ht="12.75">
      <c r="A75" s="169">
        <v>68</v>
      </c>
      <c r="B75" s="172" t="s">
        <v>13</v>
      </c>
      <c r="C75" s="159" t="s">
        <v>14</v>
      </c>
    </row>
    <row r="76" spans="1:3" ht="12.75">
      <c r="A76" s="169">
        <v>69</v>
      </c>
      <c r="B76" s="172" t="s">
        <v>15</v>
      </c>
      <c r="C76" s="159" t="s">
        <v>16</v>
      </c>
    </row>
    <row r="77" spans="1:3" ht="12.75">
      <c r="A77" s="169">
        <v>70</v>
      </c>
      <c r="B77" s="172" t="s">
        <v>17</v>
      </c>
      <c r="C77" s="159" t="s">
        <v>18</v>
      </c>
    </row>
    <row r="78" spans="1:3" ht="12.75">
      <c r="A78" s="169">
        <v>71</v>
      </c>
      <c r="B78" s="172" t="s">
        <v>19</v>
      </c>
      <c r="C78" s="159" t="s">
        <v>37</v>
      </c>
    </row>
    <row r="79" spans="1:3" ht="12.75">
      <c r="A79" s="169">
        <v>72</v>
      </c>
      <c r="B79" s="172" t="s">
        <v>38</v>
      </c>
      <c r="C79" s="159" t="s">
        <v>39</v>
      </c>
    </row>
    <row r="80" spans="1:3" ht="12.75">
      <c r="A80" s="169">
        <v>73</v>
      </c>
      <c r="B80" s="172" t="s">
        <v>40</v>
      </c>
      <c r="C80" s="159" t="s">
        <v>41</v>
      </c>
    </row>
    <row r="81" spans="1:3" ht="12.75">
      <c r="A81" s="169">
        <v>74</v>
      </c>
      <c r="B81" s="172" t="s">
        <v>42</v>
      </c>
      <c r="C81" s="159" t="s">
        <v>43</v>
      </c>
    </row>
    <row r="82" spans="1:3" ht="12.75">
      <c r="A82" s="169">
        <v>75</v>
      </c>
      <c r="B82" s="172" t="s">
        <v>44</v>
      </c>
      <c r="C82" s="159" t="s">
        <v>45</v>
      </c>
    </row>
    <row r="83" spans="1:3" ht="12.75">
      <c r="A83" s="169">
        <v>76</v>
      </c>
      <c r="B83" s="172" t="s">
        <v>46</v>
      </c>
      <c r="C83" s="159" t="s">
        <v>47</v>
      </c>
    </row>
    <row r="84" spans="1:3" ht="12.75">
      <c r="A84" s="169">
        <v>77</v>
      </c>
      <c r="B84" s="172" t="s">
        <v>48</v>
      </c>
      <c r="C84" s="159" t="s">
        <v>49</v>
      </c>
    </row>
    <row r="85" spans="1:3" ht="12.75">
      <c r="A85" s="169">
        <v>78</v>
      </c>
      <c r="B85" s="172" t="s">
        <v>63</v>
      </c>
      <c r="C85" s="159" t="s">
        <v>64</v>
      </c>
    </row>
    <row r="86" spans="1:3" ht="12.75">
      <c r="A86" s="169">
        <v>79</v>
      </c>
      <c r="B86" s="172" t="s">
        <v>65</v>
      </c>
      <c r="C86" s="159" t="s">
        <v>66</v>
      </c>
    </row>
    <row r="87" spans="1:3" ht="12.75">
      <c r="A87" s="169">
        <v>80</v>
      </c>
      <c r="B87" s="172" t="s">
        <v>67</v>
      </c>
      <c r="C87" s="159" t="s">
        <v>68</v>
      </c>
    </row>
    <row r="88" spans="1:3" ht="12.75">
      <c r="A88" s="169">
        <v>81</v>
      </c>
      <c r="B88" s="172" t="s">
        <v>69</v>
      </c>
      <c r="C88" s="159" t="s">
        <v>70</v>
      </c>
    </row>
    <row r="89" spans="1:3" ht="12.75">
      <c r="A89" s="169">
        <v>82</v>
      </c>
      <c r="B89" s="172" t="s">
        <v>71</v>
      </c>
      <c r="C89" s="159" t="s">
        <v>72</v>
      </c>
    </row>
    <row r="90" spans="1:3" ht="12.75">
      <c r="A90" s="169">
        <v>83</v>
      </c>
      <c r="B90" s="172" t="s">
        <v>73</v>
      </c>
      <c r="C90" s="159" t="s">
        <v>74</v>
      </c>
    </row>
    <row r="91" spans="1:3" ht="12.75">
      <c r="A91" s="169">
        <v>84</v>
      </c>
      <c r="B91" s="172" t="s">
        <v>75</v>
      </c>
      <c r="C91" s="159" t="s">
        <v>76</v>
      </c>
    </row>
    <row r="92" spans="1:3" ht="12.75">
      <c r="A92" s="169">
        <v>85</v>
      </c>
      <c r="B92" s="172" t="s">
        <v>77</v>
      </c>
      <c r="C92" s="159" t="s">
        <v>78</v>
      </c>
    </row>
    <row r="93" spans="1:3" ht="12.75">
      <c r="A93" s="169">
        <v>86</v>
      </c>
      <c r="B93" s="172" t="s">
        <v>79</v>
      </c>
      <c r="C93" s="159" t="s">
        <v>80</v>
      </c>
    </row>
    <row r="94" spans="1:3" ht="12.75">
      <c r="A94" s="169">
        <v>87</v>
      </c>
      <c r="B94" s="172" t="s">
        <v>81</v>
      </c>
      <c r="C94" s="159" t="s">
        <v>82</v>
      </c>
    </row>
    <row r="95" spans="1:3" ht="12.75">
      <c r="A95" s="169">
        <v>88</v>
      </c>
      <c r="B95" s="172" t="s">
        <v>83</v>
      </c>
      <c r="C95" s="159" t="s">
        <v>84</v>
      </c>
    </row>
    <row r="96" spans="1:3" ht="12.75">
      <c r="A96" s="169">
        <v>89</v>
      </c>
      <c r="B96" s="172" t="s">
        <v>85</v>
      </c>
      <c r="C96" s="159" t="s">
        <v>86</v>
      </c>
    </row>
    <row r="97" spans="1:3" ht="12.75">
      <c r="A97" s="169">
        <v>90</v>
      </c>
      <c r="B97" s="172" t="s">
        <v>87</v>
      </c>
      <c r="C97" s="159" t="s">
        <v>88</v>
      </c>
    </row>
    <row r="98" spans="1:3" ht="12.75">
      <c r="A98" s="169">
        <v>91</v>
      </c>
      <c r="B98" s="172" t="s">
        <v>89</v>
      </c>
      <c r="C98" s="159" t="s">
        <v>90</v>
      </c>
    </row>
    <row r="99" spans="1:3" ht="12.75">
      <c r="A99" s="169">
        <v>92</v>
      </c>
      <c r="B99" s="172" t="s">
        <v>91</v>
      </c>
      <c r="C99" s="159" t="s">
        <v>92</v>
      </c>
    </row>
    <row r="100" spans="1:3" ht="12.75">
      <c r="A100" s="169">
        <v>93</v>
      </c>
      <c r="B100" s="172" t="s">
        <v>93</v>
      </c>
      <c r="C100" s="159" t="s">
        <v>94</v>
      </c>
    </row>
    <row r="101" spans="1:3" ht="12.75">
      <c r="A101" s="169">
        <v>94</v>
      </c>
      <c r="B101" s="172" t="s">
        <v>95</v>
      </c>
      <c r="C101" s="159" t="s">
        <v>96</v>
      </c>
    </row>
    <row r="102" spans="1:3" ht="12.75">
      <c r="A102" s="169">
        <v>95</v>
      </c>
      <c r="B102" s="172" t="s">
        <v>97</v>
      </c>
      <c r="C102" s="159" t="s">
        <v>98</v>
      </c>
    </row>
    <row r="103" spans="1:3" ht="12.75">
      <c r="A103" s="169">
        <v>96</v>
      </c>
      <c r="B103" s="172" t="s">
        <v>99</v>
      </c>
      <c r="C103" s="159" t="s">
        <v>100</v>
      </c>
    </row>
    <row r="104" spans="1:3" ht="12.75">
      <c r="A104" s="169">
        <v>97</v>
      </c>
      <c r="B104" s="172" t="s">
        <v>101</v>
      </c>
      <c r="C104" s="159" t="s">
        <v>102</v>
      </c>
    </row>
    <row r="105" spans="1:3" ht="12.75">
      <c r="A105" s="169">
        <v>98</v>
      </c>
      <c r="B105" s="172" t="s">
        <v>103</v>
      </c>
      <c r="C105" s="159" t="s">
        <v>104</v>
      </c>
    </row>
    <row r="106" spans="1:3" ht="12.75">
      <c r="A106" s="169">
        <v>99</v>
      </c>
      <c r="B106" s="172" t="s">
        <v>105</v>
      </c>
      <c r="C106" s="159" t="s">
        <v>106</v>
      </c>
    </row>
    <row r="107" spans="1:3" ht="12.75">
      <c r="A107" s="169">
        <v>100</v>
      </c>
      <c r="B107" s="172" t="s">
        <v>107</v>
      </c>
      <c r="C107" s="159" t="s">
        <v>108</v>
      </c>
    </row>
    <row r="108" spans="1:3" ht="12.75">
      <c r="A108" s="169">
        <v>101</v>
      </c>
      <c r="B108" s="172" t="s">
        <v>109</v>
      </c>
      <c r="C108" s="159" t="s">
        <v>110</v>
      </c>
    </row>
    <row r="109" spans="1:3" ht="12.75">
      <c r="A109" s="169">
        <v>102</v>
      </c>
      <c r="B109" s="172" t="s">
        <v>111</v>
      </c>
      <c r="C109" s="159" t="s">
        <v>112</v>
      </c>
    </row>
    <row r="110" spans="1:3" ht="12.75">
      <c r="A110" s="169">
        <v>103</v>
      </c>
      <c r="B110" s="172" t="s">
        <v>113</v>
      </c>
      <c r="C110" s="159" t="s">
        <v>114</v>
      </c>
    </row>
    <row r="111" spans="1:3" ht="12.75">
      <c r="A111" s="169">
        <v>104</v>
      </c>
      <c r="B111" s="172" t="s">
        <v>115</v>
      </c>
      <c r="C111" s="159" t="s">
        <v>116</v>
      </c>
    </row>
    <row r="112" spans="1:3" ht="12.75">
      <c r="A112" s="169">
        <v>105</v>
      </c>
      <c r="B112" s="172" t="s">
        <v>117</v>
      </c>
      <c r="C112" s="159" t="s">
        <v>118</v>
      </c>
    </row>
    <row r="113" spans="1:3" ht="12.75">
      <c r="A113" s="169">
        <v>106</v>
      </c>
      <c r="B113" s="172" t="s">
        <v>119</v>
      </c>
      <c r="C113" s="159" t="s">
        <v>120</v>
      </c>
    </row>
    <row r="114" spans="1:3" ht="12.75">
      <c r="A114" s="169">
        <v>107</v>
      </c>
      <c r="B114" s="172" t="s">
        <v>121</v>
      </c>
      <c r="C114" s="159" t="s">
        <v>122</v>
      </c>
    </row>
    <row r="115" spans="1:3" ht="12.75">
      <c r="A115" s="169">
        <v>108</v>
      </c>
      <c r="B115" s="172" t="s">
        <v>123</v>
      </c>
      <c r="C115" s="159" t="s">
        <v>124</v>
      </c>
    </row>
    <row r="116" spans="1:3" ht="12.75">
      <c r="A116" s="169">
        <v>109</v>
      </c>
      <c r="B116" s="172" t="s">
        <v>125</v>
      </c>
      <c r="C116" s="159" t="s">
        <v>126</v>
      </c>
    </row>
    <row r="117" spans="1:3" ht="12.75">
      <c r="A117" s="169">
        <v>110</v>
      </c>
      <c r="B117" s="172" t="s">
        <v>127</v>
      </c>
      <c r="C117" s="159" t="s">
        <v>128</v>
      </c>
    </row>
    <row r="118" spans="1:3" ht="12.75">
      <c r="A118" s="169">
        <v>111</v>
      </c>
      <c r="B118" s="172" t="s">
        <v>129</v>
      </c>
      <c r="C118" s="159" t="s">
        <v>130</v>
      </c>
    </row>
    <row r="119" spans="1:3" ht="12.75">
      <c r="A119" s="169">
        <v>112</v>
      </c>
      <c r="B119" s="172" t="s">
        <v>131</v>
      </c>
      <c r="C119" s="159" t="s">
        <v>132</v>
      </c>
    </row>
    <row r="120" spans="1:3" ht="12.75">
      <c r="A120" s="169">
        <v>113</v>
      </c>
      <c r="B120" s="172" t="s">
        <v>133</v>
      </c>
      <c r="C120" s="159" t="s">
        <v>134</v>
      </c>
    </row>
    <row r="121" spans="1:3" ht="12.75">
      <c r="A121" s="169">
        <v>114</v>
      </c>
      <c r="B121" s="172" t="s">
        <v>135</v>
      </c>
      <c r="C121" s="159" t="s">
        <v>136</v>
      </c>
    </row>
    <row r="122" spans="1:3" ht="12.75">
      <c r="A122" s="169">
        <v>115</v>
      </c>
      <c r="B122" s="172" t="s">
        <v>137</v>
      </c>
      <c r="C122" s="159" t="s">
        <v>138</v>
      </c>
    </row>
    <row r="123" spans="1:3" ht="12.75">
      <c r="A123" s="169">
        <v>116</v>
      </c>
      <c r="B123" s="172" t="s">
        <v>139</v>
      </c>
      <c r="C123" s="159" t="s">
        <v>140</v>
      </c>
    </row>
    <row r="124" spans="1:3" ht="12.75">
      <c r="A124" s="169">
        <v>117</v>
      </c>
      <c r="B124" s="172" t="s">
        <v>141</v>
      </c>
      <c r="C124" s="159" t="s">
        <v>142</v>
      </c>
    </row>
    <row r="125" spans="1:3" ht="12.75">
      <c r="A125" s="169">
        <v>118</v>
      </c>
      <c r="B125" s="172" t="s">
        <v>143</v>
      </c>
      <c r="C125" s="159" t="s">
        <v>144</v>
      </c>
    </row>
    <row r="126" spans="1:3" ht="12.75">
      <c r="A126" s="169">
        <v>119</v>
      </c>
      <c r="B126" s="172" t="s">
        <v>145</v>
      </c>
      <c r="C126" s="159" t="s">
        <v>146</v>
      </c>
    </row>
    <row r="127" spans="1:3" ht="12.75">
      <c r="A127" s="169">
        <v>120</v>
      </c>
      <c r="B127" s="172" t="s">
        <v>147</v>
      </c>
      <c r="C127" s="159" t="s">
        <v>148</v>
      </c>
    </row>
    <row r="128" spans="1:3" ht="12.75">
      <c r="A128" s="169">
        <v>121</v>
      </c>
      <c r="B128" s="172" t="s">
        <v>149</v>
      </c>
      <c r="C128" s="159" t="s">
        <v>150</v>
      </c>
    </row>
    <row r="129" spans="1:3" ht="12.75">
      <c r="A129" s="169">
        <v>122</v>
      </c>
      <c r="B129" s="172" t="s">
        <v>151</v>
      </c>
      <c r="C129" s="159" t="s">
        <v>152</v>
      </c>
    </row>
    <row r="130" spans="1:3" ht="12.75">
      <c r="A130" s="169">
        <v>123</v>
      </c>
      <c r="B130" s="172" t="s">
        <v>153</v>
      </c>
      <c r="C130" s="159" t="s">
        <v>154</v>
      </c>
    </row>
    <row r="131" spans="1:3" ht="12.75">
      <c r="A131" s="169">
        <v>124</v>
      </c>
      <c r="B131" s="172" t="s">
        <v>155</v>
      </c>
      <c r="C131" s="159" t="s">
        <v>156</v>
      </c>
    </row>
    <row r="132" spans="1:3" ht="12.75">
      <c r="A132" s="169">
        <v>125</v>
      </c>
      <c r="B132" s="172" t="s">
        <v>157</v>
      </c>
      <c r="C132" s="159" t="s">
        <v>158</v>
      </c>
    </row>
    <row r="133" spans="1:3" ht="12.75">
      <c r="A133" s="169">
        <v>126</v>
      </c>
      <c r="B133" s="172" t="s">
        <v>159</v>
      </c>
      <c r="C133" s="159" t="s">
        <v>160</v>
      </c>
    </row>
    <row r="134" spans="1:3" ht="12.75">
      <c r="A134" s="169">
        <v>127</v>
      </c>
      <c r="B134" s="172" t="s">
        <v>161</v>
      </c>
      <c r="C134" s="159" t="s">
        <v>162</v>
      </c>
    </row>
    <row r="135" spans="1:3" ht="12.75">
      <c r="A135" s="169">
        <v>128</v>
      </c>
      <c r="B135" s="172" t="s">
        <v>163</v>
      </c>
      <c r="C135" s="159" t="s">
        <v>164</v>
      </c>
    </row>
    <row r="136" spans="1:3" ht="12.75">
      <c r="A136" s="169">
        <v>129</v>
      </c>
      <c r="B136" s="172" t="s">
        <v>165</v>
      </c>
      <c r="C136" s="159" t="s">
        <v>166</v>
      </c>
    </row>
    <row r="137" spans="1:3" ht="12.75">
      <c r="A137" s="169">
        <v>130</v>
      </c>
      <c r="B137" s="172" t="s">
        <v>167</v>
      </c>
      <c r="C137" s="159" t="s">
        <v>168</v>
      </c>
    </row>
    <row r="138" spans="1:3" ht="12.75">
      <c r="A138" s="169">
        <v>131</v>
      </c>
      <c r="B138" s="172" t="s">
        <v>169</v>
      </c>
      <c r="C138" s="159" t="s">
        <v>170</v>
      </c>
    </row>
    <row r="139" spans="1:3" ht="12.75">
      <c r="A139" s="169">
        <v>132</v>
      </c>
      <c r="B139" s="172" t="s">
        <v>171</v>
      </c>
      <c r="C139" s="159" t="s">
        <v>172</v>
      </c>
    </row>
    <row r="140" spans="1:3" ht="12.75">
      <c r="A140" s="169">
        <v>133</v>
      </c>
      <c r="B140" s="172" t="s">
        <v>173</v>
      </c>
      <c r="C140" s="159" t="s">
        <v>174</v>
      </c>
    </row>
    <row r="141" spans="1:3" ht="12.75">
      <c r="A141" s="169">
        <v>134</v>
      </c>
      <c r="B141" s="172" t="s">
        <v>175</v>
      </c>
      <c r="C141" s="159" t="s">
        <v>176</v>
      </c>
    </row>
    <row r="142" spans="1:3" ht="12.75">
      <c r="A142" s="169">
        <v>135</v>
      </c>
      <c r="B142" s="172" t="s">
        <v>177</v>
      </c>
      <c r="C142" s="159" t="s">
        <v>178</v>
      </c>
    </row>
    <row r="143" spans="1:3" ht="12.75">
      <c r="A143" s="169">
        <v>136</v>
      </c>
      <c r="B143" s="172" t="s">
        <v>179</v>
      </c>
      <c r="C143" s="159" t="s">
        <v>180</v>
      </c>
    </row>
    <row r="144" spans="1:3" ht="12.75">
      <c r="A144" s="169">
        <v>137</v>
      </c>
      <c r="B144" s="172" t="s">
        <v>181</v>
      </c>
      <c r="C144" s="159" t="s">
        <v>182</v>
      </c>
    </row>
    <row r="145" spans="1:3" ht="12.75">
      <c r="A145" s="169">
        <v>138</v>
      </c>
      <c r="B145" s="172" t="s">
        <v>183</v>
      </c>
      <c r="C145" s="159" t="s">
        <v>184</v>
      </c>
    </row>
    <row r="146" spans="1:3" ht="12.75">
      <c r="A146" s="169">
        <v>139</v>
      </c>
      <c r="B146" s="172" t="s">
        <v>185</v>
      </c>
      <c r="C146" s="159" t="s">
        <v>187</v>
      </c>
    </row>
    <row r="147" spans="1:3" ht="12.75">
      <c r="A147" s="169">
        <v>140</v>
      </c>
      <c r="B147" s="172" t="s">
        <v>188</v>
      </c>
      <c r="C147" s="159" t="s">
        <v>189</v>
      </c>
    </row>
    <row r="148" spans="1:3" ht="12.75">
      <c r="A148" s="169">
        <v>141</v>
      </c>
      <c r="B148" s="172" t="s">
        <v>190</v>
      </c>
      <c r="C148" s="159" t="s">
        <v>191</v>
      </c>
    </row>
    <row r="149" spans="1:3" ht="12.75">
      <c r="A149" s="169">
        <v>142</v>
      </c>
      <c r="B149" s="172" t="s">
        <v>192</v>
      </c>
      <c r="C149" s="159" t="s">
        <v>193</v>
      </c>
    </row>
    <row r="150" spans="1:3" ht="12.75">
      <c r="A150" s="169">
        <v>143</v>
      </c>
      <c r="B150" s="172" t="s">
        <v>194</v>
      </c>
      <c r="C150" s="159" t="s">
        <v>195</v>
      </c>
    </row>
    <row r="151" spans="1:3" ht="12.75">
      <c r="A151" s="169">
        <v>144</v>
      </c>
      <c r="B151" s="172" t="s">
        <v>196</v>
      </c>
      <c r="C151" s="159" t="s">
        <v>197</v>
      </c>
    </row>
    <row r="152" spans="1:3" ht="12.75">
      <c r="A152" s="169">
        <v>145</v>
      </c>
      <c r="B152" s="172" t="s">
        <v>198</v>
      </c>
      <c r="C152" s="159" t="s">
        <v>199</v>
      </c>
    </row>
    <row r="153" spans="1:3" ht="12.75">
      <c r="A153" s="169">
        <v>146</v>
      </c>
      <c r="B153" s="172" t="s">
        <v>200</v>
      </c>
      <c r="C153" s="159" t="s">
        <v>201</v>
      </c>
    </row>
    <row r="154" spans="1:3" ht="12.75">
      <c r="A154" s="169">
        <v>147</v>
      </c>
      <c r="B154" s="172" t="s">
        <v>202</v>
      </c>
      <c r="C154" s="159" t="s">
        <v>203</v>
      </c>
    </row>
    <row r="155" spans="1:3" ht="12.75">
      <c r="A155" s="169">
        <v>148</v>
      </c>
      <c r="B155" s="172" t="s">
        <v>204</v>
      </c>
      <c r="C155" s="159" t="s">
        <v>205</v>
      </c>
    </row>
    <row r="156" spans="1:3" ht="12.75">
      <c r="A156" s="169">
        <v>149</v>
      </c>
      <c r="B156" s="172" t="s">
        <v>206</v>
      </c>
      <c r="C156" s="159" t="s">
        <v>207</v>
      </c>
    </row>
    <row r="157" spans="1:3" ht="12.75">
      <c r="A157" s="169">
        <v>150</v>
      </c>
      <c r="B157" s="172" t="s">
        <v>208</v>
      </c>
      <c r="C157" s="159" t="s">
        <v>209</v>
      </c>
    </row>
    <row r="158" spans="1:3" ht="12.75">
      <c r="A158" s="169">
        <v>151</v>
      </c>
      <c r="B158" s="172" t="s">
        <v>210</v>
      </c>
      <c r="C158" s="159" t="s">
        <v>211</v>
      </c>
    </row>
    <row r="159" spans="1:3" ht="12.75">
      <c r="A159" s="169">
        <v>152</v>
      </c>
      <c r="B159" s="172" t="s">
        <v>212</v>
      </c>
      <c r="C159" s="159" t="s">
        <v>213</v>
      </c>
    </row>
    <row r="160" spans="1:3" ht="12.75">
      <c r="A160" s="169">
        <v>153</v>
      </c>
      <c r="B160" s="172" t="s">
        <v>214</v>
      </c>
      <c r="C160" s="159" t="s">
        <v>215</v>
      </c>
    </row>
    <row r="161" spans="1:3" ht="12.75">
      <c r="A161" s="169">
        <v>154</v>
      </c>
      <c r="B161" s="172" t="s">
        <v>216</v>
      </c>
      <c r="C161" s="159" t="s">
        <v>217</v>
      </c>
    </row>
    <row r="162" spans="1:3" ht="12.75">
      <c r="A162" s="169">
        <v>155</v>
      </c>
      <c r="B162" s="172" t="s">
        <v>218</v>
      </c>
      <c r="C162" s="159" t="s">
        <v>219</v>
      </c>
    </row>
    <row r="163" spans="1:3" ht="12.75">
      <c r="A163" s="169">
        <v>156</v>
      </c>
      <c r="B163" s="172" t="s">
        <v>220</v>
      </c>
      <c r="C163" s="159" t="s">
        <v>221</v>
      </c>
    </row>
    <row r="164" spans="1:3" ht="12.75">
      <c r="A164" s="169">
        <v>157</v>
      </c>
      <c r="B164" s="172" t="s">
        <v>222</v>
      </c>
      <c r="C164" s="159" t="s">
        <v>223</v>
      </c>
    </row>
    <row r="165" spans="1:3" ht="12.75">
      <c r="A165" s="169">
        <v>158</v>
      </c>
      <c r="B165" s="172" t="s">
        <v>224</v>
      </c>
      <c r="C165" s="159" t="s">
        <v>225</v>
      </c>
    </row>
    <row r="166" spans="1:3" ht="12.75">
      <c r="A166" s="169">
        <v>159</v>
      </c>
      <c r="B166" s="172" t="s">
        <v>226</v>
      </c>
      <c r="C166" s="159" t="s">
        <v>227</v>
      </c>
    </row>
    <row r="167" spans="1:3" ht="12.75">
      <c r="A167" s="169">
        <v>160</v>
      </c>
      <c r="B167" s="172" t="s">
        <v>228</v>
      </c>
      <c r="C167" s="159" t="s">
        <v>229</v>
      </c>
    </row>
    <row r="168" spans="1:3" ht="12.75">
      <c r="A168" s="169">
        <v>161</v>
      </c>
      <c r="B168" s="172" t="s">
        <v>230</v>
      </c>
      <c r="C168" s="159" t="s">
        <v>231</v>
      </c>
    </row>
    <row r="169" spans="1:3" ht="12.75">
      <c r="A169" s="169">
        <v>162</v>
      </c>
      <c r="B169" s="172" t="s">
        <v>232</v>
      </c>
      <c r="C169" s="159" t="s">
        <v>233</v>
      </c>
    </row>
    <row r="170" spans="1:3" ht="12.75">
      <c r="A170" s="169">
        <v>163</v>
      </c>
      <c r="B170" s="172" t="s">
        <v>234</v>
      </c>
      <c r="C170" s="159" t="s">
        <v>235</v>
      </c>
    </row>
    <row r="171" spans="1:3" ht="12.75">
      <c r="A171" s="169">
        <v>164</v>
      </c>
      <c r="B171" s="172" t="s">
        <v>236</v>
      </c>
      <c r="C171" s="159" t="s">
        <v>237</v>
      </c>
    </row>
    <row r="172" spans="1:3" ht="12.75">
      <c r="A172" s="169">
        <v>165</v>
      </c>
      <c r="B172" s="172" t="s">
        <v>238</v>
      </c>
      <c r="C172" s="159" t="s">
        <v>239</v>
      </c>
    </row>
    <row r="173" spans="1:3" ht="12.75">
      <c r="A173" s="169">
        <v>166</v>
      </c>
      <c r="B173" s="172" t="s">
        <v>240</v>
      </c>
      <c r="C173" s="159" t="s">
        <v>241</v>
      </c>
    </row>
    <row r="174" spans="1:3" ht="12.75">
      <c r="A174" s="169">
        <v>167</v>
      </c>
      <c r="B174" s="172" t="s">
        <v>242</v>
      </c>
      <c r="C174" s="159" t="s">
        <v>243</v>
      </c>
    </row>
    <row r="175" spans="1:3" ht="12.75">
      <c r="A175" s="169">
        <v>168</v>
      </c>
      <c r="B175" s="172" t="s">
        <v>244</v>
      </c>
      <c r="C175" s="159" t="s">
        <v>245</v>
      </c>
    </row>
    <row r="176" spans="1:3" ht="12.75">
      <c r="A176" s="169">
        <v>169</v>
      </c>
      <c r="B176" s="172" t="s">
        <v>246</v>
      </c>
      <c r="C176" s="159" t="s">
        <v>247</v>
      </c>
    </row>
    <row r="177" spans="1:3" ht="12.75">
      <c r="A177" s="169">
        <v>170</v>
      </c>
      <c r="B177" s="172" t="s">
        <v>248</v>
      </c>
      <c r="C177" s="159" t="s">
        <v>249</v>
      </c>
    </row>
    <row r="178" spans="1:3" ht="12.75">
      <c r="A178" s="169">
        <v>171</v>
      </c>
      <c r="B178" s="172" t="s">
        <v>250</v>
      </c>
      <c r="C178" s="159" t="s">
        <v>251</v>
      </c>
    </row>
    <row r="179" spans="1:3" ht="12.75">
      <c r="A179" s="169">
        <v>172</v>
      </c>
      <c r="B179" s="172" t="s">
        <v>252</v>
      </c>
      <c r="C179" s="159" t="s">
        <v>253</v>
      </c>
    </row>
    <row r="180" spans="1:3" ht="12.75">
      <c r="A180" s="169">
        <v>173</v>
      </c>
      <c r="B180" s="172" t="s">
        <v>254</v>
      </c>
      <c r="C180" s="159" t="s">
        <v>255</v>
      </c>
    </row>
    <row r="181" spans="1:3" ht="12.75">
      <c r="A181" s="169">
        <v>174</v>
      </c>
      <c r="B181" s="172" t="s">
        <v>256</v>
      </c>
      <c r="C181" s="159" t="s">
        <v>257</v>
      </c>
    </row>
    <row r="182" spans="1:3" ht="12.75">
      <c r="A182" s="169">
        <v>175</v>
      </c>
      <c r="B182" s="172" t="s">
        <v>258</v>
      </c>
      <c r="C182" s="159" t="s">
        <v>259</v>
      </c>
    </row>
    <row r="183" spans="1:3" ht="12.75">
      <c r="A183" s="169">
        <v>176</v>
      </c>
      <c r="B183" s="172" t="s">
        <v>260</v>
      </c>
      <c r="C183" s="159" t="s">
        <v>261</v>
      </c>
    </row>
    <row r="184" spans="1:3" ht="12.75">
      <c r="A184" s="169">
        <v>177</v>
      </c>
      <c r="B184" s="172" t="s">
        <v>262</v>
      </c>
      <c r="C184" s="159" t="s">
        <v>263</v>
      </c>
    </row>
    <row r="185" spans="1:3" ht="12.75">
      <c r="A185" s="169">
        <v>178</v>
      </c>
      <c r="B185" s="172" t="s">
        <v>264</v>
      </c>
      <c r="C185" s="159" t="s">
        <v>265</v>
      </c>
    </row>
    <row r="186" spans="1:3" ht="12.75">
      <c r="A186" s="169">
        <v>179</v>
      </c>
      <c r="B186" s="172" t="s">
        <v>266</v>
      </c>
      <c r="C186" s="159" t="s">
        <v>267</v>
      </c>
    </row>
    <row r="187" spans="1:3" ht="12.75">
      <c r="A187" s="169">
        <v>180</v>
      </c>
      <c r="B187" s="172" t="s">
        <v>268</v>
      </c>
      <c r="C187" s="159" t="s">
        <v>269</v>
      </c>
    </row>
    <row r="188" spans="1:3" ht="12.75">
      <c r="A188" s="169">
        <v>181</v>
      </c>
      <c r="B188" s="172" t="s">
        <v>270</v>
      </c>
      <c r="C188" s="159" t="s">
        <v>271</v>
      </c>
    </row>
    <row r="189" spans="1:3" ht="12.75">
      <c r="A189" s="169">
        <v>182</v>
      </c>
      <c r="B189" s="172" t="s">
        <v>272</v>
      </c>
      <c r="C189" s="159" t="s">
        <v>273</v>
      </c>
    </row>
    <row r="190" spans="1:3" ht="12.75">
      <c r="A190" s="169">
        <v>183</v>
      </c>
      <c r="B190" s="172" t="s">
        <v>274</v>
      </c>
      <c r="C190" s="159" t="s">
        <v>275</v>
      </c>
    </row>
    <row r="191" spans="1:3" ht="12.75">
      <c r="A191" s="169">
        <v>184</v>
      </c>
      <c r="B191" s="172" t="s">
        <v>276</v>
      </c>
      <c r="C191" s="159" t="s">
        <v>277</v>
      </c>
    </row>
    <row r="192" spans="1:3" ht="12.75">
      <c r="A192" s="169">
        <v>185</v>
      </c>
      <c r="B192" s="172" t="s">
        <v>278</v>
      </c>
      <c r="C192" s="159" t="s">
        <v>279</v>
      </c>
    </row>
    <row r="193" spans="1:3" ht="12.75">
      <c r="A193" s="169">
        <v>186</v>
      </c>
      <c r="B193" s="172" t="s">
        <v>280</v>
      </c>
      <c r="C193" s="159" t="s">
        <v>281</v>
      </c>
    </row>
    <row r="194" spans="1:3" ht="12.75">
      <c r="A194" s="169">
        <v>187</v>
      </c>
      <c r="B194" s="172" t="s">
        <v>282</v>
      </c>
      <c r="C194" s="159" t="s">
        <v>283</v>
      </c>
    </row>
    <row r="195" spans="1:3" ht="12.75">
      <c r="A195" s="169">
        <v>188</v>
      </c>
      <c r="B195" s="172" t="s">
        <v>305</v>
      </c>
      <c r="C195" s="159" t="s">
        <v>306</v>
      </c>
    </row>
    <row r="196" spans="1:3" ht="12.75">
      <c r="A196" s="169">
        <v>189</v>
      </c>
      <c r="B196" s="172" t="s">
        <v>307</v>
      </c>
      <c r="C196" s="159" t="s">
        <v>308</v>
      </c>
    </row>
    <row r="197" spans="1:3" ht="12.75">
      <c r="A197" s="169">
        <v>190</v>
      </c>
      <c r="B197" s="172" t="s">
        <v>309</v>
      </c>
      <c r="C197" s="159" t="s">
        <v>310</v>
      </c>
    </row>
    <row r="198" spans="1:3" ht="12.75">
      <c r="A198" s="169">
        <v>191</v>
      </c>
      <c r="B198" s="172" t="s">
        <v>311</v>
      </c>
      <c r="C198" s="159" t="s">
        <v>312</v>
      </c>
    </row>
    <row r="199" spans="1:3" ht="12.75">
      <c r="A199" s="169">
        <v>192</v>
      </c>
      <c r="B199" s="172" t="s">
        <v>313</v>
      </c>
      <c r="C199" s="159" t="s">
        <v>314</v>
      </c>
    </row>
    <row r="200" spans="1:3" ht="12.75">
      <c r="A200" s="169">
        <v>193</v>
      </c>
      <c r="B200" s="172" t="s">
        <v>315</v>
      </c>
      <c r="C200" s="159" t="s">
        <v>316</v>
      </c>
    </row>
    <row r="201" spans="1:3" ht="12.75">
      <c r="A201" s="169">
        <v>194</v>
      </c>
      <c r="B201" s="172" t="s">
        <v>317</v>
      </c>
      <c r="C201" s="159" t="s">
        <v>318</v>
      </c>
    </row>
    <row r="202" spans="1:3" ht="12.75">
      <c r="A202" s="169">
        <v>195</v>
      </c>
      <c r="B202" s="172" t="s">
        <v>319</v>
      </c>
      <c r="C202" s="159" t="s">
        <v>320</v>
      </c>
    </row>
    <row r="203" spans="1:3" ht="12.75">
      <c r="A203" s="169">
        <v>196</v>
      </c>
      <c r="B203" s="172" t="s">
        <v>321</v>
      </c>
      <c r="C203" s="159" t="s">
        <v>322</v>
      </c>
    </row>
    <row r="204" spans="1:3" ht="12.75">
      <c r="A204" s="169">
        <v>197</v>
      </c>
      <c r="B204" s="172" t="s">
        <v>323</v>
      </c>
      <c r="C204" s="159" t="s">
        <v>324</v>
      </c>
    </row>
    <row r="205" spans="1:3" ht="12.75">
      <c r="A205" s="169">
        <v>198</v>
      </c>
      <c r="B205" s="172" t="s">
        <v>325</v>
      </c>
      <c r="C205" s="159" t="s">
        <v>326</v>
      </c>
    </row>
    <row r="206" spans="1:3" ht="12.75">
      <c r="A206" s="169">
        <v>199</v>
      </c>
      <c r="B206" s="172" t="s">
        <v>327</v>
      </c>
      <c r="C206" s="159" t="s">
        <v>328</v>
      </c>
    </row>
    <row r="207" spans="1:3" ht="12.75">
      <c r="A207" s="169">
        <v>200</v>
      </c>
      <c r="B207" s="172" t="s">
        <v>329</v>
      </c>
      <c r="C207" s="159" t="s">
        <v>330</v>
      </c>
    </row>
    <row r="208" spans="1:3" ht="12.75">
      <c r="A208" s="169">
        <v>201</v>
      </c>
      <c r="B208" s="172" t="s">
        <v>331</v>
      </c>
      <c r="C208" s="159" t="s">
        <v>332</v>
      </c>
    </row>
    <row r="209" spans="1:3" ht="12.75">
      <c r="A209" s="169">
        <v>202</v>
      </c>
      <c r="B209" s="172" t="s">
        <v>333</v>
      </c>
      <c r="C209" s="159" t="s">
        <v>334</v>
      </c>
    </row>
    <row r="210" spans="1:3" ht="12.75">
      <c r="A210" s="169">
        <v>203</v>
      </c>
      <c r="B210" s="172" t="s">
        <v>335</v>
      </c>
      <c r="C210" s="159" t="s">
        <v>336</v>
      </c>
    </row>
    <row r="211" spans="1:3" ht="12.75">
      <c r="A211" s="169">
        <v>204</v>
      </c>
      <c r="B211" s="172" t="s">
        <v>337</v>
      </c>
      <c r="C211" s="159" t="s">
        <v>338</v>
      </c>
    </row>
    <row r="212" spans="1:3" ht="12.75">
      <c r="A212" s="169">
        <v>205</v>
      </c>
      <c r="B212" s="172" t="s">
        <v>339</v>
      </c>
      <c r="C212" s="159" t="s">
        <v>340</v>
      </c>
    </row>
    <row r="213" spans="1:3" ht="12.75">
      <c r="A213" s="169">
        <v>206</v>
      </c>
      <c r="B213" s="172" t="s">
        <v>341</v>
      </c>
      <c r="C213" s="159" t="s">
        <v>342</v>
      </c>
    </row>
    <row r="214" spans="1:3" ht="12.75">
      <c r="A214" s="169">
        <v>207</v>
      </c>
      <c r="B214" s="172" t="s">
        <v>343</v>
      </c>
      <c r="C214" s="159" t="s">
        <v>344</v>
      </c>
    </row>
    <row r="215" spans="1:3" ht="12.75">
      <c r="A215" s="169">
        <v>208</v>
      </c>
      <c r="B215" s="172" t="s">
        <v>345</v>
      </c>
      <c r="C215" s="159" t="s">
        <v>346</v>
      </c>
    </row>
    <row r="216" spans="1:3" ht="12.75">
      <c r="A216" s="169">
        <v>209</v>
      </c>
      <c r="B216" s="172" t="s">
        <v>347</v>
      </c>
      <c r="C216" s="159" t="s">
        <v>348</v>
      </c>
    </row>
    <row r="217" spans="1:3" ht="12.75">
      <c r="A217" s="169">
        <v>210</v>
      </c>
      <c r="B217" s="172" t="s">
        <v>349</v>
      </c>
      <c r="C217" s="159" t="s">
        <v>350</v>
      </c>
    </row>
    <row r="218" spans="1:3" ht="12.75">
      <c r="A218" s="169">
        <v>211</v>
      </c>
      <c r="B218" s="172" t="s">
        <v>351</v>
      </c>
      <c r="C218" s="159" t="s">
        <v>352</v>
      </c>
    </row>
    <row r="219" spans="1:3" ht="12.75">
      <c r="A219" s="169">
        <v>212</v>
      </c>
      <c r="B219" s="172" t="s">
        <v>353</v>
      </c>
      <c r="C219" s="159" t="s">
        <v>354</v>
      </c>
    </row>
    <row r="220" spans="1:3" ht="12.75">
      <c r="A220" s="169">
        <v>213</v>
      </c>
      <c r="B220" s="172" t="s">
        <v>355</v>
      </c>
      <c r="C220" s="159" t="s">
        <v>356</v>
      </c>
    </row>
    <row r="221" spans="1:3" ht="12.75">
      <c r="A221" s="169">
        <v>214</v>
      </c>
      <c r="B221" s="172" t="s">
        <v>357</v>
      </c>
      <c r="C221" s="159" t="s">
        <v>358</v>
      </c>
    </row>
    <row r="222" spans="1:3" ht="12.75">
      <c r="A222" s="169">
        <v>215</v>
      </c>
      <c r="B222" s="172" t="s">
        <v>359</v>
      </c>
      <c r="C222" s="159" t="s">
        <v>360</v>
      </c>
    </row>
    <row r="223" spans="1:3" ht="12.75">
      <c r="A223" s="169">
        <v>216</v>
      </c>
      <c r="B223" s="172" t="s">
        <v>361</v>
      </c>
      <c r="C223" s="159" t="s">
        <v>362</v>
      </c>
    </row>
    <row r="224" spans="1:3" ht="12.75">
      <c r="A224" s="169">
        <v>217</v>
      </c>
      <c r="B224" s="172" t="s">
        <v>363</v>
      </c>
      <c r="C224" s="159" t="s">
        <v>364</v>
      </c>
    </row>
    <row r="225" spans="1:3" ht="12.75">
      <c r="A225" s="169">
        <v>218</v>
      </c>
      <c r="B225" s="172" t="s">
        <v>365</v>
      </c>
      <c r="C225" s="159" t="s">
        <v>366</v>
      </c>
    </row>
    <row r="226" spans="1:3" ht="12.75">
      <c r="A226" s="169">
        <v>219</v>
      </c>
      <c r="B226" s="172" t="s">
        <v>367</v>
      </c>
      <c r="C226" s="159" t="s">
        <v>368</v>
      </c>
    </row>
    <row r="227" spans="1:3" ht="12.75">
      <c r="A227" s="169">
        <v>220</v>
      </c>
      <c r="B227" s="172" t="s">
        <v>369</v>
      </c>
      <c r="C227" s="159" t="s">
        <v>370</v>
      </c>
    </row>
    <row r="228" spans="1:3" ht="12.75">
      <c r="A228" s="169">
        <v>221</v>
      </c>
      <c r="B228" s="172" t="s">
        <v>371</v>
      </c>
      <c r="C228" s="159" t="s">
        <v>372</v>
      </c>
    </row>
    <row r="229" spans="1:3" ht="12.75">
      <c r="A229" s="169">
        <v>222</v>
      </c>
      <c r="B229" s="172" t="s">
        <v>373</v>
      </c>
      <c r="C229" s="159" t="s">
        <v>374</v>
      </c>
    </row>
    <row r="230" spans="1:3" ht="12.75">
      <c r="A230" s="169">
        <v>223</v>
      </c>
      <c r="B230" s="172" t="s">
        <v>375</v>
      </c>
      <c r="C230" s="159" t="s">
        <v>376</v>
      </c>
    </row>
    <row r="231" spans="1:3" ht="12.75">
      <c r="A231" s="169">
        <v>224</v>
      </c>
      <c r="B231" s="172" t="s">
        <v>377</v>
      </c>
      <c r="C231" s="159" t="s">
        <v>378</v>
      </c>
    </row>
    <row r="232" spans="1:3" ht="12.75">
      <c r="A232" s="169">
        <v>225</v>
      </c>
      <c r="B232" s="172" t="s">
        <v>379</v>
      </c>
      <c r="C232" s="159" t="s">
        <v>380</v>
      </c>
    </row>
    <row r="233" spans="1:3" ht="12.75">
      <c r="A233" s="169">
        <v>226</v>
      </c>
      <c r="B233" s="172" t="s">
        <v>381</v>
      </c>
      <c r="C233" s="159" t="s">
        <v>383</v>
      </c>
    </row>
    <row r="234" spans="1:3" ht="12.75">
      <c r="A234" s="169">
        <v>227</v>
      </c>
      <c r="B234" s="172" t="s">
        <v>384</v>
      </c>
      <c r="C234" s="159" t="s">
        <v>385</v>
      </c>
    </row>
    <row r="235" spans="1:3" ht="12.75">
      <c r="A235" s="169">
        <v>228</v>
      </c>
      <c r="B235" s="172" t="s">
        <v>386</v>
      </c>
      <c r="C235" s="159" t="s">
        <v>387</v>
      </c>
    </row>
    <row r="236" spans="1:3" ht="12.75">
      <c r="A236" s="169">
        <v>229</v>
      </c>
      <c r="B236" s="172" t="s">
        <v>388</v>
      </c>
      <c r="C236" s="159" t="s">
        <v>389</v>
      </c>
    </row>
    <row r="237" spans="1:3" ht="12.75">
      <c r="A237" s="169">
        <v>230</v>
      </c>
      <c r="B237" s="172" t="s">
        <v>390</v>
      </c>
      <c r="C237" s="159" t="s">
        <v>391</v>
      </c>
    </row>
    <row r="238" spans="1:3" ht="12.75">
      <c r="A238" s="169">
        <v>231</v>
      </c>
      <c r="B238" s="172" t="s">
        <v>392</v>
      </c>
      <c r="C238" s="159" t="s">
        <v>393</v>
      </c>
    </row>
    <row r="239" spans="1:3" ht="12.75">
      <c r="A239" s="169">
        <v>232</v>
      </c>
      <c r="B239" s="172" t="s">
        <v>394</v>
      </c>
      <c r="C239" s="159" t="s">
        <v>395</v>
      </c>
    </row>
    <row r="240" spans="1:3" ht="12.75">
      <c r="A240" s="169">
        <v>233</v>
      </c>
      <c r="B240" s="172" t="s">
        <v>396</v>
      </c>
      <c r="C240" s="159" t="s">
        <v>397</v>
      </c>
    </row>
    <row r="241" spans="1:3" ht="12.75">
      <c r="A241" s="169">
        <v>234</v>
      </c>
      <c r="B241" s="172" t="s">
        <v>398</v>
      </c>
      <c r="C241" s="159" t="s">
        <v>399</v>
      </c>
    </row>
    <row r="242" spans="1:3" ht="12.75">
      <c r="A242" s="169">
        <v>235</v>
      </c>
      <c r="B242" s="172" t="s">
        <v>400</v>
      </c>
      <c r="C242" s="159" t="s">
        <v>401</v>
      </c>
    </row>
    <row r="243" spans="1:3" ht="12.75">
      <c r="A243" s="169">
        <v>236</v>
      </c>
      <c r="B243" s="172" t="s">
        <v>402</v>
      </c>
      <c r="C243" s="159" t="s">
        <v>403</v>
      </c>
    </row>
    <row r="244" spans="1:3" ht="12.75">
      <c r="A244" s="169">
        <v>237</v>
      </c>
      <c r="B244" s="172" t="s">
        <v>404</v>
      </c>
      <c r="C244" s="159" t="s">
        <v>405</v>
      </c>
    </row>
    <row r="245" spans="1:3" ht="12.75">
      <c r="A245" s="169">
        <v>238</v>
      </c>
      <c r="B245" s="172" t="s">
        <v>406</v>
      </c>
      <c r="C245" s="159" t="s">
        <v>407</v>
      </c>
    </row>
    <row r="246" spans="1:3" ht="12.75">
      <c r="A246" s="169">
        <v>239</v>
      </c>
      <c r="B246" s="172" t="s">
        <v>408</v>
      </c>
      <c r="C246" s="159" t="s">
        <v>409</v>
      </c>
    </row>
    <row r="247" spans="1:3" ht="12.75">
      <c r="A247" s="169">
        <v>240</v>
      </c>
      <c r="B247" s="172" t="s">
        <v>410</v>
      </c>
      <c r="C247" s="159" t="s">
        <v>411</v>
      </c>
    </row>
    <row r="248" spans="1:3" ht="12.75">
      <c r="A248" s="169">
        <v>241</v>
      </c>
      <c r="B248" s="172" t="s">
        <v>412</v>
      </c>
      <c r="C248" s="159" t="s">
        <v>413</v>
      </c>
    </row>
    <row r="249" spans="1:3" ht="12.75">
      <c r="A249" s="169">
        <v>242</v>
      </c>
      <c r="B249" s="172" t="s">
        <v>414</v>
      </c>
      <c r="C249" s="159" t="s">
        <v>415</v>
      </c>
    </row>
    <row r="250" spans="1:3" ht="12.75">
      <c r="A250" s="169">
        <v>243</v>
      </c>
      <c r="B250" s="172" t="s">
        <v>416</v>
      </c>
      <c r="C250" s="159" t="s">
        <v>417</v>
      </c>
    </row>
    <row r="251" spans="1:3" ht="12.75">
      <c r="A251" s="169">
        <v>244</v>
      </c>
      <c r="B251" s="172" t="s">
        <v>418</v>
      </c>
      <c r="C251" s="159" t="s">
        <v>419</v>
      </c>
    </row>
    <row r="252" spans="1:3" ht="12.75">
      <c r="A252" s="169">
        <v>245</v>
      </c>
      <c r="B252" s="172" t="s">
        <v>420</v>
      </c>
      <c r="C252" s="159" t="s">
        <v>421</v>
      </c>
    </row>
    <row r="253" spans="1:3" ht="12.75">
      <c r="A253" s="169">
        <v>246</v>
      </c>
      <c r="B253" s="172" t="s">
        <v>422</v>
      </c>
      <c r="C253" s="159" t="s">
        <v>423</v>
      </c>
    </row>
    <row r="254" spans="1:3" ht="12.75">
      <c r="A254" s="169">
        <v>247</v>
      </c>
      <c r="B254" s="172" t="s">
        <v>424</v>
      </c>
      <c r="C254" s="159" t="s">
        <v>425</v>
      </c>
    </row>
    <row r="255" spans="1:3" ht="12.75">
      <c r="A255" s="169">
        <v>248</v>
      </c>
      <c r="B255" s="172" t="s">
        <v>426</v>
      </c>
      <c r="C255" s="159" t="s">
        <v>427</v>
      </c>
    </row>
    <row r="256" spans="1:3" ht="12.75">
      <c r="A256" s="169">
        <v>249</v>
      </c>
      <c r="B256" s="172" t="s">
        <v>428</v>
      </c>
      <c r="C256" s="159" t="s">
        <v>429</v>
      </c>
    </row>
    <row r="257" spans="1:3" ht="12.75">
      <c r="A257" s="169">
        <v>250</v>
      </c>
      <c r="B257" s="172" t="s">
        <v>430</v>
      </c>
      <c r="C257" s="159" t="s">
        <v>431</v>
      </c>
    </row>
    <row r="258" spans="1:3" ht="12.75">
      <c r="A258" s="169">
        <v>251</v>
      </c>
      <c r="B258" s="172" t="s">
        <v>432</v>
      </c>
      <c r="C258" s="159" t="s">
        <v>433</v>
      </c>
    </row>
    <row r="259" spans="1:3" ht="12.75">
      <c r="A259" s="169">
        <v>252</v>
      </c>
      <c r="B259" s="172" t="s">
        <v>434</v>
      </c>
      <c r="C259" s="159" t="s">
        <v>435</v>
      </c>
    </row>
    <row r="260" spans="1:3" ht="12.75">
      <c r="A260" s="169">
        <v>253</v>
      </c>
      <c r="B260" s="172" t="s">
        <v>436</v>
      </c>
      <c r="C260" s="159" t="s">
        <v>437</v>
      </c>
    </row>
    <row r="261" spans="1:3" ht="12.75">
      <c r="A261" s="169">
        <v>254</v>
      </c>
      <c r="B261" s="172" t="s">
        <v>438</v>
      </c>
      <c r="C261" s="159" t="s">
        <v>439</v>
      </c>
    </row>
    <row r="262" spans="1:3" ht="12.75">
      <c r="A262" s="169">
        <v>255</v>
      </c>
      <c r="B262" s="172" t="s">
        <v>440</v>
      </c>
      <c r="C262" s="159" t="s">
        <v>441</v>
      </c>
    </row>
    <row r="263" spans="1:3" ht="12.75">
      <c r="A263" s="169">
        <v>256</v>
      </c>
      <c r="B263" s="172" t="s">
        <v>442</v>
      </c>
      <c r="C263" s="159" t="s">
        <v>443</v>
      </c>
    </row>
    <row r="264" spans="1:3" ht="12.75">
      <c r="A264" s="169">
        <v>257</v>
      </c>
      <c r="B264" s="172" t="s">
        <v>444</v>
      </c>
      <c r="C264" s="159" t="s">
        <v>445</v>
      </c>
    </row>
    <row r="265" spans="1:3" ht="12.75">
      <c r="A265" s="169">
        <v>258</v>
      </c>
      <c r="B265" s="172" t="s">
        <v>446</v>
      </c>
      <c r="C265" s="159" t="s">
        <v>447</v>
      </c>
    </row>
    <row r="266" spans="1:3" ht="12.75">
      <c r="A266" s="169">
        <v>259</v>
      </c>
      <c r="B266" s="172" t="s">
        <v>448</v>
      </c>
      <c r="C266" s="159" t="s">
        <v>449</v>
      </c>
    </row>
    <row r="267" spans="1:3" ht="12.75">
      <c r="A267" s="169">
        <v>260</v>
      </c>
      <c r="B267" s="172" t="s">
        <v>450</v>
      </c>
      <c r="C267" s="159" t="s">
        <v>451</v>
      </c>
    </row>
    <row r="268" spans="1:3" ht="12.75">
      <c r="A268" s="169">
        <v>261</v>
      </c>
      <c r="B268" s="172" t="s">
        <v>452</v>
      </c>
      <c r="C268" s="159" t="s">
        <v>453</v>
      </c>
    </row>
    <row r="269" spans="1:3" ht="12.75">
      <c r="A269" s="169">
        <v>262</v>
      </c>
      <c r="B269" s="172" t="s">
        <v>454</v>
      </c>
      <c r="C269" s="159" t="s">
        <v>455</v>
      </c>
    </row>
    <row r="270" spans="1:3" ht="12.75">
      <c r="A270" s="169">
        <v>263</v>
      </c>
      <c r="B270" s="172" t="s">
        <v>456</v>
      </c>
      <c r="C270" s="159" t="s">
        <v>457</v>
      </c>
    </row>
    <row r="271" spans="1:3" ht="12.75">
      <c r="A271" s="169">
        <v>264</v>
      </c>
      <c r="B271" s="172" t="s">
        <v>458</v>
      </c>
      <c r="C271" s="159" t="s">
        <v>459</v>
      </c>
    </row>
    <row r="272" spans="1:3" ht="12.75">
      <c r="A272" s="169">
        <v>265</v>
      </c>
      <c r="B272" s="172" t="s">
        <v>460</v>
      </c>
      <c r="C272" s="159" t="s">
        <v>461</v>
      </c>
    </row>
    <row r="273" spans="1:3" ht="12.75">
      <c r="A273" s="169">
        <v>266</v>
      </c>
      <c r="B273" s="172" t="s">
        <v>462</v>
      </c>
      <c r="C273" s="159" t="s">
        <v>463</v>
      </c>
    </row>
    <row r="274" spans="1:3" ht="12.75">
      <c r="A274" s="169">
        <v>267</v>
      </c>
      <c r="B274" s="172" t="s">
        <v>464</v>
      </c>
      <c r="C274" s="159" t="s">
        <v>465</v>
      </c>
    </row>
    <row r="275" spans="1:3" ht="12.75">
      <c r="A275" s="169">
        <v>268</v>
      </c>
      <c r="B275" s="172" t="s">
        <v>466</v>
      </c>
      <c r="C275" s="159" t="s">
        <v>467</v>
      </c>
    </row>
    <row r="276" spans="1:3" ht="12.75">
      <c r="A276" s="169">
        <v>269</v>
      </c>
      <c r="B276" s="172" t="s">
        <v>468</v>
      </c>
      <c r="C276" s="159" t="s">
        <v>469</v>
      </c>
    </row>
    <row r="277" spans="1:3" ht="12.75">
      <c r="A277" s="169">
        <v>270</v>
      </c>
      <c r="B277" s="172" t="s">
        <v>470</v>
      </c>
      <c r="C277" s="159" t="s">
        <v>471</v>
      </c>
    </row>
    <row r="278" spans="1:3" ht="12.75">
      <c r="A278" s="169">
        <v>271</v>
      </c>
      <c r="B278" s="172" t="s">
        <v>472</v>
      </c>
      <c r="C278" s="159" t="s">
        <v>473</v>
      </c>
    </row>
    <row r="279" spans="1:3" ht="12.75">
      <c r="A279" s="169">
        <v>272</v>
      </c>
      <c r="B279" s="172" t="s">
        <v>474</v>
      </c>
      <c r="C279" s="159" t="s">
        <v>475</v>
      </c>
    </row>
    <row r="280" spans="1:3" ht="12.75">
      <c r="A280" s="169">
        <v>273</v>
      </c>
      <c r="B280" s="172" t="s">
        <v>476</v>
      </c>
      <c r="C280" s="159" t="s">
        <v>477</v>
      </c>
    </row>
    <row r="281" spans="1:3" ht="12.75">
      <c r="A281" s="169">
        <v>274</v>
      </c>
      <c r="B281" s="172" t="s">
        <v>478</v>
      </c>
      <c r="C281" s="159" t="s">
        <v>479</v>
      </c>
    </row>
    <row r="282" spans="1:3" ht="12.75">
      <c r="A282" s="169">
        <v>275</v>
      </c>
      <c r="B282" s="172" t="s">
        <v>480</v>
      </c>
      <c r="C282" s="159" t="s">
        <v>481</v>
      </c>
    </row>
    <row r="283" spans="1:3" ht="12.75">
      <c r="A283" s="169">
        <v>276</v>
      </c>
      <c r="B283" s="172" t="s">
        <v>482</v>
      </c>
      <c r="C283" s="159" t="s">
        <v>483</v>
      </c>
    </row>
    <row r="284" spans="1:3" ht="12.75">
      <c r="A284" s="169">
        <v>277</v>
      </c>
      <c r="B284" s="172" t="s">
        <v>484</v>
      </c>
      <c r="C284" s="159" t="s">
        <v>485</v>
      </c>
    </row>
    <row r="285" spans="1:3" ht="12.75">
      <c r="A285" s="169">
        <v>278</v>
      </c>
      <c r="B285" s="172" t="s">
        <v>486</v>
      </c>
      <c r="C285" s="159" t="s">
        <v>487</v>
      </c>
    </row>
    <row r="286" spans="1:3" ht="12.75">
      <c r="A286" s="169">
        <v>279</v>
      </c>
      <c r="B286" s="172" t="s">
        <v>488</v>
      </c>
      <c r="C286" s="159" t="s">
        <v>489</v>
      </c>
    </row>
    <row r="287" spans="1:3" ht="12.75">
      <c r="A287" s="169">
        <v>280</v>
      </c>
      <c r="B287" s="172" t="s">
        <v>490</v>
      </c>
      <c r="C287" s="159" t="s">
        <v>491</v>
      </c>
    </row>
    <row r="288" spans="1:3" ht="12.75">
      <c r="A288" s="169">
        <v>281</v>
      </c>
      <c r="B288" s="172" t="s">
        <v>492</v>
      </c>
      <c r="C288" s="159" t="s">
        <v>493</v>
      </c>
    </row>
    <row r="289" spans="1:3" ht="12.75">
      <c r="A289" s="169">
        <v>282</v>
      </c>
      <c r="B289" s="172" t="s">
        <v>494</v>
      </c>
      <c r="C289" s="159" t="s">
        <v>495</v>
      </c>
    </row>
    <row r="290" spans="1:3" ht="12.75">
      <c r="A290" s="169">
        <v>283</v>
      </c>
      <c r="B290" s="172" t="s">
        <v>496</v>
      </c>
      <c r="C290" s="159" t="s">
        <v>497</v>
      </c>
    </row>
    <row r="291" spans="1:3" ht="12.75">
      <c r="A291" s="169">
        <v>284</v>
      </c>
      <c r="B291" s="172" t="s">
        <v>498</v>
      </c>
      <c r="C291" s="159" t="s">
        <v>499</v>
      </c>
    </row>
    <row r="292" spans="1:3" ht="12.75">
      <c r="A292" s="169">
        <v>285</v>
      </c>
      <c r="B292" s="172" t="s">
        <v>500</v>
      </c>
      <c r="C292" s="159" t="s">
        <v>501</v>
      </c>
    </row>
    <row r="293" spans="1:3" ht="12.75">
      <c r="A293" s="169">
        <v>286</v>
      </c>
      <c r="B293" s="172" t="s">
        <v>502</v>
      </c>
      <c r="C293" s="159" t="s">
        <v>503</v>
      </c>
    </row>
    <row r="294" spans="1:3" ht="12.75">
      <c r="A294" s="169">
        <v>287</v>
      </c>
      <c r="B294" s="172" t="s">
        <v>504</v>
      </c>
      <c r="C294" s="159" t="s">
        <v>505</v>
      </c>
    </row>
    <row r="295" spans="1:3" ht="12.75">
      <c r="A295" s="169">
        <v>288</v>
      </c>
      <c r="B295" s="172" t="s">
        <v>506</v>
      </c>
      <c r="C295" s="159" t="s">
        <v>507</v>
      </c>
    </row>
    <row r="296" spans="1:3" ht="12.75">
      <c r="A296" s="169">
        <v>289</v>
      </c>
      <c r="B296" s="172" t="s">
        <v>508</v>
      </c>
      <c r="C296" s="159" t="s">
        <v>509</v>
      </c>
    </row>
    <row r="297" spans="1:3" ht="12.75">
      <c r="A297" s="169">
        <v>290</v>
      </c>
      <c r="B297" s="172" t="s">
        <v>510</v>
      </c>
      <c r="C297" s="159" t="s">
        <v>511</v>
      </c>
    </row>
    <row r="298" spans="1:3" ht="12.75">
      <c r="A298" s="169">
        <v>291</v>
      </c>
      <c r="B298" s="172" t="s">
        <v>512</v>
      </c>
      <c r="C298" s="159" t="s">
        <v>513</v>
      </c>
    </row>
    <row r="299" spans="1:3" ht="12.75">
      <c r="A299" s="169">
        <v>292</v>
      </c>
      <c r="B299" s="172" t="s">
        <v>514</v>
      </c>
      <c r="C299" s="159" t="s">
        <v>515</v>
      </c>
    </row>
    <row r="300" spans="1:3" ht="12.75">
      <c r="A300" s="169">
        <v>293</v>
      </c>
      <c r="B300" s="172" t="s">
        <v>516</v>
      </c>
      <c r="C300" s="159" t="s">
        <v>517</v>
      </c>
    </row>
    <row r="301" spans="1:3" ht="12.75">
      <c r="A301" s="169">
        <v>294</v>
      </c>
      <c r="B301" s="172" t="s">
        <v>518</v>
      </c>
      <c r="C301" s="159" t="s">
        <v>519</v>
      </c>
    </row>
    <row r="302" spans="1:3" ht="12.75">
      <c r="A302" s="169">
        <v>295</v>
      </c>
      <c r="B302" s="172" t="s">
        <v>520</v>
      </c>
      <c r="C302" s="159" t="s">
        <v>521</v>
      </c>
    </row>
    <row r="303" spans="1:3" ht="12.75">
      <c r="A303" s="169">
        <v>296</v>
      </c>
      <c r="B303" s="172" t="s">
        <v>522</v>
      </c>
      <c r="C303" s="159" t="s">
        <v>523</v>
      </c>
    </row>
    <row r="304" spans="1:3" ht="12.75">
      <c r="A304" s="169">
        <v>297</v>
      </c>
      <c r="B304" s="172" t="s">
        <v>524</v>
      </c>
      <c r="C304" s="159" t="s">
        <v>525</v>
      </c>
    </row>
    <row r="305" spans="1:3" ht="12.75">
      <c r="A305" s="169">
        <v>298</v>
      </c>
      <c r="B305" s="172" t="s">
        <v>526</v>
      </c>
      <c r="C305" s="159" t="s">
        <v>527</v>
      </c>
    </row>
    <row r="306" spans="1:3" ht="12.75">
      <c r="A306" s="169">
        <v>299</v>
      </c>
      <c r="B306" s="172" t="s">
        <v>528</v>
      </c>
      <c r="C306" s="159" t="s">
        <v>529</v>
      </c>
    </row>
    <row r="307" spans="1:3" ht="12.75">
      <c r="A307" s="169">
        <v>300</v>
      </c>
      <c r="B307" s="172" t="s">
        <v>530</v>
      </c>
      <c r="C307" s="159" t="s">
        <v>531</v>
      </c>
    </row>
    <row r="308" spans="1:3" ht="12.75">
      <c r="A308" s="169">
        <v>301</v>
      </c>
      <c r="B308" s="172" t="s">
        <v>532</v>
      </c>
      <c r="C308" s="159" t="s">
        <v>533</v>
      </c>
    </row>
    <row r="309" spans="1:3" ht="12.75">
      <c r="A309" s="169">
        <v>302</v>
      </c>
      <c r="B309" s="172" t="s">
        <v>534</v>
      </c>
      <c r="C309" s="159" t="s">
        <v>535</v>
      </c>
    </row>
    <row r="310" spans="1:3" ht="12.75">
      <c r="A310" s="169">
        <v>303</v>
      </c>
      <c r="B310" s="172" t="s">
        <v>536</v>
      </c>
      <c r="C310" s="159" t="s">
        <v>537</v>
      </c>
    </row>
    <row r="311" spans="1:3" ht="12.75">
      <c r="A311" s="169">
        <v>304</v>
      </c>
      <c r="B311" s="172" t="s">
        <v>538</v>
      </c>
      <c r="C311" s="159" t="s">
        <v>539</v>
      </c>
    </row>
    <row r="312" spans="1:3" ht="12.75">
      <c r="A312" s="169">
        <v>305</v>
      </c>
      <c r="B312" s="172" t="s">
        <v>540</v>
      </c>
      <c r="C312" s="159" t="s">
        <v>541</v>
      </c>
    </row>
    <row r="313" spans="1:3" ht="12.75">
      <c r="A313" s="169">
        <v>306</v>
      </c>
      <c r="B313" s="172" t="s">
        <v>542</v>
      </c>
      <c r="C313" s="159" t="s">
        <v>543</v>
      </c>
    </row>
    <row r="314" spans="1:3" ht="12.75">
      <c r="A314" s="169">
        <v>307</v>
      </c>
      <c r="B314" s="172" t="s">
        <v>544</v>
      </c>
      <c r="C314" s="159" t="s">
        <v>545</v>
      </c>
    </row>
    <row r="315" spans="1:3" ht="12.75">
      <c r="A315" s="169">
        <v>308</v>
      </c>
      <c r="B315" s="172" t="s">
        <v>546</v>
      </c>
      <c r="C315" s="159" t="s">
        <v>547</v>
      </c>
    </row>
    <row r="316" spans="1:3" ht="12.75">
      <c r="A316" s="169">
        <v>309</v>
      </c>
      <c r="B316" s="172" t="s">
        <v>548</v>
      </c>
      <c r="C316" s="159" t="s">
        <v>549</v>
      </c>
    </row>
    <row r="317" spans="1:3" ht="12.75">
      <c r="A317" s="169">
        <v>310</v>
      </c>
      <c r="B317" s="172" t="s">
        <v>550</v>
      </c>
      <c r="C317" s="159" t="s">
        <v>551</v>
      </c>
    </row>
    <row r="318" spans="1:3" ht="12.75">
      <c r="A318" s="169">
        <v>311</v>
      </c>
      <c r="B318" s="172" t="s">
        <v>552</v>
      </c>
      <c r="C318" s="159" t="s">
        <v>553</v>
      </c>
    </row>
    <row r="319" spans="1:3" ht="12.75">
      <c r="A319" s="169">
        <v>312</v>
      </c>
      <c r="B319" s="172" t="s">
        <v>554</v>
      </c>
      <c r="C319" s="159" t="s">
        <v>555</v>
      </c>
    </row>
    <row r="320" spans="1:3" ht="12.75">
      <c r="A320" s="169">
        <v>313</v>
      </c>
      <c r="B320" s="172" t="s">
        <v>556</v>
      </c>
      <c r="C320" s="159" t="s">
        <v>557</v>
      </c>
    </row>
    <row r="321" spans="1:3" ht="12.75">
      <c r="A321" s="169">
        <v>314</v>
      </c>
      <c r="B321" s="172" t="s">
        <v>558</v>
      </c>
      <c r="C321" s="159" t="s">
        <v>559</v>
      </c>
    </row>
    <row r="322" spans="1:3" ht="12.75">
      <c r="A322" s="169">
        <v>315</v>
      </c>
      <c r="B322" s="172" t="s">
        <v>560</v>
      </c>
      <c r="C322" s="159" t="s">
        <v>561</v>
      </c>
    </row>
    <row r="323" spans="1:3" ht="12.75">
      <c r="A323" s="169">
        <v>316</v>
      </c>
      <c r="B323" s="172" t="s">
        <v>562</v>
      </c>
      <c r="C323" s="159" t="s">
        <v>563</v>
      </c>
    </row>
    <row r="324" spans="1:3" ht="12.75">
      <c r="A324" s="169">
        <v>317</v>
      </c>
      <c r="B324" s="172" t="s">
        <v>564</v>
      </c>
      <c r="C324" s="159" t="s">
        <v>565</v>
      </c>
    </row>
    <row r="325" spans="1:3" ht="12.75">
      <c r="A325" s="169">
        <v>318</v>
      </c>
      <c r="B325" s="172" t="s">
        <v>566</v>
      </c>
      <c r="C325" s="159" t="s">
        <v>567</v>
      </c>
    </row>
    <row r="326" spans="1:3" ht="12.75">
      <c r="A326" s="169">
        <v>319</v>
      </c>
      <c r="B326" s="172" t="s">
        <v>568</v>
      </c>
      <c r="C326" s="159" t="s">
        <v>569</v>
      </c>
    </row>
    <row r="327" spans="1:3" ht="12.75">
      <c r="A327" s="169">
        <v>320</v>
      </c>
      <c r="B327" s="172" t="s">
        <v>570</v>
      </c>
      <c r="C327" s="159" t="s">
        <v>571</v>
      </c>
    </row>
    <row r="328" spans="1:3" ht="12.75">
      <c r="A328" s="169">
        <v>321</v>
      </c>
      <c r="B328" s="172" t="s">
        <v>572</v>
      </c>
      <c r="C328" s="159" t="s">
        <v>573</v>
      </c>
    </row>
    <row r="329" spans="1:3" ht="12.75">
      <c r="A329" s="169">
        <v>322</v>
      </c>
      <c r="B329" s="172" t="s">
        <v>574</v>
      </c>
      <c r="C329" s="159" t="s">
        <v>575</v>
      </c>
    </row>
    <row r="330" spans="1:3" ht="12.75">
      <c r="A330" s="169">
        <v>323</v>
      </c>
      <c r="B330" s="172" t="s">
        <v>576</v>
      </c>
      <c r="C330" s="159" t="s">
        <v>577</v>
      </c>
    </row>
    <row r="331" spans="1:3" ht="12.75">
      <c r="A331" s="169">
        <v>324</v>
      </c>
      <c r="B331" s="172" t="s">
        <v>578</v>
      </c>
      <c r="C331" s="159" t="s">
        <v>579</v>
      </c>
    </row>
    <row r="332" spans="1:3" ht="12.75">
      <c r="A332" s="169">
        <v>325</v>
      </c>
      <c r="B332" s="172" t="s">
        <v>580</v>
      </c>
      <c r="C332" s="159" t="s">
        <v>581</v>
      </c>
    </row>
    <row r="333" spans="1:3" ht="13.5" thickBot="1">
      <c r="A333" s="170">
        <v>326</v>
      </c>
      <c r="B333" s="174" t="s">
        <v>582</v>
      </c>
      <c r="C333" s="161" t="s">
        <v>583</v>
      </c>
    </row>
    <row r="334" spans="1:3" ht="13.5" thickBot="1">
      <c r="A334" s="175">
        <v>327</v>
      </c>
      <c r="B334" s="252" t="s">
        <v>873</v>
      </c>
      <c r="C334" s="157" t="s">
        <v>584</v>
      </c>
    </row>
    <row r="335" spans="1:3" ht="12.75">
      <c r="A335" s="155"/>
      <c r="B335" s="155"/>
      <c r="C335" s="155"/>
    </row>
  </sheetData>
  <sheetProtection/>
  <printOptions/>
  <pageMargins left="0.3937007874015748" right="0.3937007874015748" top="0.3937007874015748" bottom="0.3937007874015748" header="0.5118110236220472" footer="0.5118110236220472"/>
  <pageSetup fitToHeight="4" fitToWidth="1" horizontalDpi="600" verticalDpi="60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35"/>
  <sheetViews>
    <sheetView zoomScalePageLayoutView="0" workbookViewId="0" topLeftCell="A1">
      <pane xSplit="3" ySplit="7" topLeftCell="BW20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Y218" sqref="BY218:CA218"/>
    </sheetView>
  </sheetViews>
  <sheetFormatPr defaultColWidth="9.140625" defaultRowHeight="12.75"/>
  <cols>
    <col min="1" max="1" width="8.421875" style="57" customWidth="1"/>
    <col min="2" max="2" width="33.140625" style="57" customWidth="1"/>
    <col min="3" max="3" width="8.140625" style="57" bestFit="1" customWidth="1"/>
    <col min="4" max="4" width="13.8515625" style="234" bestFit="1" customWidth="1"/>
    <col min="5" max="6" width="12.7109375" style="57" customWidth="1"/>
    <col min="7" max="13" width="12.7109375" style="0" customWidth="1"/>
    <col min="14" max="14" width="10.28125" style="0" bestFit="1" customWidth="1"/>
    <col min="15" max="15" width="14.00390625" style="0" bestFit="1" customWidth="1"/>
    <col min="16" max="17" width="13.8515625" style="0" bestFit="1" customWidth="1"/>
    <col min="18" max="18" width="14.00390625" style="0" bestFit="1" customWidth="1"/>
    <col min="19" max="19" width="12.7109375" style="0" bestFit="1" customWidth="1"/>
    <col min="20" max="20" width="11.140625" style="0" bestFit="1" customWidth="1"/>
    <col min="21" max="21" width="13.8515625" style="0" bestFit="1" customWidth="1"/>
    <col min="22" max="22" width="11.28125" style="0" bestFit="1" customWidth="1"/>
    <col min="23" max="23" width="13.8515625" style="0" bestFit="1" customWidth="1"/>
    <col min="24" max="25" width="10.140625" style="0" bestFit="1" customWidth="1"/>
    <col min="26" max="26" width="10.28125" style="0" bestFit="1" customWidth="1"/>
    <col min="27" max="27" width="11.28125" style="0" bestFit="1" customWidth="1"/>
    <col min="30" max="30" width="10.28125" style="0" bestFit="1" customWidth="1"/>
    <col min="31" max="31" width="7.57421875" style="0" bestFit="1" customWidth="1"/>
    <col min="33" max="33" width="11.28125" style="0" bestFit="1" customWidth="1"/>
    <col min="34" max="35" width="7.7109375" style="0" bestFit="1" customWidth="1"/>
    <col min="36" max="37" width="11.28125" style="0" bestFit="1" customWidth="1"/>
    <col min="38" max="38" width="10.140625" style="0" bestFit="1" customWidth="1"/>
    <col min="39" max="40" width="11.7109375" style="0" bestFit="1" customWidth="1"/>
    <col min="41" max="41" width="11.28125" style="0" bestFit="1" customWidth="1"/>
    <col min="42" max="42" width="9.7109375" style="0" bestFit="1" customWidth="1"/>
    <col min="43" max="43" width="11.7109375" style="0" bestFit="1" customWidth="1"/>
    <col min="44" max="44" width="13.8515625" style="0" bestFit="1" customWidth="1"/>
    <col min="45" max="46" width="12.7109375" style="0" bestFit="1" customWidth="1"/>
    <col min="47" max="47" width="11.140625" style="0" bestFit="1" customWidth="1"/>
    <col min="48" max="48" width="13.8515625" style="0" bestFit="1" customWidth="1"/>
    <col min="49" max="50" width="10.140625" style="0" bestFit="1" customWidth="1"/>
    <col min="52" max="53" width="11.140625" style="0" bestFit="1" customWidth="1"/>
    <col min="54" max="54" width="10.140625" style="0" bestFit="1" customWidth="1"/>
    <col min="56" max="56" width="11.140625" style="0" bestFit="1" customWidth="1"/>
    <col min="57" max="57" width="11.28125" style="0" bestFit="1" customWidth="1"/>
    <col min="58" max="59" width="8.7109375" style="0" bestFit="1" customWidth="1"/>
    <col min="60" max="60" width="11.28125" style="0" bestFit="1" customWidth="1"/>
    <col min="63" max="63" width="6.57421875" style="0" bestFit="1" customWidth="1"/>
    <col min="64" max="65" width="10.140625" style="0" bestFit="1" customWidth="1"/>
    <col min="67" max="67" width="7.57421875" style="0" bestFit="1" customWidth="1"/>
    <col min="68" max="68" width="10.140625" style="0" bestFit="1" customWidth="1"/>
    <col min="69" max="69" width="11.28125" style="0" bestFit="1" customWidth="1"/>
    <col min="70" max="70" width="10.140625" style="0" bestFit="1" customWidth="1"/>
    <col min="72" max="73" width="11.140625" style="0" bestFit="1" customWidth="1"/>
    <col min="74" max="74" width="10.140625" style="0" bestFit="1" customWidth="1"/>
    <col min="76" max="76" width="11.140625" style="0" bestFit="1" customWidth="1"/>
    <col min="77" max="77" width="28.421875" style="0" bestFit="1" customWidth="1"/>
    <col min="78" max="78" width="23.28125" style="0" bestFit="1" customWidth="1"/>
    <col min="79" max="79" width="33.00390625" style="0" bestFit="1" customWidth="1"/>
  </cols>
  <sheetData>
    <row r="1" spans="1:20" ht="15.75" thickBot="1">
      <c r="A1" s="68"/>
      <c r="B1" s="69"/>
      <c r="C1" s="164"/>
      <c r="D1" s="232"/>
      <c r="E1" s="151"/>
      <c r="F1" s="151"/>
      <c r="T1" s="204"/>
    </row>
    <row r="2" spans="1:79" s="273" customFormat="1" ht="93" thickBot="1" thickTop="1">
      <c r="A2" s="272"/>
      <c r="B2" s="70"/>
      <c r="C2" s="248"/>
      <c r="D2" s="274" t="s">
        <v>951</v>
      </c>
      <c r="E2" s="274" t="s">
        <v>952</v>
      </c>
      <c r="F2" s="274" t="s">
        <v>953</v>
      </c>
      <c r="G2" s="274" t="s">
        <v>954</v>
      </c>
      <c r="H2" s="274" t="s">
        <v>955</v>
      </c>
      <c r="I2" s="274" t="s">
        <v>956</v>
      </c>
      <c r="J2" s="274" t="s">
        <v>957</v>
      </c>
      <c r="K2" s="274" t="s">
        <v>958</v>
      </c>
      <c r="L2" s="274" t="s">
        <v>959</v>
      </c>
      <c r="M2" s="274" t="s">
        <v>960</v>
      </c>
      <c r="N2" s="274" t="s">
        <v>961</v>
      </c>
      <c r="O2" s="274" t="s">
        <v>962</v>
      </c>
      <c r="P2" s="275" t="s">
        <v>963</v>
      </c>
      <c r="Q2" s="276" t="s">
        <v>964</v>
      </c>
      <c r="R2" s="276"/>
      <c r="S2" s="276"/>
      <c r="T2" s="276"/>
      <c r="U2" s="276"/>
      <c r="V2" s="274" t="s">
        <v>965</v>
      </c>
      <c r="W2" s="274" t="s">
        <v>966</v>
      </c>
      <c r="X2" s="434" t="s">
        <v>967</v>
      </c>
      <c r="Y2" s="436"/>
      <c r="Z2" s="434" t="s">
        <v>968</v>
      </c>
      <c r="AA2" s="436"/>
      <c r="AB2" s="434" t="s">
        <v>969</v>
      </c>
      <c r="AC2" s="436"/>
      <c r="AD2" s="434" t="s">
        <v>970</v>
      </c>
      <c r="AE2" s="435"/>
      <c r="AF2" s="436"/>
      <c r="AG2" s="434" t="s">
        <v>971</v>
      </c>
      <c r="AH2" s="435"/>
      <c r="AI2" s="436"/>
      <c r="AJ2" s="276"/>
      <c r="AK2" s="434" t="s">
        <v>972</v>
      </c>
      <c r="AL2" s="436"/>
      <c r="AM2" s="434" t="s">
        <v>973</v>
      </c>
      <c r="AN2" s="435"/>
      <c r="AO2" s="435"/>
      <c r="AP2" s="435"/>
      <c r="AQ2" s="436"/>
      <c r="AR2" s="434" t="s">
        <v>974</v>
      </c>
      <c r="AS2" s="435"/>
      <c r="AT2" s="435"/>
      <c r="AU2" s="435"/>
      <c r="AV2" s="436"/>
      <c r="AW2" s="434" t="s">
        <v>975</v>
      </c>
      <c r="AX2" s="435"/>
      <c r="AY2" s="435"/>
      <c r="AZ2" s="436"/>
      <c r="BA2" s="434" t="s">
        <v>976</v>
      </c>
      <c r="BB2" s="435"/>
      <c r="BC2" s="435"/>
      <c r="BD2" s="436"/>
      <c r="BE2" s="434" t="s">
        <v>977</v>
      </c>
      <c r="BF2" s="435"/>
      <c r="BG2" s="435"/>
      <c r="BH2" s="436"/>
      <c r="BI2" s="434" t="s">
        <v>978</v>
      </c>
      <c r="BJ2" s="435"/>
      <c r="BK2" s="435"/>
      <c r="BL2" s="436"/>
      <c r="BM2" s="434" t="s">
        <v>979</v>
      </c>
      <c r="BN2" s="435"/>
      <c r="BO2" s="435"/>
      <c r="BP2" s="436"/>
      <c r="BQ2" s="434" t="s">
        <v>980</v>
      </c>
      <c r="BR2" s="435"/>
      <c r="BS2" s="435"/>
      <c r="BT2" s="436"/>
      <c r="BU2" s="434" t="s">
        <v>981</v>
      </c>
      <c r="BV2" s="435"/>
      <c r="BW2" s="435"/>
      <c r="BX2" s="436"/>
      <c r="BY2" s="285" t="s">
        <v>1053</v>
      </c>
      <c r="BZ2" s="286" t="s">
        <v>1054</v>
      </c>
      <c r="CA2" s="287" t="s">
        <v>1055</v>
      </c>
    </row>
    <row r="3" spans="1:79" ht="14.25" thickBot="1" thickTop="1">
      <c r="A3" s="71">
        <v>1</v>
      </c>
      <c r="B3" s="72">
        <v>2</v>
      </c>
      <c r="C3" s="163">
        <v>3</v>
      </c>
      <c r="D3" s="249">
        <v>4</v>
      </c>
      <c r="E3" s="249">
        <v>5</v>
      </c>
      <c r="F3" s="249">
        <v>6</v>
      </c>
      <c r="G3" s="249">
        <v>7</v>
      </c>
      <c r="H3" s="249">
        <v>8</v>
      </c>
      <c r="I3" s="249">
        <v>9</v>
      </c>
      <c r="J3" s="249">
        <v>10</v>
      </c>
      <c r="K3" s="249">
        <v>11</v>
      </c>
      <c r="L3" s="249">
        <v>12</v>
      </c>
      <c r="M3" s="249">
        <v>13</v>
      </c>
      <c r="N3" s="249">
        <v>14</v>
      </c>
      <c r="O3" s="249">
        <v>15</v>
      </c>
      <c r="P3" s="249">
        <v>16</v>
      </c>
      <c r="Q3" s="249">
        <v>17</v>
      </c>
      <c r="R3" s="249">
        <v>18</v>
      </c>
      <c r="S3" s="249">
        <v>19</v>
      </c>
      <c r="T3" s="249">
        <v>20</v>
      </c>
      <c r="U3" s="249">
        <v>21</v>
      </c>
      <c r="V3" s="249">
        <v>22</v>
      </c>
      <c r="W3" s="249">
        <v>23</v>
      </c>
      <c r="X3" s="249">
        <v>24</v>
      </c>
      <c r="Y3" s="249">
        <v>25</v>
      </c>
      <c r="Z3" s="249">
        <v>26</v>
      </c>
      <c r="AA3" s="249">
        <v>27</v>
      </c>
      <c r="AB3" s="249">
        <v>28</v>
      </c>
      <c r="AC3" s="249">
        <v>29</v>
      </c>
      <c r="AD3" s="249">
        <v>30</v>
      </c>
      <c r="AE3" s="249">
        <v>31</v>
      </c>
      <c r="AF3" s="249">
        <v>32</v>
      </c>
      <c r="AG3" s="249">
        <v>33</v>
      </c>
      <c r="AH3" s="249">
        <v>34</v>
      </c>
      <c r="AI3" s="249">
        <v>35</v>
      </c>
      <c r="AJ3" s="249">
        <v>36</v>
      </c>
      <c r="AK3" s="249">
        <v>37</v>
      </c>
      <c r="AL3" s="249">
        <v>38</v>
      </c>
      <c r="AM3" s="249">
        <v>39</v>
      </c>
      <c r="AN3" s="249">
        <v>40</v>
      </c>
      <c r="AO3" s="249">
        <v>41</v>
      </c>
      <c r="AP3" s="249">
        <v>42</v>
      </c>
      <c r="AQ3" s="249">
        <v>43</v>
      </c>
      <c r="AR3" s="249">
        <v>44</v>
      </c>
      <c r="AS3" s="249">
        <v>45</v>
      </c>
      <c r="AT3" s="249">
        <v>46</v>
      </c>
      <c r="AU3" s="249">
        <v>47</v>
      </c>
      <c r="AV3" s="249">
        <v>48</v>
      </c>
      <c r="AW3" s="249">
        <v>49</v>
      </c>
      <c r="AX3" s="249">
        <v>50</v>
      </c>
      <c r="AY3" s="249">
        <v>51</v>
      </c>
      <c r="AZ3" s="249">
        <v>52</v>
      </c>
      <c r="BA3" s="249">
        <v>53</v>
      </c>
      <c r="BB3" s="249">
        <v>54</v>
      </c>
      <c r="BC3" s="249">
        <v>55</v>
      </c>
      <c r="BD3" s="249">
        <v>56</v>
      </c>
      <c r="BE3" s="249">
        <v>57</v>
      </c>
      <c r="BF3" s="249">
        <v>58</v>
      </c>
      <c r="BG3" s="249">
        <v>59</v>
      </c>
      <c r="BH3" s="249">
        <v>60</v>
      </c>
      <c r="BI3" s="249">
        <v>61</v>
      </c>
      <c r="BJ3" s="249">
        <v>62</v>
      </c>
      <c r="BK3" s="249">
        <v>63</v>
      </c>
      <c r="BL3" s="249">
        <v>64</v>
      </c>
      <c r="BM3" s="249">
        <v>65</v>
      </c>
      <c r="BN3" s="249">
        <v>66</v>
      </c>
      <c r="BO3" s="249">
        <v>67</v>
      </c>
      <c r="BP3" s="249">
        <v>68</v>
      </c>
      <c r="BQ3" s="249">
        <v>69</v>
      </c>
      <c r="BR3" s="249">
        <v>70</v>
      </c>
      <c r="BS3" s="249">
        <v>71</v>
      </c>
      <c r="BT3" s="249">
        <v>72</v>
      </c>
      <c r="BU3" s="249">
        <v>73</v>
      </c>
      <c r="BV3" s="249">
        <v>74</v>
      </c>
      <c r="BW3" s="249">
        <v>75</v>
      </c>
      <c r="BX3" s="249">
        <v>76</v>
      </c>
      <c r="BY3" s="249">
        <v>77</v>
      </c>
      <c r="BZ3" s="249">
        <v>78</v>
      </c>
      <c r="CA3" s="249">
        <v>79</v>
      </c>
    </row>
    <row r="4" spans="1:79" ht="13.5" thickBot="1">
      <c r="A4" s="73"/>
      <c r="B4" s="74"/>
      <c r="C4" s="165"/>
      <c r="D4" s="238"/>
      <c r="E4" s="239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</row>
    <row r="5" spans="1:79" s="250" customFormat="1" ht="12.75">
      <c r="A5" s="195" t="s">
        <v>703</v>
      </c>
      <c r="B5" s="236" t="s">
        <v>704</v>
      </c>
      <c r="C5" s="236" t="s">
        <v>705</v>
      </c>
      <c r="D5" s="264">
        <v>1</v>
      </c>
      <c r="E5" s="265">
        <v>2</v>
      </c>
      <c r="F5" s="265">
        <v>3</v>
      </c>
      <c r="G5" s="265">
        <v>4</v>
      </c>
      <c r="H5" s="265">
        <v>5</v>
      </c>
      <c r="I5" s="265">
        <v>6</v>
      </c>
      <c r="J5" s="265">
        <v>7</v>
      </c>
      <c r="K5" s="265">
        <v>8</v>
      </c>
      <c r="L5" s="265">
        <v>9</v>
      </c>
      <c r="M5" s="265">
        <v>10</v>
      </c>
      <c r="N5" s="265">
        <v>11</v>
      </c>
      <c r="O5" s="265">
        <v>12</v>
      </c>
      <c r="P5" s="265">
        <v>13</v>
      </c>
      <c r="Q5" s="265">
        <v>14</v>
      </c>
      <c r="R5" s="265">
        <v>14</v>
      </c>
      <c r="S5" s="265">
        <v>14</v>
      </c>
      <c r="T5" s="265">
        <v>14</v>
      </c>
      <c r="U5" s="265">
        <v>14</v>
      </c>
      <c r="V5" s="265">
        <v>15</v>
      </c>
      <c r="W5" s="265">
        <v>16</v>
      </c>
      <c r="X5" s="265">
        <v>17</v>
      </c>
      <c r="Y5" s="265">
        <v>17</v>
      </c>
      <c r="Z5" s="265">
        <v>18</v>
      </c>
      <c r="AA5" s="265">
        <v>18</v>
      </c>
      <c r="AB5" s="265">
        <v>19</v>
      </c>
      <c r="AC5" s="265">
        <v>19</v>
      </c>
      <c r="AD5" s="265">
        <v>20</v>
      </c>
      <c r="AE5" s="265">
        <v>20</v>
      </c>
      <c r="AF5" s="265">
        <v>20</v>
      </c>
      <c r="AG5" s="265">
        <v>21</v>
      </c>
      <c r="AH5" s="265">
        <v>21</v>
      </c>
      <c r="AI5" s="265">
        <v>21</v>
      </c>
      <c r="AJ5" s="265">
        <v>21</v>
      </c>
      <c r="AK5" s="265">
        <v>22</v>
      </c>
      <c r="AL5" s="265">
        <v>22</v>
      </c>
      <c r="AM5" s="265">
        <v>23</v>
      </c>
      <c r="AN5" s="265">
        <v>23</v>
      </c>
      <c r="AO5" s="265">
        <v>23</v>
      </c>
      <c r="AP5" s="265">
        <v>23</v>
      </c>
      <c r="AQ5" s="265">
        <v>23</v>
      </c>
      <c r="AR5" s="265">
        <v>24</v>
      </c>
      <c r="AS5" s="265">
        <v>24</v>
      </c>
      <c r="AT5" s="265">
        <v>24</v>
      </c>
      <c r="AU5" s="265">
        <v>24</v>
      </c>
      <c r="AV5" s="265">
        <v>24</v>
      </c>
      <c r="AW5" s="265">
        <v>25</v>
      </c>
      <c r="AX5" s="265">
        <v>25</v>
      </c>
      <c r="AY5" s="265">
        <v>25</v>
      </c>
      <c r="AZ5" s="265">
        <v>25</v>
      </c>
      <c r="BA5" s="265">
        <v>26</v>
      </c>
      <c r="BB5" s="265">
        <v>26</v>
      </c>
      <c r="BC5" s="265">
        <v>26</v>
      </c>
      <c r="BD5" s="265">
        <v>26</v>
      </c>
      <c r="BE5" s="265">
        <v>27</v>
      </c>
      <c r="BF5" s="265">
        <v>27</v>
      </c>
      <c r="BG5" s="265">
        <v>27</v>
      </c>
      <c r="BH5" s="265">
        <v>27</v>
      </c>
      <c r="BI5" s="265">
        <v>28</v>
      </c>
      <c r="BJ5" s="265">
        <v>28</v>
      </c>
      <c r="BK5" s="265">
        <v>28</v>
      </c>
      <c r="BL5" s="265">
        <v>28</v>
      </c>
      <c r="BM5" s="265">
        <v>29</v>
      </c>
      <c r="BN5" s="265">
        <v>29</v>
      </c>
      <c r="BO5" s="265">
        <v>29</v>
      </c>
      <c r="BP5" s="265">
        <v>29</v>
      </c>
      <c r="BQ5" s="265">
        <v>30</v>
      </c>
      <c r="BR5" s="265">
        <v>30</v>
      </c>
      <c r="BS5" s="265">
        <v>30</v>
      </c>
      <c r="BT5" s="265">
        <v>30</v>
      </c>
      <c r="BU5" s="265">
        <v>31</v>
      </c>
      <c r="BV5" s="265">
        <v>31</v>
      </c>
      <c r="BW5" s="265">
        <v>31</v>
      </c>
      <c r="BX5" s="266">
        <v>31</v>
      </c>
      <c r="BY5" s="242"/>
      <c r="BZ5" s="242"/>
      <c r="CA5" s="242"/>
    </row>
    <row r="6" spans="1:79" s="250" customFormat="1" ht="13.5" thickBot="1">
      <c r="A6" s="251"/>
      <c r="B6" s="237"/>
      <c r="C6" s="237"/>
      <c r="D6" s="267">
        <v>1</v>
      </c>
      <c r="E6" s="268">
        <v>1</v>
      </c>
      <c r="F6" s="268">
        <v>1</v>
      </c>
      <c r="G6" s="268">
        <v>1</v>
      </c>
      <c r="H6" s="268">
        <v>1</v>
      </c>
      <c r="I6" s="268">
        <v>1</v>
      </c>
      <c r="J6" s="268">
        <v>1</v>
      </c>
      <c r="K6" s="268">
        <v>1</v>
      </c>
      <c r="L6" s="268">
        <v>1</v>
      </c>
      <c r="M6" s="268">
        <v>1</v>
      </c>
      <c r="N6" s="268">
        <v>1</v>
      </c>
      <c r="O6" s="268">
        <v>1</v>
      </c>
      <c r="P6" s="268">
        <v>1</v>
      </c>
      <c r="Q6" s="268">
        <v>1</v>
      </c>
      <c r="R6" s="268">
        <v>2</v>
      </c>
      <c r="S6" s="268">
        <v>3</v>
      </c>
      <c r="T6" s="268">
        <v>4</v>
      </c>
      <c r="U6" s="268">
        <v>5</v>
      </c>
      <c r="V6" s="268">
        <v>1</v>
      </c>
      <c r="W6" s="268">
        <v>1</v>
      </c>
      <c r="X6" s="268">
        <v>2</v>
      </c>
      <c r="Y6" s="268">
        <v>5</v>
      </c>
      <c r="Z6" s="268">
        <v>2</v>
      </c>
      <c r="AA6" s="268">
        <v>5</v>
      </c>
      <c r="AB6" s="268">
        <v>2</v>
      </c>
      <c r="AC6" s="268">
        <v>5</v>
      </c>
      <c r="AD6" s="268">
        <v>2</v>
      </c>
      <c r="AE6" s="268">
        <v>3</v>
      </c>
      <c r="AF6" s="268">
        <v>5</v>
      </c>
      <c r="AG6" s="268">
        <v>2</v>
      </c>
      <c r="AH6" s="268">
        <v>3</v>
      </c>
      <c r="AI6" s="268">
        <v>4</v>
      </c>
      <c r="AJ6" s="268">
        <v>5</v>
      </c>
      <c r="AK6" s="268">
        <v>2</v>
      </c>
      <c r="AL6" s="268">
        <v>5</v>
      </c>
      <c r="AM6" s="268">
        <v>1</v>
      </c>
      <c r="AN6" s="268">
        <v>2</v>
      </c>
      <c r="AO6" s="268">
        <v>3</v>
      </c>
      <c r="AP6" s="268">
        <v>4</v>
      </c>
      <c r="AQ6" s="268">
        <v>5</v>
      </c>
      <c r="AR6" s="268">
        <v>1</v>
      </c>
      <c r="AS6" s="268">
        <v>2</v>
      </c>
      <c r="AT6" s="268">
        <v>3</v>
      </c>
      <c r="AU6" s="268">
        <v>4</v>
      </c>
      <c r="AV6" s="268">
        <v>5</v>
      </c>
      <c r="AW6" s="268">
        <v>2</v>
      </c>
      <c r="AX6" s="268">
        <v>3</v>
      </c>
      <c r="AY6" s="268">
        <v>4</v>
      </c>
      <c r="AZ6" s="268">
        <v>5</v>
      </c>
      <c r="BA6" s="268">
        <v>2</v>
      </c>
      <c r="BB6" s="268">
        <v>3</v>
      </c>
      <c r="BC6" s="268">
        <v>4</v>
      </c>
      <c r="BD6" s="268">
        <v>5</v>
      </c>
      <c r="BE6" s="268">
        <v>2</v>
      </c>
      <c r="BF6" s="268">
        <v>3</v>
      </c>
      <c r="BG6" s="268">
        <v>4</v>
      </c>
      <c r="BH6" s="268">
        <v>5</v>
      </c>
      <c r="BI6" s="268">
        <v>2</v>
      </c>
      <c r="BJ6" s="268">
        <v>3</v>
      </c>
      <c r="BK6" s="268">
        <v>4</v>
      </c>
      <c r="BL6" s="268">
        <v>5</v>
      </c>
      <c r="BM6" s="268">
        <v>2</v>
      </c>
      <c r="BN6" s="268">
        <v>3</v>
      </c>
      <c r="BO6" s="268">
        <v>4</v>
      </c>
      <c r="BP6" s="268">
        <v>5</v>
      </c>
      <c r="BQ6" s="268">
        <v>2</v>
      </c>
      <c r="BR6" s="268">
        <v>3</v>
      </c>
      <c r="BS6" s="268">
        <v>4</v>
      </c>
      <c r="BT6" s="268">
        <v>5</v>
      </c>
      <c r="BU6" s="268">
        <v>2</v>
      </c>
      <c r="BV6" s="268">
        <v>3</v>
      </c>
      <c r="BW6" s="268">
        <v>4</v>
      </c>
      <c r="BX6" s="269">
        <v>5</v>
      </c>
      <c r="BY6" s="242"/>
      <c r="BZ6" s="242"/>
      <c r="CA6" s="242"/>
    </row>
    <row r="7" spans="1:79" ht="13.5" thickBot="1">
      <c r="A7" s="153"/>
      <c r="B7" s="154"/>
      <c r="C7" s="162"/>
      <c r="D7" s="243"/>
      <c r="E7" s="244"/>
      <c r="F7" s="244"/>
      <c r="G7" s="245"/>
      <c r="H7" s="246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</row>
    <row r="8" spans="1:79" ht="12.75">
      <c r="A8" s="169">
        <v>1</v>
      </c>
      <c r="B8" s="171" t="s">
        <v>706</v>
      </c>
      <c r="C8" s="257" t="s">
        <v>707</v>
      </c>
      <c r="D8" s="277">
        <v>16526695.9</v>
      </c>
      <c r="E8" s="277">
        <v>478369.02</v>
      </c>
      <c r="F8" s="277">
        <v>0</v>
      </c>
      <c r="G8" s="277">
        <v>86084</v>
      </c>
      <c r="H8" s="277">
        <v>0</v>
      </c>
      <c r="I8" s="277">
        <v>86084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  <c r="P8" s="277">
        <v>16918980.9</v>
      </c>
      <c r="Q8" s="277">
        <v>8459490.91</v>
      </c>
      <c r="R8" s="277">
        <v>6767592</v>
      </c>
      <c r="S8" s="277">
        <v>1691898</v>
      </c>
      <c r="T8" s="277">
        <v>0</v>
      </c>
      <c r="U8" s="277">
        <v>16918981</v>
      </c>
      <c r="V8" s="277">
        <v>0</v>
      </c>
      <c r="W8" s="277">
        <v>8459490.91</v>
      </c>
      <c r="X8" s="277">
        <v>86084</v>
      </c>
      <c r="Y8" s="277">
        <v>86084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85577.11</v>
      </c>
      <c r="AN8" s="277">
        <v>68461.68</v>
      </c>
      <c r="AO8" s="277">
        <v>17115.42</v>
      </c>
      <c r="AP8" s="277">
        <v>0</v>
      </c>
      <c r="AQ8" s="277">
        <v>171154.21</v>
      </c>
      <c r="AR8" s="277">
        <v>8545068</v>
      </c>
      <c r="AS8" s="277">
        <v>6922138</v>
      </c>
      <c r="AT8" s="277">
        <v>1709013</v>
      </c>
      <c r="AU8" s="277">
        <v>0</v>
      </c>
      <c r="AV8" s="277">
        <v>17176219</v>
      </c>
      <c r="AW8" s="277">
        <v>72757</v>
      </c>
      <c r="AX8" s="277">
        <v>17961</v>
      </c>
      <c r="AY8" s="277">
        <v>0</v>
      </c>
      <c r="AZ8" s="277">
        <v>90718</v>
      </c>
      <c r="BA8" s="277">
        <v>219353</v>
      </c>
      <c r="BB8" s="277">
        <v>54838</v>
      </c>
      <c r="BC8" s="277">
        <v>0</v>
      </c>
      <c r="BD8" s="277">
        <v>274191</v>
      </c>
      <c r="BE8" s="277">
        <v>4431</v>
      </c>
      <c r="BF8" s="277">
        <v>1108</v>
      </c>
      <c r="BG8" s="277">
        <v>0</v>
      </c>
      <c r="BH8" s="277">
        <v>5539</v>
      </c>
      <c r="BI8" s="277">
        <v>1883</v>
      </c>
      <c r="BJ8" s="277">
        <v>471</v>
      </c>
      <c r="BK8" s="277">
        <v>0</v>
      </c>
      <c r="BL8" s="277">
        <v>2354</v>
      </c>
      <c r="BM8" s="277">
        <v>809</v>
      </c>
      <c r="BN8" s="277">
        <v>202</v>
      </c>
      <c r="BO8" s="277">
        <v>0</v>
      </c>
      <c r="BP8" s="277">
        <v>1011</v>
      </c>
      <c r="BQ8" s="277">
        <v>100896</v>
      </c>
      <c r="BR8" s="277">
        <v>25224</v>
      </c>
      <c r="BS8" s="277">
        <v>0</v>
      </c>
      <c r="BT8" s="277">
        <v>126120</v>
      </c>
      <c r="BU8" s="277">
        <v>400129</v>
      </c>
      <c r="BV8" s="277">
        <v>99804</v>
      </c>
      <c r="BW8" s="277">
        <v>0</v>
      </c>
      <c r="BX8" s="277">
        <v>499933</v>
      </c>
      <c r="BY8" s="278" t="s">
        <v>706</v>
      </c>
      <c r="BZ8" s="279" t="s">
        <v>982</v>
      </c>
      <c r="CA8" s="280" t="s">
        <v>984</v>
      </c>
    </row>
    <row r="9" spans="1:79" ht="12.75">
      <c r="A9" s="169">
        <v>2</v>
      </c>
      <c r="B9" s="172" t="s">
        <v>708</v>
      </c>
      <c r="C9" s="258" t="s">
        <v>709</v>
      </c>
      <c r="D9" s="277">
        <v>26559511</v>
      </c>
      <c r="E9" s="277">
        <v>90323</v>
      </c>
      <c r="F9" s="277">
        <v>0</v>
      </c>
      <c r="G9" s="277">
        <v>181754</v>
      </c>
      <c r="H9" s="277">
        <v>0</v>
      </c>
      <c r="I9" s="277">
        <v>181754</v>
      </c>
      <c r="J9" s="277">
        <v>0</v>
      </c>
      <c r="K9" s="277">
        <v>0</v>
      </c>
      <c r="L9" s="277">
        <v>0</v>
      </c>
      <c r="M9" s="277">
        <v>165085</v>
      </c>
      <c r="N9" s="277">
        <v>165085</v>
      </c>
      <c r="O9" s="277">
        <v>0</v>
      </c>
      <c r="P9" s="277">
        <v>26302995</v>
      </c>
      <c r="Q9" s="277">
        <v>13151497</v>
      </c>
      <c r="R9" s="277">
        <v>10521198</v>
      </c>
      <c r="S9" s="277">
        <v>2630300</v>
      </c>
      <c r="T9" s="277">
        <v>0</v>
      </c>
      <c r="U9" s="277">
        <v>26302995</v>
      </c>
      <c r="V9" s="277">
        <v>0</v>
      </c>
      <c r="W9" s="277">
        <v>13151497</v>
      </c>
      <c r="X9" s="277">
        <v>181754</v>
      </c>
      <c r="Y9" s="277">
        <v>181754</v>
      </c>
      <c r="Z9" s="277">
        <v>0</v>
      </c>
      <c r="AA9" s="277">
        <v>0</v>
      </c>
      <c r="AB9" s="277">
        <v>0</v>
      </c>
      <c r="AC9" s="277">
        <v>0</v>
      </c>
      <c r="AD9" s="277">
        <v>165085</v>
      </c>
      <c r="AE9" s="277">
        <v>0</v>
      </c>
      <c r="AF9" s="277">
        <v>165085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84309</v>
      </c>
      <c r="AN9" s="277">
        <v>67447.2</v>
      </c>
      <c r="AO9" s="277">
        <v>16861.8</v>
      </c>
      <c r="AP9" s="277">
        <v>0</v>
      </c>
      <c r="AQ9" s="277">
        <v>168618</v>
      </c>
      <c r="AR9" s="277">
        <v>13235806</v>
      </c>
      <c r="AS9" s="277">
        <v>10935484</v>
      </c>
      <c r="AT9" s="277">
        <v>2647162</v>
      </c>
      <c r="AU9" s="277">
        <v>0</v>
      </c>
      <c r="AV9" s="277">
        <v>26818452</v>
      </c>
      <c r="AW9" s="277">
        <v>115372</v>
      </c>
      <c r="AX9" s="277">
        <v>27923</v>
      </c>
      <c r="AY9" s="277">
        <v>0</v>
      </c>
      <c r="AZ9" s="277">
        <v>143295</v>
      </c>
      <c r="BA9" s="277">
        <v>628090</v>
      </c>
      <c r="BB9" s="277">
        <v>157022</v>
      </c>
      <c r="BC9" s="277">
        <v>0</v>
      </c>
      <c r="BD9" s="277">
        <v>785112</v>
      </c>
      <c r="BE9" s="277">
        <v>9520</v>
      </c>
      <c r="BF9" s="277">
        <v>2380</v>
      </c>
      <c r="BG9" s="277">
        <v>0</v>
      </c>
      <c r="BH9" s="277">
        <v>11900</v>
      </c>
      <c r="BI9" s="277">
        <v>0</v>
      </c>
      <c r="BJ9" s="277">
        <v>0</v>
      </c>
      <c r="BK9" s="277">
        <v>0</v>
      </c>
      <c r="BL9" s="277">
        <v>0</v>
      </c>
      <c r="BM9" s="277">
        <v>2022</v>
      </c>
      <c r="BN9" s="277">
        <v>505</v>
      </c>
      <c r="BO9" s="277">
        <v>0</v>
      </c>
      <c r="BP9" s="277">
        <v>2527</v>
      </c>
      <c r="BQ9" s="277">
        <v>256116</v>
      </c>
      <c r="BR9" s="277">
        <v>64029</v>
      </c>
      <c r="BS9" s="277">
        <v>0</v>
      </c>
      <c r="BT9" s="277">
        <v>320145</v>
      </c>
      <c r="BU9" s="277">
        <v>1011120</v>
      </c>
      <c r="BV9" s="277">
        <v>251859</v>
      </c>
      <c r="BW9" s="277">
        <v>0</v>
      </c>
      <c r="BX9" s="277">
        <v>1262979</v>
      </c>
      <c r="BY9" s="278" t="s">
        <v>708</v>
      </c>
      <c r="BZ9" s="279" t="s">
        <v>985</v>
      </c>
      <c r="CA9" s="280" t="s">
        <v>984</v>
      </c>
    </row>
    <row r="10" spans="1:79" ht="12.75">
      <c r="A10" s="169">
        <v>3</v>
      </c>
      <c r="B10" s="172" t="s">
        <v>710</v>
      </c>
      <c r="C10" s="258" t="s">
        <v>711</v>
      </c>
      <c r="D10" s="277">
        <v>30780252</v>
      </c>
      <c r="E10" s="277">
        <v>42356</v>
      </c>
      <c r="F10" s="277">
        <v>0</v>
      </c>
      <c r="G10" s="277">
        <v>154029</v>
      </c>
      <c r="H10" s="277">
        <v>0</v>
      </c>
      <c r="I10" s="277">
        <v>154029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30668579</v>
      </c>
      <c r="Q10" s="277">
        <v>15334289</v>
      </c>
      <c r="R10" s="277">
        <v>12267432</v>
      </c>
      <c r="S10" s="277">
        <v>2760172</v>
      </c>
      <c r="T10" s="277">
        <v>306686</v>
      </c>
      <c r="U10" s="277">
        <v>30668579</v>
      </c>
      <c r="V10" s="277">
        <v>0</v>
      </c>
      <c r="W10" s="277">
        <v>15334289</v>
      </c>
      <c r="X10" s="277">
        <v>154029</v>
      </c>
      <c r="Y10" s="277">
        <v>154029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216863</v>
      </c>
      <c r="AN10" s="277">
        <v>173490.4</v>
      </c>
      <c r="AO10" s="277">
        <v>39035.34</v>
      </c>
      <c r="AP10" s="277">
        <v>4337.26</v>
      </c>
      <c r="AQ10" s="277">
        <v>433726</v>
      </c>
      <c r="AR10" s="277">
        <v>15551152</v>
      </c>
      <c r="AS10" s="277">
        <v>12594951</v>
      </c>
      <c r="AT10" s="277">
        <v>2799207</v>
      </c>
      <c r="AU10" s="277">
        <v>311023</v>
      </c>
      <c r="AV10" s="277">
        <v>31256334</v>
      </c>
      <c r="AW10" s="277">
        <v>131863</v>
      </c>
      <c r="AX10" s="277">
        <v>29301</v>
      </c>
      <c r="AY10" s="277">
        <v>3256</v>
      </c>
      <c r="AZ10" s="277">
        <v>164420</v>
      </c>
      <c r="BA10" s="277">
        <v>502830</v>
      </c>
      <c r="BB10" s="277">
        <v>113137</v>
      </c>
      <c r="BC10" s="277">
        <v>12571</v>
      </c>
      <c r="BD10" s="277">
        <v>628538</v>
      </c>
      <c r="BE10" s="277">
        <v>10106</v>
      </c>
      <c r="BF10" s="277">
        <v>2274</v>
      </c>
      <c r="BG10" s="277">
        <v>253</v>
      </c>
      <c r="BH10" s="277">
        <v>12633</v>
      </c>
      <c r="BI10" s="277">
        <v>0</v>
      </c>
      <c r="BJ10" s="277">
        <v>0</v>
      </c>
      <c r="BK10" s="277">
        <v>0</v>
      </c>
      <c r="BL10" s="277">
        <v>0</v>
      </c>
      <c r="BM10" s="277">
        <v>8085</v>
      </c>
      <c r="BN10" s="277">
        <v>1819</v>
      </c>
      <c r="BO10" s="277">
        <v>202</v>
      </c>
      <c r="BP10" s="277">
        <v>10106</v>
      </c>
      <c r="BQ10" s="277">
        <v>242548</v>
      </c>
      <c r="BR10" s="277">
        <v>54573</v>
      </c>
      <c r="BS10" s="277">
        <v>6064</v>
      </c>
      <c r="BT10" s="277">
        <v>303185</v>
      </c>
      <c r="BU10" s="277">
        <v>895432</v>
      </c>
      <c r="BV10" s="277">
        <v>201104</v>
      </c>
      <c r="BW10" s="277">
        <v>22346</v>
      </c>
      <c r="BX10" s="277">
        <v>1118882</v>
      </c>
      <c r="BY10" s="278" t="s">
        <v>710</v>
      </c>
      <c r="BZ10" s="279" t="s">
        <v>986</v>
      </c>
      <c r="CA10" s="280" t="s">
        <v>987</v>
      </c>
    </row>
    <row r="11" spans="1:79" ht="12.75">
      <c r="A11" s="169">
        <v>4</v>
      </c>
      <c r="B11" s="172" t="s">
        <v>712</v>
      </c>
      <c r="C11" s="258" t="s">
        <v>713</v>
      </c>
      <c r="D11" s="277">
        <v>33596354.7</v>
      </c>
      <c r="E11" s="277">
        <v>14469</v>
      </c>
      <c r="F11" s="277">
        <v>0</v>
      </c>
      <c r="G11" s="277">
        <v>174261</v>
      </c>
      <c r="H11" s="277">
        <v>0</v>
      </c>
      <c r="I11" s="277">
        <v>174261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v>33436562.7</v>
      </c>
      <c r="Q11" s="277">
        <v>16718281.7</v>
      </c>
      <c r="R11" s="277">
        <v>13374625</v>
      </c>
      <c r="S11" s="277">
        <v>3343656</v>
      </c>
      <c r="T11" s="277">
        <v>0</v>
      </c>
      <c r="U11" s="277">
        <v>33436563</v>
      </c>
      <c r="V11" s="277">
        <v>0</v>
      </c>
      <c r="W11" s="277">
        <v>16718281.7</v>
      </c>
      <c r="X11" s="277">
        <v>174261</v>
      </c>
      <c r="Y11" s="277">
        <v>174261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574836.5</v>
      </c>
      <c r="AN11" s="277">
        <v>459869.2</v>
      </c>
      <c r="AO11" s="277">
        <v>114967.3</v>
      </c>
      <c r="AP11" s="277">
        <v>0</v>
      </c>
      <c r="AQ11" s="277">
        <v>1149673</v>
      </c>
      <c r="AR11" s="277">
        <v>17293118</v>
      </c>
      <c r="AS11" s="277">
        <v>14008755</v>
      </c>
      <c r="AT11" s="277">
        <v>3458623</v>
      </c>
      <c r="AU11" s="277">
        <v>0</v>
      </c>
      <c r="AV11" s="277">
        <v>34760497</v>
      </c>
      <c r="AW11" s="277">
        <v>143831</v>
      </c>
      <c r="AX11" s="277">
        <v>35495</v>
      </c>
      <c r="AY11" s="277">
        <v>0</v>
      </c>
      <c r="AZ11" s="277">
        <v>179326</v>
      </c>
      <c r="BA11" s="277">
        <v>614927</v>
      </c>
      <c r="BB11" s="277">
        <v>153732</v>
      </c>
      <c r="BC11" s="277">
        <v>0</v>
      </c>
      <c r="BD11" s="277">
        <v>768659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308791</v>
      </c>
      <c r="BR11" s="277">
        <v>77198</v>
      </c>
      <c r="BS11" s="277">
        <v>0</v>
      </c>
      <c r="BT11" s="277">
        <v>385989</v>
      </c>
      <c r="BU11" s="277">
        <v>1067549</v>
      </c>
      <c r="BV11" s="277">
        <v>266425</v>
      </c>
      <c r="BW11" s="277">
        <v>0</v>
      </c>
      <c r="BX11" s="277">
        <v>1333974</v>
      </c>
      <c r="BY11" s="278" t="s">
        <v>712</v>
      </c>
      <c r="BZ11" s="279" t="s">
        <v>982</v>
      </c>
      <c r="CA11" s="280" t="s">
        <v>984</v>
      </c>
    </row>
    <row r="12" spans="1:79" ht="12.75">
      <c r="A12" s="169">
        <v>5</v>
      </c>
      <c r="B12" s="172" t="s">
        <v>714</v>
      </c>
      <c r="C12" s="258" t="s">
        <v>715</v>
      </c>
      <c r="D12" s="277">
        <v>32965293</v>
      </c>
      <c r="E12" s="277">
        <v>39218</v>
      </c>
      <c r="F12" s="277">
        <v>0</v>
      </c>
      <c r="G12" s="277">
        <v>128854</v>
      </c>
      <c r="H12" s="277">
        <v>0</v>
      </c>
      <c r="I12" s="277">
        <v>128854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32875657</v>
      </c>
      <c r="Q12" s="277">
        <v>16437828</v>
      </c>
      <c r="R12" s="277">
        <v>13150263</v>
      </c>
      <c r="S12" s="277">
        <v>2958809</v>
      </c>
      <c r="T12" s="277">
        <v>328757</v>
      </c>
      <c r="U12" s="277">
        <v>32875657</v>
      </c>
      <c r="V12" s="277">
        <v>0</v>
      </c>
      <c r="W12" s="277">
        <v>16437828</v>
      </c>
      <c r="X12" s="277">
        <v>128854</v>
      </c>
      <c r="Y12" s="277">
        <v>128854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  <c r="AL12" s="277">
        <v>0</v>
      </c>
      <c r="AM12" s="277">
        <v>462561.5</v>
      </c>
      <c r="AN12" s="277">
        <v>370049.2</v>
      </c>
      <c r="AO12" s="277">
        <v>83261.07</v>
      </c>
      <c r="AP12" s="277">
        <v>9251.23</v>
      </c>
      <c r="AQ12" s="277">
        <v>925123</v>
      </c>
      <c r="AR12" s="277">
        <v>16900390</v>
      </c>
      <c r="AS12" s="277">
        <v>13649166</v>
      </c>
      <c r="AT12" s="277">
        <v>3042070</v>
      </c>
      <c r="AU12" s="277">
        <v>338008</v>
      </c>
      <c r="AV12" s="277">
        <v>33929634</v>
      </c>
      <c r="AW12" s="277">
        <v>140967</v>
      </c>
      <c r="AX12" s="277">
        <v>31410</v>
      </c>
      <c r="AY12" s="277">
        <v>3490</v>
      </c>
      <c r="AZ12" s="277">
        <v>175867</v>
      </c>
      <c r="BA12" s="277">
        <v>335579</v>
      </c>
      <c r="BB12" s="277">
        <v>75506</v>
      </c>
      <c r="BC12" s="277">
        <v>8390</v>
      </c>
      <c r="BD12" s="277">
        <v>419475</v>
      </c>
      <c r="BE12" s="277">
        <v>35356</v>
      </c>
      <c r="BF12" s="277">
        <v>7955</v>
      </c>
      <c r="BG12" s="277">
        <v>884</v>
      </c>
      <c r="BH12" s="277">
        <v>44195</v>
      </c>
      <c r="BI12" s="277">
        <v>18798</v>
      </c>
      <c r="BJ12" s="277">
        <v>4229</v>
      </c>
      <c r="BK12" s="277">
        <v>470</v>
      </c>
      <c r="BL12" s="277">
        <v>23497</v>
      </c>
      <c r="BM12" s="277">
        <v>9398</v>
      </c>
      <c r="BN12" s="277">
        <v>2115</v>
      </c>
      <c r="BO12" s="277">
        <v>235</v>
      </c>
      <c r="BP12" s="277">
        <v>11748</v>
      </c>
      <c r="BQ12" s="277">
        <v>167762</v>
      </c>
      <c r="BR12" s="277">
        <v>37747</v>
      </c>
      <c r="BS12" s="277">
        <v>4194</v>
      </c>
      <c r="BT12" s="277">
        <v>209703</v>
      </c>
      <c r="BU12" s="277">
        <v>707860</v>
      </c>
      <c r="BV12" s="277">
        <v>158962</v>
      </c>
      <c r="BW12" s="277">
        <v>17663</v>
      </c>
      <c r="BX12" s="277">
        <v>884485</v>
      </c>
      <c r="BY12" s="278" t="s">
        <v>714</v>
      </c>
      <c r="BZ12" s="279" t="s">
        <v>988</v>
      </c>
      <c r="CA12" s="280" t="s">
        <v>989</v>
      </c>
    </row>
    <row r="13" spans="1:79" ht="12.75">
      <c r="A13" s="169">
        <v>6</v>
      </c>
      <c r="B13" s="172" t="s">
        <v>716</v>
      </c>
      <c r="C13" s="258" t="s">
        <v>717</v>
      </c>
      <c r="D13" s="277">
        <v>45164378.9</v>
      </c>
      <c r="E13" s="277">
        <v>38106.66</v>
      </c>
      <c r="F13" s="277">
        <v>0</v>
      </c>
      <c r="G13" s="277">
        <v>180466</v>
      </c>
      <c r="H13" s="277">
        <v>0</v>
      </c>
      <c r="I13" s="277">
        <v>180466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45022019.5</v>
      </c>
      <c r="Q13" s="277">
        <v>22511009.5</v>
      </c>
      <c r="R13" s="277">
        <v>18008808</v>
      </c>
      <c r="S13" s="277">
        <v>4051982</v>
      </c>
      <c r="T13" s="277">
        <v>450220</v>
      </c>
      <c r="U13" s="277">
        <v>45022020</v>
      </c>
      <c r="V13" s="277">
        <v>0</v>
      </c>
      <c r="W13" s="277">
        <v>22511009.5</v>
      </c>
      <c r="X13" s="277">
        <v>180466</v>
      </c>
      <c r="Y13" s="277">
        <v>180466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  <c r="AL13" s="277">
        <v>0</v>
      </c>
      <c r="AM13" s="277">
        <v>-282803.56</v>
      </c>
      <c r="AN13" s="277">
        <v>-226242.84</v>
      </c>
      <c r="AO13" s="277">
        <v>-50904.64</v>
      </c>
      <c r="AP13" s="277">
        <v>-5656.07</v>
      </c>
      <c r="AQ13" s="277">
        <v>-565607.11</v>
      </c>
      <c r="AR13" s="277">
        <v>22228206</v>
      </c>
      <c r="AS13" s="277">
        <v>17963031</v>
      </c>
      <c r="AT13" s="277">
        <v>4001077</v>
      </c>
      <c r="AU13" s="277">
        <v>444564</v>
      </c>
      <c r="AV13" s="277">
        <v>44636879</v>
      </c>
      <c r="AW13" s="277">
        <v>193092</v>
      </c>
      <c r="AX13" s="277">
        <v>43015</v>
      </c>
      <c r="AY13" s="277">
        <v>4779</v>
      </c>
      <c r="AZ13" s="277">
        <v>240886</v>
      </c>
      <c r="BA13" s="277">
        <v>475384</v>
      </c>
      <c r="BB13" s="277">
        <v>106961</v>
      </c>
      <c r="BC13" s="277">
        <v>11885</v>
      </c>
      <c r="BD13" s="277">
        <v>594230</v>
      </c>
      <c r="BE13" s="277">
        <v>0</v>
      </c>
      <c r="BF13" s="277">
        <v>0</v>
      </c>
      <c r="BG13" s="277">
        <v>0</v>
      </c>
      <c r="BH13" s="277">
        <v>0</v>
      </c>
      <c r="BI13" s="277">
        <v>0</v>
      </c>
      <c r="BJ13" s="277">
        <v>0</v>
      </c>
      <c r="BK13" s="277">
        <v>0</v>
      </c>
      <c r="BL13" s="277">
        <v>0</v>
      </c>
      <c r="BM13" s="277">
        <v>0</v>
      </c>
      <c r="BN13" s="277">
        <v>0</v>
      </c>
      <c r="BO13" s="277">
        <v>0</v>
      </c>
      <c r="BP13" s="277">
        <v>0</v>
      </c>
      <c r="BQ13" s="277">
        <v>367056</v>
      </c>
      <c r="BR13" s="277">
        <v>82588</v>
      </c>
      <c r="BS13" s="277">
        <v>9176</v>
      </c>
      <c r="BT13" s="277">
        <v>458820</v>
      </c>
      <c r="BU13" s="277">
        <v>1035532</v>
      </c>
      <c r="BV13" s="277">
        <v>232564</v>
      </c>
      <c r="BW13" s="277">
        <v>25840</v>
      </c>
      <c r="BX13" s="277">
        <v>1293936</v>
      </c>
      <c r="BY13" s="281" t="s">
        <v>716</v>
      </c>
      <c r="BZ13" s="279" t="s">
        <v>990</v>
      </c>
      <c r="CA13" s="280" t="s">
        <v>991</v>
      </c>
    </row>
    <row r="14" spans="1:79" ht="12.75">
      <c r="A14" s="169">
        <v>7</v>
      </c>
      <c r="B14" s="172" t="s">
        <v>718</v>
      </c>
      <c r="C14" s="258" t="s">
        <v>719</v>
      </c>
      <c r="D14" s="277">
        <v>47368379.9</v>
      </c>
      <c r="E14" s="277">
        <v>26220.15</v>
      </c>
      <c r="F14" s="277">
        <v>0</v>
      </c>
      <c r="G14" s="277">
        <v>224284</v>
      </c>
      <c r="H14" s="277">
        <v>0</v>
      </c>
      <c r="I14" s="277">
        <v>224284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47170316</v>
      </c>
      <c r="Q14" s="277">
        <v>23585159</v>
      </c>
      <c r="R14" s="277">
        <v>18868126</v>
      </c>
      <c r="S14" s="277">
        <v>4245328</v>
      </c>
      <c r="T14" s="277">
        <v>471703</v>
      </c>
      <c r="U14" s="277">
        <v>47170316</v>
      </c>
      <c r="V14" s="277">
        <v>0</v>
      </c>
      <c r="W14" s="277">
        <v>23585159</v>
      </c>
      <c r="X14" s="277">
        <v>224284</v>
      </c>
      <c r="Y14" s="277">
        <v>224284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7">
        <v>0</v>
      </c>
      <c r="AG14" s="277">
        <v>0</v>
      </c>
      <c r="AH14" s="277">
        <v>0</v>
      </c>
      <c r="AI14" s="277">
        <v>0</v>
      </c>
      <c r="AJ14" s="277">
        <v>0</v>
      </c>
      <c r="AK14" s="277">
        <v>0</v>
      </c>
      <c r="AL14" s="277">
        <v>0</v>
      </c>
      <c r="AM14" s="277">
        <v>-204345</v>
      </c>
      <c r="AN14" s="277">
        <v>-163476</v>
      </c>
      <c r="AO14" s="277">
        <v>-36782.1</v>
      </c>
      <c r="AP14" s="277">
        <v>-4086.9</v>
      </c>
      <c r="AQ14" s="277">
        <v>-408690</v>
      </c>
      <c r="AR14" s="277">
        <v>23380814</v>
      </c>
      <c r="AS14" s="277">
        <v>18928934</v>
      </c>
      <c r="AT14" s="277">
        <v>4208546</v>
      </c>
      <c r="AU14" s="277">
        <v>467616</v>
      </c>
      <c r="AV14" s="277">
        <v>46985910</v>
      </c>
      <c r="AW14" s="277">
        <v>202680</v>
      </c>
      <c r="AX14" s="277">
        <v>45067</v>
      </c>
      <c r="AY14" s="277">
        <v>5007</v>
      </c>
      <c r="AZ14" s="277">
        <v>252754</v>
      </c>
      <c r="BA14" s="277">
        <v>593020</v>
      </c>
      <c r="BB14" s="277">
        <v>133430</v>
      </c>
      <c r="BC14" s="277">
        <v>14826</v>
      </c>
      <c r="BD14" s="277">
        <v>741276</v>
      </c>
      <c r="BE14" s="277">
        <v>0</v>
      </c>
      <c r="BF14" s="277">
        <v>0</v>
      </c>
      <c r="BG14" s="277">
        <v>0</v>
      </c>
      <c r="BH14" s="277">
        <v>0</v>
      </c>
      <c r="BI14" s="277">
        <v>0</v>
      </c>
      <c r="BJ14" s="277">
        <v>0</v>
      </c>
      <c r="BK14" s="277">
        <v>0</v>
      </c>
      <c r="BL14" s="277">
        <v>0</v>
      </c>
      <c r="BM14" s="277">
        <v>0</v>
      </c>
      <c r="BN14" s="277">
        <v>0</v>
      </c>
      <c r="BO14" s="277">
        <v>0</v>
      </c>
      <c r="BP14" s="277">
        <v>0</v>
      </c>
      <c r="BQ14" s="277">
        <v>0</v>
      </c>
      <c r="BR14" s="277">
        <v>0</v>
      </c>
      <c r="BS14" s="277">
        <v>0</v>
      </c>
      <c r="BT14" s="277">
        <v>0</v>
      </c>
      <c r="BU14" s="277">
        <v>795700</v>
      </c>
      <c r="BV14" s="277">
        <v>178497</v>
      </c>
      <c r="BW14" s="277">
        <v>19833</v>
      </c>
      <c r="BX14" s="277">
        <v>994030</v>
      </c>
      <c r="BY14" s="278" t="s">
        <v>718</v>
      </c>
      <c r="BZ14" s="279" t="s">
        <v>992</v>
      </c>
      <c r="CA14" s="280" t="s">
        <v>993</v>
      </c>
    </row>
    <row r="15" spans="1:79" ht="12.75">
      <c r="A15" s="169">
        <v>8</v>
      </c>
      <c r="B15" s="172" t="s">
        <v>720</v>
      </c>
      <c r="C15" s="258" t="s">
        <v>721</v>
      </c>
      <c r="D15" s="277">
        <v>23642764.6</v>
      </c>
      <c r="E15" s="277">
        <v>22149.07</v>
      </c>
      <c r="F15" s="277">
        <v>0</v>
      </c>
      <c r="G15" s="277">
        <v>127190</v>
      </c>
      <c r="H15" s="277">
        <v>0</v>
      </c>
      <c r="I15" s="277">
        <v>127190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23537723.7</v>
      </c>
      <c r="Q15" s="277">
        <v>11768862.7</v>
      </c>
      <c r="R15" s="277">
        <v>9415089</v>
      </c>
      <c r="S15" s="277">
        <v>2353772</v>
      </c>
      <c r="T15" s="277">
        <v>0</v>
      </c>
      <c r="U15" s="277">
        <v>23537724</v>
      </c>
      <c r="V15" s="277">
        <v>0</v>
      </c>
      <c r="W15" s="277">
        <v>11768862.7</v>
      </c>
      <c r="X15" s="277">
        <v>127190</v>
      </c>
      <c r="Y15" s="277">
        <v>127190</v>
      </c>
      <c r="Z15" s="277">
        <v>0</v>
      </c>
      <c r="AA15" s="277">
        <v>0</v>
      </c>
      <c r="AB15" s="277">
        <v>0</v>
      </c>
      <c r="AC15" s="277">
        <v>0</v>
      </c>
      <c r="AD15" s="277">
        <v>0</v>
      </c>
      <c r="AE15" s="277">
        <v>0</v>
      </c>
      <c r="AF15" s="277">
        <v>0</v>
      </c>
      <c r="AG15" s="277">
        <v>0</v>
      </c>
      <c r="AH15" s="277">
        <v>0</v>
      </c>
      <c r="AI15" s="277">
        <v>0</v>
      </c>
      <c r="AJ15" s="277">
        <v>0</v>
      </c>
      <c r="AK15" s="277">
        <v>0</v>
      </c>
      <c r="AL15" s="277">
        <v>0</v>
      </c>
      <c r="AM15" s="277">
        <v>295859.68</v>
      </c>
      <c r="AN15" s="277">
        <v>236687.74</v>
      </c>
      <c r="AO15" s="277">
        <v>59171.94</v>
      </c>
      <c r="AP15" s="277">
        <v>0</v>
      </c>
      <c r="AQ15" s="277">
        <v>591719.36</v>
      </c>
      <c r="AR15" s="277">
        <v>12064722</v>
      </c>
      <c r="AS15" s="277">
        <v>9778967</v>
      </c>
      <c r="AT15" s="277">
        <v>2412944</v>
      </c>
      <c r="AU15" s="277">
        <v>0</v>
      </c>
      <c r="AV15" s="277">
        <v>24256633</v>
      </c>
      <c r="AW15" s="277">
        <v>101298</v>
      </c>
      <c r="AX15" s="277">
        <v>24987</v>
      </c>
      <c r="AY15" s="277">
        <v>0</v>
      </c>
      <c r="AZ15" s="277">
        <v>126285</v>
      </c>
      <c r="BA15" s="277">
        <v>407395</v>
      </c>
      <c r="BB15" s="277">
        <v>101849</v>
      </c>
      <c r="BC15" s="277">
        <v>0</v>
      </c>
      <c r="BD15" s="277">
        <v>509244</v>
      </c>
      <c r="BE15" s="277">
        <v>8230</v>
      </c>
      <c r="BF15" s="277">
        <v>2058</v>
      </c>
      <c r="BG15" s="277">
        <v>0</v>
      </c>
      <c r="BH15" s="277">
        <v>10288</v>
      </c>
      <c r="BI15" s="277">
        <v>0</v>
      </c>
      <c r="BJ15" s="277">
        <v>0</v>
      </c>
      <c r="BK15" s="277">
        <v>0</v>
      </c>
      <c r="BL15" s="277">
        <v>0</v>
      </c>
      <c r="BM15" s="277">
        <v>24281</v>
      </c>
      <c r="BN15" s="277">
        <v>6070</v>
      </c>
      <c r="BO15" s="277">
        <v>0</v>
      </c>
      <c r="BP15" s="277">
        <v>30351</v>
      </c>
      <c r="BQ15" s="277">
        <v>60637</v>
      </c>
      <c r="BR15" s="277">
        <v>15159</v>
      </c>
      <c r="BS15" s="277">
        <v>0</v>
      </c>
      <c r="BT15" s="277">
        <v>75796</v>
      </c>
      <c r="BU15" s="277">
        <v>601841</v>
      </c>
      <c r="BV15" s="277">
        <v>150123</v>
      </c>
      <c r="BW15" s="277">
        <v>0</v>
      </c>
      <c r="BX15" s="277">
        <v>751964</v>
      </c>
      <c r="BY15" s="278" t="s">
        <v>720</v>
      </c>
      <c r="BZ15" s="279" t="s">
        <v>994</v>
      </c>
      <c r="CA15" s="280" t="s">
        <v>984</v>
      </c>
    </row>
    <row r="16" spans="1:79" ht="12.75">
      <c r="A16" s="169">
        <v>9</v>
      </c>
      <c r="B16" s="172" t="s">
        <v>722</v>
      </c>
      <c r="C16" s="258" t="s">
        <v>723</v>
      </c>
      <c r="D16" s="277">
        <v>54142654.2</v>
      </c>
      <c r="E16" s="277">
        <v>653326.27</v>
      </c>
      <c r="F16" s="277">
        <v>0</v>
      </c>
      <c r="G16" s="277">
        <v>205029</v>
      </c>
      <c r="H16" s="277">
        <v>0</v>
      </c>
      <c r="I16" s="277">
        <v>205029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54590951.5</v>
      </c>
      <c r="Q16" s="277">
        <v>27295476.5</v>
      </c>
      <c r="R16" s="277">
        <v>16377285</v>
      </c>
      <c r="S16" s="277">
        <v>10918190</v>
      </c>
      <c r="T16" s="277">
        <v>0</v>
      </c>
      <c r="U16" s="277">
        <v>54590951</v>
      </c>
      <c r="V16" s="277">
        <v>0</v>
      </c>
      <c r="W16" s="277">
        <v>27295476.5</v>
      </c>
      <c r="X16" s="277">
        <v>205029</v>
      </c>
      <c r="Y16" s="277">
        <v>205029</v>
      </c>
      <c r="Z16" s="277">
        <v>0</v>
      </c>
      <c r="AA16" s="277">
        <v>0</v>
      </c>
      <c r="AB16" s="277">
        <v>0</v>
      </c>
      <c r="AC16" s="277">
        <v>0</v>
      </c>
      <c r="AD16" s="277">
        <v>0</v>
      </c>
      <c r="AE16" s="277">
        <v>0</v>
      </c>
      <c r="AF16" s="277">
        <v>0</v>
      </c>
      <c r="AG16" s="277">
        <v>0</v>
      </c>
      <c r="AH16" s="277">
        <v>0</v>
      </c>
      <c r="AI16" s="277">
        <v>0</v>
      </c>
      <c r="AJ16" s="277">
        <v>0</v>
      </c>
      <c r="AK16" s="277">
        <v>0</v>
      </c>
      <c r="AL16" s="277">
        <v>0</v>
      </c>
      <c r="AM16" s="277">
        <v>-3038064.5</v>
      </c>
      <c r="AN16" s="277">
        <v>-1822838.7</v>
      </c>
      <c r="AO16" s="277">
        <v>-1215225.8</v>
      </c>
      <c r="AP16" s="277">
        <v>0</v>
      </c>
      <c r="AQ16" s="277">
        <v>-6076129</v>
      </c>
      <c r="AR16" s="277">
        <v>24257412</v>
      </c>
      <c r="AS16" s="277">
        <v>14759475</v>
      </c>
      <c r="AT16" s="277">
        <v>9702964</v>
      </c>
      <c r="AU16" s="277">
        <v>0</v>
      </c>
      <c r="AV16" s="277">
        <v>48719851</v>
      </c>
      <c r="AW16" s="277">
        <v>176033</v>
      </c>
      <c r="AX16" s="277">
        <v>115904</v>
      </c>
      <c r="AY16" s="277">
        <v>0</v>
      </c>
      <c r="AZ16" s="277">
        <v>291937</v>
      </c>
      <c r="BA16" s="277">
        <v>332172</v>
      </c>
      <c r="BB16" s="277">
        <v>221448</v>
      </c>
      <c r="BC16" s="277">
        <v>0</v>
      </c>
      <c r="BD16" s="277">
        <v>553620</v>
      </c>
      <c r="BE16" s="277">
        <v>0</v>
      </c>
      <c r="BF16" s="277">
        <v>0</v>
      </c>
      <c r="BG16" s="277">
        <v>0</v>
      </c>
      <c r="BH16" s="277">
        <v>0</v>
      </c>
      <c r="BI16" s="277">
        <v>25297</v>
      </c>
      <c r="BJ16" s="277">
        <v>16865</v>
      </c>
      <c r="BK16" s="277">
        <v>0</v>
      </c>
      <c r="BL16" s="277">
        <v>42162</v>
      </c>
      <c r="BM16" s="277">
        <v>38903</v>
      </c>
      <c r="BN16" s="277">
        <v>25935</v>
      </c>
      <c r="BO16" s="277">
        <v>0</v>
      </c>
      <c r="BP16" s="277">
        <v>64838</v>
      </c>
      <c r="BQ16" s="277">
        <v>425975</v>
      </c>
      <c r="BR16" s="277">
        <v>283983</v>
      </c>
      <c r="BS16" s="277">
        <v>0</v>
      </c>
      <c r="BT16" s="277">
        <v>709958</v>
      </c>
      <c r="BU16" s="277">
        <v>998380</v>
      </c>
      <c r="BV16" s="277">
        <v>664135</v>
      </c>
      <c r="BW16" s="277">
        <v>0</v>
      </c>
      <c r="BX16" s="277">
        <v>1662515</v>
      </c>
      <c r="BY16" s="278" t="s">
        <v>882</v>
      </c>
      <c r="BZ16" s="279" t="s">
        <v>995</v>
      </c>
      <c r="CA16" s="279" t="s">
        <v>983</v>
      </c>
    </row>
    <row r="17" spans="1:79" ht="12.75">
      <c r="A17" s="169">
        <v>10</v>
      </c>
      <c r="B17" s="172" t="s">
        <v>724</v>
      </c>
      <c r="C17" s="258" t="s">
        <v>725</v>
      </c>
      <c r="D17" s="277">
        <v>111341875</v>
      </c>
      <c r="E17" s="277">
        <v>230651</v>
      </c>
      <c r="F17" s="277">
        <v>0</v>
      </c>
      <c r="G17" s="277">
        <v>418239</v>
      </c>
      <c r="H17" s="277">
        <v>0</v>
      </c>
      <c r="I17" s="277">
        <v>418239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111154287</v>
      </c>
      <c r="Q17" s="277">
        <v>55577144</v>
      </c>
      <c r="R17" s="277">
        <v>33346286</v>
      </c>
      <c r="S17" s="277">
        <v>22230857</v>
      </c>
      <c r="T17" s="277">
        <v>0</v>
      </c>
      <c r="U17" s="277">
        <v>111154287</v>
      </c>
      <c r="V17" s="277">
        <v>0</v>
      </c>
      <c r="W17" s="277">
        <v>55577144</v>
      </c>
      <c r="X17" s="277">
        <v>418239</v>
      </c>
      <c r="Y17" s="277">
        <v>418239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7">
        <v>0</v>
      </c>
      <c r="AF17" s="277">
        <v>0</v>
      </c>
      <c r="AG17" s="277">
        <v>0</v>
      </c>
      <c r="AH17" s="277">
        <v>0</v>
      </c>
      <c r="AI17" s="277">
        <v>0</v>
      </c>
      <c r="AJ17" s="277">
        <v>0</v>
      </c>
      <c r="AK17" s="277">
        <v>0</v>
      </c>
      <c r="AL17" s="277">
        <v>0</v>
      </c>
      <c r="AM17" s="277">
        <v>-83724</v>
      </c>
      <c r="AN17" s="277">
        <v>-50234.4</v>
      </c>
      <c r="AO17" s="277">
        <v>-33489.6</v>
      </c>
      <c r="AP17" s="277">
        <v>0</v>
      </c>
      <c r="AQ17" s="277">
        <v>-167448</v>
      </c>
      <c r="AR17" s="277">
        <v>55493420</v>
      </c>
      <c r="AS17" s="277">
        <v>33714291</v>
      </c>
      <c r="AT17" s="277">
        <v>22197367</v>
      </c>
      <c r="AU17" s="277">
        <v>0</v>
      </c>
      <c r="AV17" s="277">
        <v>111405078</v>
      </c>
      <c r="AW17" s="277">
        <v>358434</v>
      </c>
      <c r="AX17" s="277">
        <v>235996</v>
      </c>
      <c r="AY17" s="277">
        <v>0</v>
      </c>
      <c r="AZ17" s="277">
        <v>594430</v>
      </c>
      <c r="BA17" s="277">
        <v>504221</v>
      </c>
      <c r="BB17" s="277">
        <v>336147</v>
      </c>
      <c r="BC17" s="277">
        <v>0</v>
      </c>
      <c r="BD17" s="277">
        <v>840368</v>
      </c>
      <c r="BE17" s="277">
        <v>0</v>
      </c>
      <c r="BF17" s="277">
        <v>0</v>
      </c>
      <c r="BG17" s="277">
        <v>0</v>
      </c>
      <c r="BH17" s="277">
        <v>0</v>
      </c>
      <c r="BI17" s="277">
        <v>0</v>
      </c>
      <c r="BJ17" s="277">
        <v>0</v>
      </c>
      <c r="BK17" s="277">
        <v>0</v>
      </c>
      <c r="BL17" s="277">
        <v>0</v>
      </c>
      <c r="BM17" s="277">
        <v>363821</v>
      </c>
      <c r="BN17" s="277">
        <v>242548</v>
      </c>
      <c r="BO17" s="277">
        <v>0</v>
      </c>
      <c r="BP17" s="277">
        <v>606369</v>
      </c>
      <c r="BQ17" s="277">
        <v>757962</v>
      </c>
      <c r="BR17" s="277">
        <v>505308</v>
      </c>
      <c r="BS17" s="277">
        <v>0</v>
      </c>
      <c r="BT17" s="277">
        <v>1263270</v>
      </c>
      <c r="BU17" s="277">
        <v>1984438</v>
      </c>
      <c r="BV17" s="277">
        <v>1319999</v>
      </c>
      <c r="BW17" s="277">
        <v>0</v>
      </c>
      <c r="BX17" s="277">
        <v>3304437</v>
      </c>
      <c r="BY17" s="278" t="s">
        <v>724</v>
      </c>
      <c r="BZ17" s="279" t="s">
        <v>995</v>
      </c>
      <c r="CA17" s="279" t="s">
        <v>983</v>
      </c>
    </row>
    <row r="18" spans="1:79" ht="12.75">
      <c r="A18" s="169">
        <v>11</v>
      </c>
      <c r="B18" s="172" t="s">
        <v>726</v>
      </c>
      <c r="C18" s="258" t="s">
        <v>727</v>
      </c>
      <c r="D18" s="277">
        <v>50029587.6</v>
      </c>
      <c r="E18" s="277">
        <v>40804.89</v>
      </c>
      <c r="F18" s="277">
        <v>0</v>
      </c>
      <c r="G18" s="277">
        <v>271980</v>
      </c>
      <c r="H18" s="277">
        <v>0</v>
      </c>
      <c r="I18" s="277">
        <v>271980</v>
      </c>
      <c r="J18" s="277">
        <v>0</v>
      </c>
      <c r="K18" s="277">
        <v>396262</v>
      </c>
      <c r="L18" s="277">
        <v>0</v>
      </c>
      <c r="M18" s="277">
        <v>0</v>
      </c>
      <c r="N18" s="277">
        <v>0</v>
      </c>
      <c r="O18" s="277">
        <v>0</v>
      </c>
      <c r="P18" s="277">
        <v>49402150.5</v>
      </c>
      <c r="Q18" s="277">
        <v>24701074.5</v>
      </c>
      <c r="R18" s="277">
        <v>24207054</v>
      </c>
      <c r="S18" s="277">
        <v>0</v>
      </c>
      <c r="T18" s="277">
        <v>494022</v>
      </c>
      <c r="U18" s="277">
        <v>49402150.5</v>
      </c>
      <c r="V18" s="277">
        <v>0</v>
      </c>
      <c r="W18" s="277">
        <v>24701074.5</v>
      </c>
      <c r="X18" s="277">
        <v>271980</v>
      </c>
      <c r="Y18" s="277">
        <v>271980</v>
      </c>
      <c r="Z18" s="277">
        <v>396262</v>
      </c>
      <c r="AA18" s="277">
        <v>396262</v>
      </c>
      <c r="AB18" s="277">
        <v>0</v>
      </c>
      <c r="AC18" s="277">
        <v>0</v>
      </c>
      <c r="AD18" s="277">
        <v>0</v>
      </c>
      <c r="AE18" s="277">
        <v>0</v>
      </c>
      <c r="AF18" s="277">
        <v>0</v>
      </c>
      <c r="AG18" s="277">
        <v>0</v>
      </c>
      <c r="AH18" s="277">
        <v>0</v>
      </c>
      <c r="AI18" s="277">
        <v>0</v>
      </c>
      <c r="AJ18" s="277">
        <v>0</v>
      </c>
      <c r="AK18" s="277">
        <v>0</v>
      </c>
      <c r="AL18" s="277">
        <v>0</v>
      </c>
      <c r="AM18" s="277">
        <v>77220.2</v>
      </c>
      <c r="AN18" s="277">
        <v>75675.8</v>
      </c>
      <c r="AO18" s="277">
        <v>0</v>
      </c>
      <c r="AP18" s="277">
        <v>1544.4</v>
      </c>
      <c r="AQ18" s="277">
        <v>154440.4</v>
      </c>
      <c r="AR18" s="277">
        <v>24778295</v>
      </c>
      <c r="AS18" s="277">
        <v>24950972</v>
      </c>
      <c r="AT18" s="277">
        <v>0</v>
      </c>
      <c r="AU18" s="277">
        <v>495566</v>
      </c>
      <c r="AV18" s="277">
        <v>50224833</v>
      </c>
      <c r="AW18" s="277">
        <v>264069</v>
      </c>
      <c r="AX18" s="277">
        <v>0</v>
      </c>
      <c r="AY18" s="277">
        <v>5244</v>
      </c>
      <c r="AZ18" s="277">
        <v>269313</v>
      </c>
      <c r="BA18" s="277">
        <v>1103887</v>
      </c>
      <c r="BB18" s="277">
        <v>0</v>
      </c>
      <c r="BC18" s="277">
        <v>22528</v>
      </c>
      <c r="BD18" s="277">
        <v>1126415</v>
      </c>
      <c r="BE18" s="277">
        <v>0</v>
      </c>
      <c r="BF18" s="277">
        <v>0</v>
      </c>
      <c r="BG18" s="277">
        <v>0</v>
      </c>
      <c r="BH18" s="277">
        <v>0</v>
      </c>
      <c r="BI18" s="277">
        <v>0</v>
      </c>
      <c r="BJ18" s="277">
        <v>0</v>
      </c>
      <c r="BK18" s="277">
        <v>0</v>
      </c>
      <c r="BL18" s="277">
        <v>0</v>
      </c>
      <c r="BM18" s="277">
        <v>21244</v>
      </c>
      <c r="BN18" s="277">
        <v>0</v>
      </c>
      <c r="BO18" s="277">
        <v>434</v>
      </c>
      <c r="BP18" s="277">
        <v>21678</v>
      </c>
      <c r="BQ18" s="277">
        <v>365408</v>
      </c>
      <c r="BR18" s="277">
        <v>0</v>
      </c>
      <c r="BS18" s="277">
        <v>7457</v>
      </c>
      <c r="BT18" s="277">
        <v>372865</v>
      </c>
      <c r="BU18" s="277">
        <v>1754608</v>
      </c>
      <c r="BV18" s="277">
        <v>0</v>
      </c>
      <c r="BW18" s="277">
        <v>35663</v>
      </c>
      <c r="BX18" s="277">
        <v>1790271</v>
      </c>
      <c r="BY18" s="278" t="s">
        <v>726</v>
      </c>
      <c r="BZ18" s="279" t="s">
        <v>996</v>
      </c>
      <c r="CA18" s="280" t="s">
        <v>997</v>
      </c>
    </row>
    <row r="19" spans="1:79" ht="12.75">
      <c r="A19" s="169">
        <v>12</v>
      </c>
      <c r="B19" s="172" t="s">
        <v>728</v>
      </c>
      <c r="C19" s="258" t="s">
        <v>729</v>
      </c>
      <c r="D19" s="277">
        <v>23465397</v>
      </c>
      <c r="E19" s="277">
        <v>93867</v>
      </c>
      <c r="F19" s="277">
        <v>0</v>
      </c>
      <c r="G19" s="277">
        <v>97916</v>
      </c>
      <c r="H19" s="277">
        <v>0</v>
      </c>
      <c r="I19" s="277">
        <v>97916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23461348</v>
      </c>
      <c r="Q19" s="277">
        <v>11730674</v>
      </c>
      <c r="R19" s="277">
        <v>9384539</v>
      </c>
      <c r="S19" s="277">
        <v>2346135</v>
      </c>
      <c r="T19" s="277">
        <v>0</v>
      </c>
      <c r="U19" s="277">
        <v>23461348</v>
      </c>
      <c r="V19" s="277">
        <v>0</v>
      </c>
      <c r="W19" s="277">
        <v>11730674</v>
      </c>
      <c r="X19" s="277">
        <v>97916</v>
      </c>
      <c r="Y19" s="277">
        <v>97916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0</v>
      </c>
      <c r="AG19" s="277">
        <v>0</v>
      </c>
      <c r="AH19" s="277">
        <v>0</v>
      </c>
      <c r="AI19" s="277">
        <v>0</v>
      </c>
      <c r="AJ19" s="277">
        <v>0</v>
      </c>
      <c r="AK19" s="277">
        <v>0</v>
      </c>
      <c r="AL19" s="277">
        <v>0</v>
      </c>
      <c r="AM19" s="277">
        <v>-211326.5</v>
      </c>
      <c r="AN19" s="277">
        <v>-169061.2</v>
      </c>
      <c r="AO19" s="277">
        <v>-42265.3</v>
      </c>
      <c r="AP19" s="277">
        <v>0</v>
      </c>
      <c r="AQ19" s="277">
        <v>-422653</v>
      </c>
      <c r="AR19" s="277">
        <v>11519347</v>
      </c>
      <c r="AS19" s="277">
        <v>9313394</v>
      </c>
      <c r="AT19" s="277">
        <v>2303870</v>
      </c>
      <c r="AU19" s="277">
        <v>0</v>
      </c>
      <c r="AV19" s="277">
        <v>23136611</v>
      </c>
      <c r="AW19" s="277">
        <v>100663</v>
      </c>
      <c r="AX19" s="277">
        <v>24906</v>
      </c>
      <c r="AY19" s="277">
        <v>0</v>
      </c>
      <c r="AZ19" s="277">
        <v>125569</v>
      </c>
      <c r="BA19" s="277">
        <v>259317</v>
      </c>
      <c r="BB19" s="277">
        <v>64829</v>
      </c>
      <c r="BC19" s="277">
        <v>0</v>
      </c>
      <c r="BD19" s="277">
        <v>324146</v>
      </c>
      <c r="BE19" s="277">
        <v>0</v>
      </c>
      <c r="BF19" s="277">
        <v>0</v>
      </c>
      <c r="BG19" s="277">
        <v>0</v>
      </c>
      <c r="BH19" s="277">
        <v>0</v>
      </c>
      <c r="BI19" s="277">
        <v>0</v>
      </c>
      <c r="BJ19" s="277">
        <v>0</v>
      </c>
      <c r="BK19" s="277">
        <v>0</v>
      </c>
      <c r="BL19" s="277">
        <v>0</v>
      </c>
      <c r="BM19" s="277">
        <v>24547</v>
      </c>
      <c r="BN19" s="277">
        <v>6137</v>
      </c>
      <c r="BO19" s="277">
        <v>0</v>
      </c>
      <c r="BP19" s="277">
        <v>30684</v>
      </c>
      <c r="BQ19" s="277">
        <v>135018</v>
      </c>
      <c r="BR19" s="277">
        <v>33755</v>
      </c>
      <c r="BS19" s="277">
        <v>0</v>
      </c>
      <c r="BT19" s="277">
        <v>168773</v>
      </c>
      <c r="BU19" s="277">
        <v>519545</v>
      </c>
      <c r="BV19" s="277">
        <v>129627</v>
      </c>
      <c r="BW19" s="277">
        <v>0</v>
      </c>
      <c r="BX19" s="277">
        <v>649172</v>
      </c>
      <c r="BY19" s="278" t="s">
        <v>728</v>
      </c>
      <c r="BZ19" s="279" t="s">
        <v>985</v>
      </c>
      <c r="CA19" s="280" t="s">
        <v>984</v>
      </c>
    </row>
    <row r="20" spans="1:79" ht="12.75">
      <c r="A20" s="169">
        <v>13</v>
      </c>
      <c r="B20" s="172" t="s">
        <v>730</v>
      </c>
      <c r="C20" s="258" t="s">
        <v>731</v>
      </c>
      <c r="D20" s="277">
        <v>76578298.7</v>
      </c>
      <c r="E20" s="277">
        <v>0</v>
      </c>
      <c r="F20" s="277">
        <v>20375.58</v>
      </c>
      <c r="G20" s="277">
        <v>236158</v>
      </c>
      <c r="H20" s="277">
        <v>0</v>
      </c>
      <c r="I20" s="277">
        <v>236158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76321765.2</v>
      </c>
      <c r="Q20" s="277">
        <v>38160882.2</v>
      </c>
      <c r="R20" s="277">
        <v>30528706</v>
      </c>
      <c r="S20" s="277">
        <v>6868959</v>
      </c>
      <c r="T20" s="277">
        <v>763218</v>
      </c>
      <c r="U20" s="277">
        <v>76321765</v>
      </c>
      <c r="V20" s="277">
        <v>0</v>
      </c>
      <c r="W20" s="277">
        <v>38160882.2</v>
      </c>
      <c r="X20" s="277">
        <v>236158</v>
      </c>
      <c r="Y20" s="277">
        <v>236158</v>
      </c>
      <c r="Z20" s="277">
        <v>0</v>
      </c>
      <c r="AA20" s="277">
        <v>0</v>
      </c>
      <c r="AB20" s="277">
        <v>0</v>
      </c>
      <c r="AC20" s="277">
        <v>0</v>
      </c>
      <c r="AD20" s="277">
        <v>0</v>
      </c>
      <c r="AE20" s="277">
        <v>0</v>
      </c>
      <c r="AF20" s="277">
        <v>0</v>
      </c>
      <c r="AG20" s="277">
        <v>0</v>
      </c>
      <c r="AH20" s="277">
        <v>0</v>
      </c>
      <c r="AI20" s="277">
        <v>0</v>
      </c>
      <c r="AJ20" s="277">
        <v>0</v>
      </c>
      <c r="AK20" s="277">
        <v>0</v>
      </c>
      <c r="AL20" s="277">
        <v>0</v>
      </c>
      <c r="AM20" s="277">
        <v>-1095195</v>
      </c>
      <c r="AN20" s="277">
        <v>-876156</v>
      </c>
      <c r="AO20" s="277">
        <v>-197135.1</v>
      </c>
      <c r="AP20" s="277">
        <v>-21903.9</v>
      </c>
      <c r="AQ20" s="277">
        <v>-2190390</v>
      </c>
      <c r="AR20" s="277">
        <v>37065687</v>
      </c>
      <c r="AS20" s="277">
        <v>29888708</v>
      </c>
      <c r="AT20" s="277">
        <v>6671824</v>
      </c>
      <c r="AU20" s="277">
        <v>741314</v>
      </c>
      <c r="AV20" s="277">
        <v>74367533</v>
      </c>
      <c r="AW20" s="277">
        <v>326591</v>
      </c>
      <c r="AX20" s="277">
        <v>72919</v>
      </c>
      <c r="AY20" s="277">
        <v>8102</v>
      </c>
      <c r="AZ20" s="277">
        <v>407612</v>
      </c>
      <c r="BA20" s="277">
        <v>451302</v>
      </c>
      <c r="BB20" s="277">
        <v>101543</v>
      </c>
      <c r="BC20" s="277">
        <v>11283</v>
      </c>
      <c r="BD20" s="277">
        <v>564128</v>
      </c>
      <c r="BE20" s="277">
        <v>8085</v>
      </c>
      <c r="BF20" s="277">
        <v>1819</v>
      </c>
      <c r="BG20" s="277">
        <v>202</v>
      </c>
      <c r="BH20" s="277">
        <v>10106</v>
      </c>
      <c r="BI20" s="277">
        <v>0</v>
      </c>
      <c r="BJ20" s="277">
        <v>0</v>
      </c>
      <c r="BK20" s="277">
        <v>0</v>
      </c>
      <c r="BL20" s="277">
        <v>0</v>
      </c>
      <c r="BM20" s="277">
        <v>153614</v>
      </c>
      <c r="BN20" s="277">
        <v>34563</v>
      </c>
      <c r="BO20" s="277">
        <v>3840</v>
      </c>
      <c r="BP20" s="277">
        <v>192017</v>
      </c>
      <c r="BQ20" s="277">
        <v>422842</v>
      </c>
      <c r="BR20" s="277">
        <v>95139</v>
      </c>
      <c r="BS20" s="277">
        <v>10571</v>
      </c>
      <c r="BT20" s="277">
        <v>528552</v>
      </c>
      <c r="BU20" s="277">
        <v>1362434</v>
      </c>
      <c r="BV20" s="277">
        <v>305983</v>
      </c>
      <c r="BW20" s="277">
        <v>33998</v>
      </c>
      <c r="BX20" s="277">
        <v>1702415</v>
      </c>
      <c r="BY20" s="278" t="s">
        <v>730</v>
      </c>
      <c r="BZ20" s="279" t="s">
        <v>998</v>
      </c>
      <c r="CA20" s="280" t="s">
        <v>999</v>
      </c>
    </row>
    <row r="21" spans="1:79" ht="12.75">
      <c r="A21" s="169">
        <v>14</v>
      </c>
      <c r="B21" s="172" t="s">
        <v>732</v>
      </c>
      <c r="C21" s="258" t="s">
        <v>733</v>
      </c>
      <c r="D21" s="277">
        <v>72907842.1</v>
      </c>
      <c r="E21" s="277">
        <v>360973</v>
      </c>
      <c r="F21" s="277">
        <v>0</v>
      </c>
      <c r="G21" s="277">
        <v>206524</v>
      </c>
      <c r="H21" s="277">
        <v>0</v>
      </c>
      <c r="I21" s="277">
        <v>206524</v>
      </c>
      <c r="J21" s="277">
        <v>0</v>
      </c>
      <c r="K21" s="277">
        <v>0</v>
      </c>
      <c r="L21" s="277">
        <v>0</v>
      </c>
      <c r="M21" s="277">
        <v>19076</v>
      </c>
      <c r="N21" s="277">
        <v>17169</v>
      </c>
      <c r="O21" s="277">
        <v>1907</v>
      </c>
      <c r="P21" s="277">
        <v>73043215.1</v>
      </c>
      <c r="Q21" s="277">
        <v>36521608.1</v>
      </c>
      <c r="R21" s="277">
        <v>29217286</v>
      </c>
      <c r="S21" s="277">
        <v>6573889</v>
      </c>
      <c r="T21" s="277">
        <v>730432</v>
      </c>
      <c r="U21" s="277">
        <v>73043215</v>
      </c>
      <c r="V21" s="277">
        <v>0</v>
      </c>
      <c r="W21" s="277">
        <v>36521608.1</v>
      </c>
      <c r="X21" s="277">
        <v>206524</v>
      </c>
      <c r="Y21" s="277">
        <v>206524</v>
      </c>
      <c r="Z21" s="277">
        <v>0</v>
      </c>
      <c r="AA21" s="277">
        <v>0</v>
      </c>
      <c r="AB21" s="277">
        <v>0</v>
      </c>
      <c r="AC21" s="277">
        <v>0</v>
      </c>
      <c r="AD21" s="277">
        <v>17169</v>
      </c>
      <c r="AE21" s="277">
        <v>1907</v>
      </c>
      <c r="AF21" s="277">
        <v>19076</v>
      </c>
      <c r="AG21" s="277">
        <v>0</v>
      </c>
      <c r="AH21" s="277">
        <v>0</v>
      </c>
      <c r="AI21" s="277">
        <v>0</v>
      </c>
      <c r="AJ21" s="277">
        <v>0</v>
      </c>
      <c r="AK21" s="277">
        <v>0</v>
      </c>
      <c r="AL21" s="277">
        <v>0</v>
      </c>
      <c r="AM21" s="277">
        <v>-2292877.5</v>
      </c>
      <c r="AN21" s="277">
        <v>-1834302</v>
      </c>
      <c r="AO21" s="277">
        <v>-412717.95</v>
      </c>
      <c r="AP21" s="277">
        <v>-45857.55</v>
      </c>
      <c r="AQ21" s="277">
        <v>-4585755</v>
      </c>
      <c r="AR21" s="277">
        <v>34228731</v>
      </c>
      <c r="AS21" s="277">
        <v>27606677</v>
      </c>
      <c r="AT21" s="277">
        <v>6163078</v>
      </c>
      <c r="AU21" s="277">
        <v>684574</v>
      </c>
      <c r="AV21" s="277">
        <v>68683060</v>
      </c>
      <c r="AW21" s="277">
        <v>312537</v>
      </c>
      <c r="AX21" s="277">
        <v>69807</v>
      </c>
      <c r="AY21" s="277">
        <v>7754</v>
      </c>
      <c r="AZ21" s="277">
        <v>390098</v>
      </c>
      <c r="BA21" s="277">
        <v>302946</v>
      </c>
      <c r="BB21" s="277">
        <v>68163</v>
      </c>
      <c r="BC21" s="277">
        <v>7574</v>
      </c>
      <c r="BD21" s="277">
        <v>378683</v>
      </c>
      <c r="BE21" s="277">
        <v>11424</v>
      </c>
      <c r="BF21" s="277">
        <v>2570</v>
      </c>
      <c r="BG21" s="277">
        <v>286</v>
      </c>
      <c r="BH21" s="277">
        <v>14280</v>
      </c>
      <c r="BI21" s="277">
        <v>9742</v>
      </c>
      <c r="BJ21" s="277">
        <v>2192</v>
      </c>
      <c r="BK21" s="277">
        <v>244</v>
      </c>
      <c r="BL21" s="277">
        <v>12178</v>
      </c>
      <c r="BM21" s="277">
        <v>33133</v>
      </c>
      <c r="BN21" s="277">
        <v>7455</v>
      </c>
      <c r="BO21" s="277">
        <v>828</v>
      </c>
      <c r="BP21" s="277">
        <v>41416</v>
      </c>
      <c r="BQ21" s="277">
        <v>202123</v>
      </c>
      <c r="BR21" s="277">
        <v>45478</v>
      </c>
      <c r="BS21" s="277">
        <v>5053</v>
      </c>
      <c r="BT21" s="277">
        <v>252654</v>
      </c>
      <c r="BU21" s="277">
        <v>871905</v>
      </c>
      <c r="BV21" s="277">
        <v>195665</v>
      </c>
      <c r="BW21" s="277">
        <v>21739</v>
      </c>
      <c r="BX21" s="277">
        <v>1089309</v>
      </c>
      <c r="BY21" s="278" t="s">
        <v>732</v>
      </c>
      <c r="BZ21" s="279" t="s">
        <v>1000</v>
      </c>
      <c r="CA21" s="280" t="s">
        <v>1001</v>
      </c>
    </row>
    <row r="22" spans="1:79" ht="12.75">
      <c r="A22" s="169">
        <v>15</v>
      </c>
      <c r="B22" s="172" t="s">
        <v>734</v>
      </c>
      <c r="C22" s="258" t="s">
        <v>735</v>
      </c>
      <c r="D22" s="277">
        <v>43908565</v>
      </c>
      <c r="E22" s="277">
        <v>130764</v>
      </c>
      <c r="F22" s="277">
        <v>0</v>
      </c>
      <c r="G22" s="277">
        <v>165835</v>
      </c>
      <c r="H22" s="277">
        <v>0</v>
      </c>
      <c r="I22" s="277">
        <v>165835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43873494</v>
      </c>
      <c r="Q22" s="277">
        <v>21936747</v>
      </c>
      <c r="R22" s="277">
        <v>17549398</v>
      </c>
      <c r="S22" s="277">
        <v>3948614</v>
      </c>
      <c r="T22" s="277">
        <v>438735</v>
      </c>
      <c r="U22" s="277">
        <v>43873494</v>
      </c>
      <c r="V22" s="277">
        <v>0</v>
      </c>
      <c r="W22" s="277">
        <v>21936747</v>
      </c>
      <c r="X22" s="277">
        <v>165835</v>
      </c>
      <c r="Y22" s="277">
        <v>165835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7">
        <v>0</v>
      </c>
      <c r="AF22" s="277">
        <v>0</v>
      </c>
      <c r="AG22" s="277">
        <v>0</v>
      </c>
      <c r="AH22" s="277">
        <v>0</v>
      </c>
      <c r="AI22" s="277">
        <v>0</v>
      </c>
      <c r="AJ22" s="277">
        <v>0</v>
      </c>
      <c r="AK22" s="277">
        <v>0</v>
      </c>
      <c r="AL22" s="277">
        <v>0</v>
      </c>
      <c r="AM22" s="277">
        <v>-1529530</v>
      </c>
      <c r="AN22" s="277">
        <v>-1223624</v>
      </c>
      <c r="AO22" s="277">
        <v>-275315.4</v>
      </c>
      <c r="AP22" s="277">
        <v>-30590.6</v>
      </c>
      <c r="AQ22" s="277">
        <v>-3059060</v>
      </c>
      <c r="AR22" s="277">
        <v>20407217</v>
      </c>
      <c r="AS22" s="277">
        <v>16491609</v>
      </c>
      <c r="AT22" s="277">
        <v>3673299</v>
      </c>
      <c r="AU22" s="277">
        <v>408144</v>
      </c>
      <c r="AV22" s="277">
        <v>40980269</v>
      </c>
      <c r="AW22" s="277">
        <v>188060</v>
      </c>
      <c r="AX22" s="277">
        <v>41917</v>
      </c>
      <c r="AY22" s="277">
        <v>4657</v>
      </c>
      <c r="AZ22" s="277">
        <v>234634</v>
      </c>
      <c r="BA22" s="277">
        <v>449549</v>
      </c>
      <c r="BB22" s="277">
        <v>101149</v>
      </c>
      <c r="BC22" s="277">
        <v>11239</v>
      </c>
      <c r="BD22" s="277">
        <v>561937</v>
      </c>
      <c r="BE22" s="277">
        <v>6163</v>
      </c>
      <c r="BF22" s="277">
        <v>1387</v>
      </c>
      <c r="BG22" s="277">
        <v>154</v>
      </c>
      <c r="BH22" s="277">
        <v>7704</v>
      </c>
      <c r="BI22" s="277">
        <v>10106</v>
      </c>
      <c r="BJ22" s="277">
        <v>2274</v>
      </c>
      <c r="BK22" s="277">
        <v>253</v>
      </c>
      <c r="BL22" s="277">
        <v>12633</v>
      </c>
      <c r="BM22" s="277">
        <v>34361</v>
      </c>
      <c r="BN22" s="277">
        <v>7731</v>
      </c>
      <c r="BO22" s="277">
        <v>859</v>
      </c>
      <c r="BP22" s="277">
        <v>42951</v>
      </c>
      <c r="BQ22" s="277">
        <v>161699</v>
      </c>
      <c r="BR22" s="277">
        <v>36382</v>
      </c>
      <c r="BS22" s="277">
        <v>4042</v>
      </c>
      <c r="BT22" s="277">
        <v>202123</v>
      </c>
      <c r="BU22" s="277">
        <v>849938</v>
      </c>
      <c r="BV22" s="277">
        <v>190840</v>
      </c>
      <c r="BW22" s="277">
        <v>21204</v>
      </c>
      <c r="BX22" s="277">
        <v>1061982</v>
      </c>
      <c r="BY22" s="278" t="s">
        <v>734</v>
      </c>
      <c r="BZ22" s="279" t="s">
        <v>988</v>
      </c>
      <c r="CA22" s="280" t="s">
        <v>989</v>
      </c>
    </row>
    <row r="23" spans="1:79" ht="12.75">
      <c r="A23" s="169">
        <v>16</v>
      </c>
      <c r="B23" s="172" t="s">
        <v>736</v>
      </c>
      <c r="C23" s="258" t="s">
        <v>737</v>
      </c>
      <c r="D23" s="277">
        <v>63440427</v>
      </c>
      <c r="E23" s="277">
        <v>177759</v>
      </c>
      <c r="F23" s="277">
        <v>0</v>
      </c>
      <c r="G23" s="277">
        <v>261473</v>
      </c>
      <c r="H23" s="277">
        <v>0</v>
      </c>
      <c r="I23" s="277">
        <v>261473</v>
      </c>
      <c r="J23" s="277">
        <v>0</v>
      </c>
      <c r="K23" s="277">
        <v>0</v>
      </c>
      <c r="L23" s="277">
        <v>892907</v>
      </c>
      <c r="M23" s="277">
        <v>0</v>
      </c>
      <c r="N23" s="277">
        <v>0</v>
      </c>
      <c r="O23" s="277">
        <v>0</v>
      </c>
      <c r="P23" s="277">
        <v>62463806</v>
      </c>
      <c r="Q23" s="277">
        <v>31231903</v>
      </c>
      <c r="R23" s="277">
        <v>30607265</v>
      </c>
      <c r="S23" s="277">
        <v>0</v>
      </c>
      <c r="T23" s="277">
        <v>624638</v>
      </c>
      <c r="U23" s="277">
        <v>62463806</v>
      </c>
      <c r="V23" s="277">
        <v>0</v>
      </c>
      <c r="W23" s="277">
        <v>31231903</v>
      </c>
      <c r="X23" s="277">
        <v>261473</v>
      </c>
      <c r="Y23" s="277">
        <v>261473</v>
      </c>
      <c r="Z23" s="277">
        <v>0</v>
      </c>
      <c r="AA23" s="277">
        <v>0</v>
      </c>
      <c r="AB23" s="277">
        <v>892907</v>
      </c>
      <c r="AC23" s="277">
        <v>892907</v>
      </c>
      <c r="AD23" s="277">
        <v>0</v>
      </c>
      <c r="AE23" s="277">
        <v>0</v>
      </c>
      <c r="AF23" s="277">
        <v>0</v>
      </c>
      <c r="AG23" s="277">
        <v>0</v>
      </c>
      <c r="AH23" s="277">
        <v>0</v>
      </c>
      <c r="AI23" s="277">
        <v>0</v>
      </c>
      <c r="AJ23" s="277">
        <v>0</v>
      </c>
      <c r="AK23" s="277">
        <v>0</v>
      </c>
      <c r="AL23" s="277">
        <v>0</v>
      </c>
      <c r="AM23" s="277">
        <v>-600726.5</v>
      </c>
      <c r="AN23" s="277">
        <v>-588711.97</v>
      </c>
      <c r="AO23" s="277">
        <v>0</v>
      </c>
      <c r="AP23" s="277">
        <v>-12014.53</v>
      </c>
      <c r="AQ23" s="277">
        <v>-1201453</v>
      </c>
      <c r="AR23" s="277">
        <v>30631177</v>
      </c>
      <c r="AS23" s="277">
        <v>31172933</v>
      </c>
      <c r="AT23" s="277">
        <v>0</v>
      </c>
      <c r="AU23" s="277">
        <v>612623</v>
      </c>
      <c r="AV23" s="277">
        <v>62416733</v>
      </c>
      <c r="AW23" s="277">
        <v>337172</v>
      </c>
      <c r="AX23" s="277">
        <v>0</v>
      </c>
      <c r="AY23" s="277">
        <v>6631</v>
      </c>
      <c r="AZ23" s="277">
        <v>343803</v>
      </c>
      <c r="BA23" s="277">
        <v>867611</v>
      </c>
      <c r="BB23" s="277">
        <v>0</v>
      </c>
      <c r="BC23" s="277">
        <v>17706</v>
      </c>
      <c r="BD23" s="277">
        <v>885317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172999</v>
      </c>
      <c r="BN23" s="277">
        <v>0</v>
      </c>
      <c r="BO23" s="277">
        <v>3531</v>
      </c>
      <c r="BP23" s="277">
        <v>176530</v>
      </c>
      <c r="BQ23" s="277">
        <v>583557</v>
      </c>
      <c r="BR23" s="277">
        <v>0</v>
      </c>
      <c r="BS23" s="277">
        <v>11909</v>
      </c>
      <c r="BT23" s="277">
        <v>595466</v>
      </c>
      <c r="BU23" s="277">
        <v>1961339</v>
      </c>
      <c r="BV23" s="277">
        <v>0</v>
      </c>
      <c r="BW23" s="277">
        <v>39777</v>
      </c>
      <c r="BX23" s="277">
        <v>2001116</v>
      </c>
      <c r="BY23" s="278" t="s">
        <v>1002</v>
      </c>
      <c r="BZ23" s="279" t="s">
        <v>1003</v>
      </c>
      <c r="CA23" s="280" t="s">
        <v>1004</v>
      </c>
    </row>
    <row r="24" spans="1:79" ht="12.75">
      <c r="A24" s="169">
        <v>17</v>
      </c>
      <c r="B24" s="172" t="s">
        <v>738</v>
      </c>
      <c r="C24" s="258" t="s">
        <v>739</v>
      </c>
      <c r="D24" s="277">
        <v>63288047</v>
      </c>
      <c r="E24" s="277">
        <v>349434</v>
      </c>
      <c r="F24" s="277">
        <v>0</v>
      </c>
      <c r="G24" s="277">
        <v>234144</v>
      </c>
      <c r="H24" s="277">
        <v>0</v>
      </c>
      <c r="I24" s="277">
        <v>234144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63403337</v>
      </c>
      <c r="Q24" s="277">
        <v>31701669</v>
      </c>
      <c r="R24" s="277">
        <v>31067635</v>
      </c>
      <c r="S24" s="277">
        <v>0</v>
      </c>
      <c r="T24" s="277">
        <v>634033</v>
      </c>
      <c r="U24" s="277">
        <v>63403337</v>
      </c>
      <c r="V24" s="277">
        <v>0</v>
      </c>
      <c r="W24" s="277">
        <v>31701669</v>
      </c>
      <c r="X24" s="277">
        <v>234144</v>
      </c>
      <c r="Y24" s="277">
        <v>234144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7">
        <v>0</v>
      </c>
      <c r="AF24" s="277">
        <v>0</v>
      </c>
      <c r="AG24" s="277">
        <v>0</v>
      </c>
      <c r="AH24" s="277">
        <v>0</v>
      </c>
      <c r="AI24" s="277">
        <v>0</v>
      </c>
      <c r="AJ24" s="277">
        <v>0</v>
      </c>
      <c r="AK24" s="277">
        <v>0</v>
      </c>
      <c r="AL24" s="277">
        <v>0</v>
      </c>
      <c r="AM24" s="277">
        <v>242600.42</v>
      </c>
      <c r="AN24" s="277">
        <v>237748.41</v>
      </c>
      <c r="AO24" s="277">
        <v>0</v>
      </c>
      <c r="AP24" s="277">
        <v>4852.01</v>
      </c>
      <c r="AQ24" s="277">
        <v>485200.83</v>
      </c>
      <c r="AR24" s="277">
        <v>31944269</v>
      </c>
      <c r="AS24" s="277">
        <v>31539527</v>
      </c>
      <c r="AT24" s="277">
        <v>0</v>
      </c>
      <c r="AU24" s="277">
        <v>638885</v>
      </c>
      <c r="AV24" s="277">
        <v>64122682</v>
      </c>
      <c r="AW24" s="277">
        <v>332291</v>
      </c>
      <c r="AX24" s="277">
        <v>0</v>
      </c>
      <c r="AY24" s="277">
        <v>6731</v>
      </c>
      <c r="AZ24" s="277">
        <v>339022</v>
      </c>
      <c r="BA24" s="277">
        <v>703480</v>
      </c>
      <c r="BB24" s="277">
        <v>0</v>
      </c>
      <c r="BC24" s="277">
        <v>14357</v>
      </c>
      <c r="BD24" s="277">
        <v>717837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12380</v>
      </c>
      <c r="BN24" s="277">
        <v>0</v>
      </c>
      <c r="BO24" s="277">
        <v>253</v>
      </c>
      <c r="BP24" s="277">
        <v>12633</v>
      </c>
      <c r="BQ24" s="277">
        <v>361497</v>
      </c>
      <c r="BR24" s="277">
        <v>0</v>
      </c>
      <c r="BS24" s="277">
        <v>7378</v>
      </c>
      <c r="BT24" s="277">
        <v>368875</v>
      </c>
      <c r="BU24" s="277">
        <v>1409648</v>
      </c>
      <c r="BV24" s="277">
        <v>0</v>
      </c>
      <c r="BW24" s="277">
        <v>28719</v>
      </c>
      <c r="BX24" s="277">
        <v>1438367</v>
      </c>
      <c r="BY24" s="279" t="s">
        <v>738</v>
      </c>
      <c r="BZ24" s="279" t="s">
        <v>1003</v>
      </c>
      <c r="CA24" s="280" t="s">
        <v>1005</v>
      </c>
    </row>
    <row r="25" spans="1:79" ht="12.75">
      <c r="A25" s="169">
        <v>18</v>
      </c>
      <c r="B25" s="172" t="s">
        <v>740</v>
      </c>
      <c r="C25" s="258" t="s">
        <v>741</v>
      </c>
      <c r="D25" s="277">
        <v>66056310.5</v>
      </c>
      <c r="E25" s="277">
        <v>24841.12</v>
      </c>
      <c r="F25" s="277">
        <v>0</v>
      </c>
      <c r="G25" s="277">
        <v>262101</v>
      </c>
      <c r="H25" s="277">
        <v>0</v>
      </c>
      <c r="I25" s="277">
        <v>262101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65819050.7</v>
      </c>
      <c r="Q25" s="277">
        <v>32909525.7</v>
      </c>
      <c r="R25" s="277">
        <v>19745715</v>
      </c>
      <c r="S25" s="277">
        <v>13163810</v>
      </c>
      <c r="T25" s="277">
        <v>0</v>
      </c>
      <c r="U25" s="277">
        <v>65819051</v>
      </c>
      <c r="V25" s="277">
        <v>0</v>
      </c>
      <c r="W25" s="277">
        <v>32909525.7</v>
      </c>
      <c r="X25" s="277">
        <v>262101</v>
      </c>
      <c r="Y25" s="277">
        <v>262101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0</v>
      </c>
      <c r="AG25" s="277">
        <v>0</v>
      </c>
      <c r="AH25" s="277">
        <v>0</v>
      </c>
      <c r="AI25" s="277">
        <v>0</v>
      </c>
      <c r="AJ25" s="277">
        <v>0</v>
      </c>
      <c r="AK25" s="277">
        <v>0</v>
      </c>
      <c r="AL25" s="277">
        <v>0</v>
      </c>
      <c r="AM25" s="277">
        <v>-1386471.2</v>
      </c>
      <c r="AN25" s="277">
        <v>-831882.73</v>
      </c>
      <c r="AO25" s="277">
        <v>-554588.48</v>
      </c>
      <c r="AP25" s="277">
        <v>0</v>
      </c>
      <c r="AQ25" s="277">
        <v>-2772942.4</v>
      </c>
      <c r="AR25" s="277">
        <v>31523054</v>
      </c>
      <c r="AS25" s="277">
        <v>19175933</v>
      </c>
      <c r="AT25" s="277">
        <v>12609222</v>
      </c>
      <c r="AU25" s="277">
        <v>0</v>
      </c>
      <c r="AV25" s="277">
        <v>63308210</v>
      </c>
      <c r="AW25" s="277">
        <v>212397</v>
      </c>
      <c r="AX25" s="277">
        <v>139743</v>
      </c>
      <c r="AY25" s="277">
        <v>0</v>
      </c>
      <c r="AZ25" s="277">
        <v>352140</v>
      </c>
      <c r="BA25" s="277">
        <v>582374</v>
      </c>
      <c r="BB25" s="277">
        <v>388249</v>
      </c>
      <c r="BC25" s="277">
        <v>0</v>
      </c>
      <c r="BD25" s="277">
        <v>970623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16876</v>
      </c>
      <c r="BN25" s="277">
        <v>11250</v>
      </c>
      <c r="BO25" s="277">
        <v>0</v>
      </c>
      <c r="BP25" s="277">
        <v>28126</v>
      </c>
      <c r="BQ25" s="277">
        <v>344132</v>
      </c>
      <c r="BR25" s="277">
        <v>229421</v>
      </c>
      <c r="BS25" s="277">
        <v>0</v>
      </c>
      <c r="BT25" s="277">
        <v>573553</v>
      </c>
      <c r="BU25" s="277">
        <v>1155779</v>
      </c>
      <c r="BV25" s="277">
        <v>768663</v>
      </c>
      <c r="BW25" s="277">
        <v>0</v>
      </c>
      <c r="BX25" s="277">
        <v>1924442</v>
      </c>
      <c r="BY25" s="278" t="s">
        <v>740</v>
      </c>
      <c r="BZ25" s="279" t="s">
        <v>995</v>
      </c>
      <c r="CA25" s="279" t="s">
        <v>983</v>
      </c>
    </row>
    <row r="26" spans="1:79" ht="12.75">
      <c r="A26" s="169">
        <v>19</v>
      </c>
      <c r="B26" s="172" t="s">
        <v>742</v>
      </c>
      <c r="C26" s="258" t="s">
        <v>743</v>
      </c>
      <c r="D26" s="277">
        <v>405593159</v>
      </c>
      <c r="E26" s="277">
        <v>0</v>
      </c>
      <c r="F26" s="277">
        <v>577451</v>
      </c>
      <c r="G26" s="277">
        <v>1925309</v>
      </c>
      <c r="H26" s="277">
        <v>0</v>
      </c>
      <c r="I26" s="277">
        <v>1925309</v>
      </c>
      <c r="J26" s="277">
        <v>0</v>
      </c>
      <c r="K26" s="277">
        <v>3575901</v>
      </c>
      <c r="L26" s="277">
        <v>0</v>
      </c>
      <c r="M26" s="277">
        <v>0</v>
      </c>
      <c r="N26" s="277">
        <v>0</v>
      </c>
      <c r="O26" s="277">
        <v>0</v>
      </c>
      <c r="P26" s="277">
        <v>399514498</v>
      </c>
      <c r="Q26" s="277">
        <v>199757249</v>
      </c>
      <c r="R26" s="277">
        <v>195762104</v>
      </c>
      <c r="S26" s="277">
        <v>0</v>
      </c>
      <c r="T26" s="277">
        <v>3995145</v>
      </c>
      <c r="U26" s="277">
        <v>399514498</v>
      </c>
      <c r="V26" s="277">
        <v>270011</v>
      </c>
      <c r="W26" s="277">
        <v>199487238</v>
      </c>
      <c r="X26" s="277">
        <v>1925309</v>
      </c>
      <c r="Y26" s="277">
        <v>1925309</v>
      </c>
      <c r="Z26" s="277">
        <v>3575901</v>
      </c>
      <c r="AA26" s="277">
        <v>3575901</v>
      </c>
      <c r="AB26" s="277">
        <v>0</v>
      </c>
      <c r="AC26" s="277">
        <v>0</v>
      </c>
      <c r="AD26" s="277">
        <v>0</v>
      </c>
      <c r="AE26" s="277">
        <v>0</v>
      </c>
      <c r="AF26" s="277">
        <v>0</v>
      </c>
      <c r="AG26" s="277">
        <v>270011</v>
      </c>
      <c r="AH26" s="277">
        <v>0</v>
      </c>
      <c r="AI26" s="277">
        <v>0</v>
      </c>
      <c r="AJ26" s="277">
        <v>270011</v>
      </c>
      <c r="AK26" s="277">
        <v>0</v>
      </c>
      <c r="AL26" s="277">
        <v>0</v>
      </c>
      <c r="AM26" s="277">
        <v>-3206342</v>
      </c>
      <c r="AN26" s="277">
        <v>-3142215.2</v>
      </c>
      <c r="AO26" s="277">
        <v>0</v>
      </c>
      <c r="AP26" s="277">
        <v>-64126.84</v>
      </c>
      <c r="AQ26" s="277">
        <v>-6412684</v>
      </c>
      <c r="AR26" s="277">
        <v>196280896</v>
      </c>
      <c r="AS26" s="277">
        <v>198391110</v>
      </c>
      <c r="AT26" s="277">
        <v>0</v>
      </c>
      <c r="AU26" s="277">
        <v>3931018</v>
      </c>
      <c r="AV26" s="277">
        <v>398603024</v>
      </c>
      <c r="AW26" s="277">
        <v>2139420</v>
      </c>
      <c r="AX26" s="277">
        <v>0</v>
      </c>
      <c r="AY26" s="277">
        <v>42411</v>
      </c>
      <c r="AZ26" s="277">
        <v>2181831</v>
      </c>
      <c r="BA26" s="277">
        <v>5348280</v>
      </c>
      <c r="BB26" s="277">
        <v>0</v>
      </c>
      <c r="BC26" s="277">
        <v>109149</v>
      </c>
      <c r="BD26" s="277">
        <v>5457429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2510673</v>
      </c>
      <c r="BR26" s="277">
        <v>0</v>
      </c>
      <c r="BS26" s="277">
        <v>51238</v>
      </c>
      <c r="BT26" s="277">
        <v>2561911</v>
      </c>
      <c r="BU26" s="277">
        <v>9998373</v>
      </c>
      <c r="BV26" s="277">
        <v>0</v>
      </c>
      <c r="BW26" s="277">
        <v>202798</v>
      </c>
      <c r="BX26" s="277">
        <v>10201171</v>
      </c>
      <c r="BY26" s="278" t="s">
        <v>742</v>
      </c>
      <c r="BZ26" s="279" t="s">
        <v>996</v>
      </c>
      <c r="CA26" s="280" t="s">
        <v>1006</v>
      </c>
    </row>
    <row r="27" spans="1:79" ht="12.75">
      <c r="A27" s="169">
        <v>20</v>
      </c>
      <c r="B27" s="172" t="s">
        <v>744</v>
      </c>
      <c r="C27" s="258" t="s">
        <v>745</v>
      </c>
      <c r="D27" s="277">
        <v>41665355</v>
      </c>
      <c r="E27" s="277">
        <v>0</v>
      </c>
      <c r="F27" s="277">
        <v>541</v>
      </c>
      <c r="G27" s="277">
        <v>101208</v>
      </c>
      <c r="H27" s="277">
        <v>0</v>
      </c>
      <c r="I27" s="277">
        <v>101208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41563606</v>
      </c>
      <c r="Q27" s="277">
        <v>20781803</v>
      </c>
      <c r="R27" s="277">
        <v>16625442</v>
      </c>
      <c r="S27" s="277">
        <v>3740725</v>
      </c>
      <c r="T27" s="277">
        <v>415636</v>
      </c>
      <c r="U27" s="277">
        <v>41563606</v>
      </c>
      <c r="V27" s="277">
        <v>0</v>
      </c>
      <c r="W27" s="277">
        <v>20781803</v>
      </c>
      <c r="X27" s="277">
        <v>101208</v>
      </c>
      <c r="Y27" s="277">
        <v>101208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  <c r="AL27" s="277">
        <v>0</v>
      </c>
      <c r="AM27" s="277">
        <v>-44098</v>
      </c>
      <c r="AN27" s="277">
        <v>-35278.4</v>
      </c>
      <c r="AO27" s="277">
        <v>-7937.64</v>
      </c>
      <c r="AP27" s="277">
        <v>-881.96</v>
      </c>
      <c r="AQ27" s="277">
        <v>-88196</v>
      </c>
      <c r="AR27" s="277">
        <v>20737705</v>
      </c>
      <c r="AS27" s="277">
        <v>16691372</v>
      </c>
      <c r="AT27" s="277">
        <v>3732787</v>
      </c>
      <c r="AU27" s="277">
        <v>414754</v>
      </c>
      <c r="AV27" s="277">
        <v>41576618</v>
      </c>
      <c r="AW27" s="277">
        <v>177565</v>
      </c>
      <c r="AX27" s="277">
        <v>39710</v>
      </c>
      <c r="AY27" s="277">
        <v>4412</v>
      </c>
      <c r="AZ27" s="277">
        <v>221687</v>
      </c>
      <c r="BA27" s="277">
        <v>227989</v>
      </c>
      <c r="BB27" s="277">
        <v>51297</v>
      </c>
      <c r="BC27" s="277">
        <v>5700</v>
      </c>
      <c r="BD27" s="277">
        <v>284986</v>
      </c>
      <c r="BE27" s="277">
        <v>0</v>
      </c>
      <c r="BF27" s="277">
        <v>0</v>
      </c>
      <c r="BG27" s="277">
        <v>0</v>
      </c>
      <c r="BH27" s="277">
        <v>0</v>
      </c>
      <c r="BI27" s="277">
        <v>0</v>
      </c>
      <c r="BJ27" s="277">
        <v>0</v>
      </c>
      <c r="BK27" s="277">
        <v>0</v>
      </c>
      <c r="BL27" s="277">
        <v>0</v>
      </c>
      <c r="BM27" s="277">
        <v>0</v>
      </c>
      <c r="BN27" s="277">
        <v>0</v>
      </c>
      <c r="BO27" s="277">
        <v>0</v>
      </c>
      <c r="BP27" s="277">
        <v>0</v>
      </c>
      <c r="BQ27" s="277">
        <v>72967</v>
      </c>
      <c r="BR27" s="277">
        <v>16417</v>
      </c>
      <c r="BS27" s="277">
        <v>1824</v>
      </c>
      <c r="BT27" s="277">
        <v>91208</v>
      </c>
      <c r="BU27" s="277">
        <v>478521</v>
      </c>
      <c r="BV27" s="277">
        <v>107424</v>
      </c>
      <c r="BW27" s="277">
        <v>11936</v>
      </c>
      <c r="BX27" s="277">
        <v>597881</v>
      </c>
      <c r="BY27" s="278" t="s">
        <v>744</v>
      </c>
      <c r="BZ27" s="279" t="s">
        <v>1007</v>
      </c>
      <c r="CA27" s="280" t="s">
        <v>1008</v>
      </c>
    </row>
    <row r="28" spans="1:79" ht="12.75">
      <c r="A28" s="169">
        <v>21</v>
      </c>
      <c r="B28" s="172" t="s">
        <v>746</v>
      </c>
      <c r="C28" s="258" t="s">
        <v>747</v>
      </c>
      <c r="D28" s="277">
        <v>45761700</v>
      </c>
      <c r="E28" s="277">
        <v>0</v>
      </c>
      <c r="F28" s="277">
        <v>20000</v>
      </c>
      <c r="G28" s="277">
        <v>250620</v>
      </c>
      <c r="H28" s="277">
        <v>0</v>
      </c>
      <c r="I28" s="277">
        <v>250620</v>
      </c>
      <c r="J28" s="277">
        <v>0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277">
        <v>45491080</v>
      </c>
      <c r="Q28" s="277">
        <v>22745540</v>
      </c>
      <c r="R28" s="277">
        <v>22290629</v>
      </c>
      <c r="S28" s="277">
        <v>0</v>
      </c>
      <c r="T28" s="277">
        <v>454911</v>
      </c>
      <c r="U28" s="277">
        <v>45491080</v>
      </c>
      <c r="V28" s="277">
        <v>0</v>
      </c>
      <c r="W28" s="277">
        <v>22745540</v>
      </c>
      <c r="X28" s="277">
        <v>250620</v>
      </c>
      <c r="Y28" s="277">
        <v>250620</v>
      </c>
      <c r="Z28" s="277">
        <v>0</v>
      </c>
      <c r="AA28" s="277">
        <v>0</v>
      </c>
      <c r="AB28" s="277">
        <v>0</v>
      </c>
      <c r="AC28" s="277">
        <v>0</v>
      </c>
      <c r="AD28" s="277">
        <v>0</v>
      </c>
      <c r="AE28" s="277">
        <v>0</v>
      </c>
      <c r="AF28" s="277">
        <v>0</v>
      </c>
      <c r="AG28" s="277">
        <v>0</v>
      </c>
      <c r="AH28" s="277">
        <v>0</v>
      </c>
      <c r="AI28" s="277">
        <v>0</v>
      </c>
      <c r="AJ28" s="277">
        <v>0</v>
      </c>
      <c r="AK28" s="277">
        <v>0</v>
      </c>
      <c r="AL28" s="277">
        <v>0</v>
      </c>
      <c r="AM28" s="277">
        <v>-975819</v>
      </c>
      <c r="AN28" s="277">
        <v>-956302.62</v>
      </c>
      <c r="AO28" s="277">
        <v>0</v>
      </c>
      <c r="AP28" s="277">
        <v>-19516.38</v>
      </c>
      <c r="AQ28" s="277">
        <v>-1951638</v>
      </c>
      <c r="AR28" s="277">
        <v>21769721</v>
      </c>
      <c r="AS28" s="277">
        <v>21584946</v>
      </c>
      <c r="AT28" s="277">
        <v>0</v>
      </c>
      <c r="AU28" s="277">
        <v>435395</v>
      </c>
      <c r="AV28" s="277">
        <v>43790062</v>
      </c>
      <c r="AW28" s="277">
        <v>239291</v>
      </c>
      <c r="AX28" s="277">
        <v>0</v>
      </c>
      <c r="AY28" s="277">
        <v>4829</v>
      </c>
      <c r="AZ28" s="277">
        <v>244120</v>
      </c>
      <c r="BA28" s="277">
        <v>1151344</v>
      </c>
      <c r="BB28" s="277">
        <v>0</v>
      </c>
      <c r="BC28" s="277">
        <v>23497</v>
      </c>
      <c r="BD28" s="277">
        <v>1174841</v>
      </c>
      <c r="BE28" s="277">
        <v>24760</v>
      </c>
      <c r="BF28" s="277">
        <v>0</v>
      </c>
      <c r="BG28" s="277">
        <v>505</v>
      </c>
      <c r="BH28" s="277">
        <v>25265</v>
      </c>
      <c r="BI28" s="277">
        <v>0</v>
      </c>
      <c r="BJ28" s="277">
        <v>0</v>
      </c>
      <c r="BK28" s="277">
        <v>0</v>
      </c>
      <c r="BL28" s="277">
        <v>0</v>
      </c>
      <c r="BM28" s="277">
        <v>77251</v>
      </c>
      <c r="BN28" s="277">
        <v>0</v>
      </c>
      <c r="BO28" s="277">
        <v>1577</v>
      </c>
      <c r="BP28" s="277">
        <v>78828</v>
      </c>
      <c r="BQ28" s="277">
        <v>229279</v>
      </c>
      <c r="BR28" s="277">
        <v>0</v>
      </c>
      <c r="BS28" s="277">
        <v>4679</v>
      </c>
      <c r="BT28" s="277">
        <v>233958</v>
      </c>
      <c r="BU28" s="277">
        <v>1721925</v>
      </c>
      <c r="BV28" s="277">
        <v>0</v>
      </c>
      <c r="BW28" s="277">
        <v>35087</v>
      </c>
      <c r="BX28" s="277">
        <v>1757012</v>
      </c>
      <c r="BY28" s="278" t="s">
        <v>883</v>
      </c>
      <c r="BZ28" s="279" t="s">
        <v>1003</v>
      </c>
      <c r="CA28" s="280" t="s">
        <v>1009</v>
      </c>
    </row>
    <row r="29" spans="1:79" ht="12.75">
      <c r="A29" s="169">
        <v>22</v>
      </c>
      <c r="B29" s="172" t="s">
        <v>748</v>
      </c>
      <c r="C29" s="258" t="s">
        <v>749</v>
      </c>
      <c r="D29" s="277">
        <v>48451280</v>
      </c>
      <c r="E29" s="277">
        <v>66692</v>
      </c>
      <c r="F29" s="277">
        <v>0</v>
      </c>
      <c r="G29" s="277">
        <v>276503</v>
      </c>
      <c r="H29" s="277">
        <v>0</v>
      </c>
      <c r="I29" s="277">
        <v>276503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0</v>
      </c>
      <c r="P29" s="277">
        <v>48241469</v>
      </c>
      <c r="Q29" s="277">
        <v>24120734</v>
      </c>
      <c r="R29" s="277">
        <v>23638320</v>
      </c>
      <c r="S29" s="277">
        <v>0</v>
      </c>
      <c r="T29" s="277">
        <v>482415</v>
      </c>
      <c r="U29" s="277">
        <v>48241469</v>
      </c>
      <c r="V29" s="277">
        <v>0</v>
      </c>
      <c r="W29" s="277">
        <v>24120734</v>
      </c>
      <c r="X29" s="277">
        <v>276503</v>
      </c>
      <c r="Y29" s="277">
        <v>276503</v>
      </c>
      <c r="Z29" s="277">
        <v>0</v>
      </c>
      <c r="AA29" s="277">
        <v>0</v>
      </c>
      <c r="AB29" s="277">
        <v>0</v>
      </c>
      <c r="AC29" s="277">
        <v>0</v>
      </c>
      <c r="AD29" s="277">
        <v>0</v>
      </c>
      <c r="AE29" s="277">
        <v>0</v>
      </c>
      <c r="AF29" s="277">
        <v>0</v>
      </c>
      <c r="AG29" s="277">
        <v>0</v>
      </c>
      <c r="AH29" s="277">
        <v>0</v>
      </c>
      <c r="AI29" s="277">
        <v>0</v>
      </c>
      <c r="AJ29" s="277">
        <v>0</v>
      </c>
      <c r="AK29" s="277">
        <v>0</v>
      </c>
      <c r="AL29" s="277">
        <v>0</v>
      </c>
      <c r="AM29" s="277">
        <v>-964445</v>
      </c>
      <c r="AN29" s="277">
        <v>-945156.1</v>
      </c>
      <c r="AO29" s="277">
        <v>0</v>
      </c>
      <c r="AP29" s="277">
        <v>-19288.9</v>
      </c>
      <c r="AQ29" s="277">
        <v>-1928890</v>
      </c>
      <c r="AR29" s="277">
        <v>23156289</v>
      </c>
      <c r="AS29" s="277">
        <v>22969667</v>
      </c>
      <c r="AT29" s="277">
        <v>0</v>
      </c>
      <c r="AU29" s="277">
        <v>463126</v>
      </c>
      <c r="AV29" s="277">
        <v>46589082</v>
      </c>
      <c r="AW29" s="277">
        <v>253873</v>
      </c>
      <c r="AX29" s="277">
        <v>0</v>
      </c>
      <c r="AY29" s="277">
        <v>5121</v>
      </c>
      <c r="AZ29" s="277">
        <v>258994</v>
      </c>
      <c r="BA29" s="277">
        <v>1435770</v>
      </c>
      <c r="BB29" s="277">
        <v>0</v>
      </c>
      <c r="BC29" s="277">
        <v>29301</v>
      </c>
      <c r="BD29" s="277">
        <v>1465071</v>
      </c>
      <c r="BE29" s="277">
        <v>143608</v>
      </c>
      <c r="BF29" s="277">
        <v>0</v>
      </c>
      <c r="BG29" s="277">
        <v>2931</v>
      </c>
      <c r="BH29" s="277">
        <v>146539</v>
      </c>
      <c r="BI29" s="277">
        <v>24760</v>
      </c>
      <c r="BJ29" s="277">
        <v>0</v>
      </c>
      <c r="BK29" s="277">
        <v>505</v>
      </c>
      <c r="BL29" s="277">
        <v>25265</v>
      </c>
      <c r="BM29" s="277">
        <v>23168</v>
      </c>
      <c r="BN29" s="277">
        <v>0</v>
      </c>
      <c r="BO29" s="277">
        <v>473</v>
      </c>
      <c r="BP29" s="277">
        <v>23641</v>
      </c>
      <c r="BQ29" s="277">
        <v>491952</v>
      </c>
      <c r="BR29" s="277">
        <v>0</v>
      </c>
      <c r="BS29" s="277">
        <v>10040</v>
      </c>
      <c r="BT29" s="277">
        <v>501992</v>
      </c>
      <c r="BU29" s="277">
        <v>2373131</v>
      </c>
      <c r="BV29" s="277">
        <v>0</v>
      </c>
      <c r="BW29" s="277">
        <v>48371</v>
      </c>
      <c r="BX29" s="277">
        <v>2421502</v>
      </c>
      <c r="BY29" s="278" t="s">
        <v>884</v>
      </c>
      <c r="BZ29" s="279" t="s">
        <v>1003</v>
      </c>
      <c r="CA29" s="280" t="s">
        <v>1009</v>
      </c>
    </row>
    <row r="30" spans="1:79" ht="12.75">
      <c r="A30" s="169">
        <v>23</v>
      </c>
      <c r="B30" s="172" t="s">
        <v>750</v>
      </c>
      <c r="C30" s="258" t="s">
        <v>751</v>
      </c>
      <c r="D30" s="277">
        <v>22141864</v>
      </c>
      <c r="E30" s="277">
        <v>0</v>
      </c>
      <c r="F30" s="277">
        <v>11544</v>
      </c>
      <c r="G30" s="277">
        <v>94759</v>
      </c>
      <c r="H30" s="277">
        <v>0</v>
      </c>
      <c r="I30" s="277">
        <v>94759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22035561</v>
      </c>
      <c r="Q30" s="277">
        <v>11017781</v>
      </c>
      <c r="R30" s="277">
        <v>8814224</v>
      </c>
      <c r="S30" s="277">
        <v>1983200</v>
      </c>
      <c r="T30" s="277">
        <v>220356</v>
      </c>
      <c r="U30" s="277">
        <v>22035561</v>
      </c>
      <c r="V30" s="277">
        <v>0</v>
      </c>
      <c r="W30" s="277">
        <v>11017781</v>
      </c>
      <c r="X30" s="277">
        <v>94759</v>
      </c>
      <c r="Y30" s="277">
        <v>94759</v>
      </c>
      <c r="Z30" s="277">
        <v>0</v>
      </c>
      <c r="AA30" s="277">
        <v>0</v>
      </c>
      <c r="AB30" s="277">
        <v>0</v>
      </c>
      <c r="AC30" s="277">
        <v>0</v>
      </c>
      <c r="AD30" s="277">
        <v>0</v>
      </c>
      <c r="AE30" s="277">
        <v>0</v>
      </c>
      <c r="AF30" s="277">
        <v>0</v>
      </c>
      <c r="AG30" s="277">
        <v>0</v>
      </c>
      <c r="AH30" s="277">
        <v>0</v>
      </c>
      <c r="AI30" s="277">
        <v>0</v>
      </c>
      <c r="AJ30" s="277">
        <v>0</v>
      </c>
      <c r="AK30" s="277">
        <v>0</v>
      </c>
      <c r="AL30" s="277">
        <v>0</v>
      </c>
      <c r="AM30" s="277">
        <v>74400.5</v>
      </c>
      <c r="AN30" s="277">
        <v>59520.4</v>
      </c>
      <c r="AO30" s="277">
        <v>13392.09</v>
      </c>
      <c r="AP30" s="277">
        <v>1488.01</v>
      </c>
      <c r="AQ30" s="277">
        <v>148801</v>
      </c>
      <c r="AR30" s="277">
        <v>11092182</v>
      </c>
      <c r="AS30" s="277">
        <v>8968503</v>
      </c>
      <c r="AT30" s="277">
        <v>1996592</v>
      </c>
      <c r="AU30" s="277">
        <v>221844</v>
      </c>
      <c r="AV30" s="277">
        <v>22279121</v>
      </c>
      <c r="AW30" s="277">
        <v>94575</v>
      </c>
      <c r="AX30" s="277">
        <v>21053</v>
      </c>
      <c r="AY30" s="277">
        <v>2339</v>
      </c>
      <c r="AZ30" s="277">
        <v>117967</v>
      </c>
      <c r="BA30" s="277">
        <v>238424</v>
      </c>
      <c r="BB30" s="277">
        <v>53646</v>
      </c>
      <c r="BC30" s="277">
        <v>5961</v>
      </c>
      <c r="BD30" s="277">
        <v>298031</v>
      </c>
      <c r="BE30" s="277">
        <v>0</v>
      </c>
      <c r="BF30" s="277">
        <v>0</v>
      </c>
      <c r="BG30" s="277">
        <v>0</v>
      </c>
      <c r="BH30" s="277">
        <v>0</v>
      </c>
      <c r="BI30" s="277">
        <v>0</v>
      </c>
      <c r="BJ30" s="277">
        <v>0</v>
      </c>
      <c r="BK30" s="277">
        <v>0</v>
      </c>
      <c r="BL30" s="277">
        <v>0</v>
      </c>
      <c r="BM30" s="277">
        <v>0</v>
      </c>
      <c r="BN30" s="277">
        <v>0</v>
      </c>
      <c r="BO30" s="277">
        <v>0</v>
      </c>
      <c r="BP30" s="277">
        <v>0</v>
      </c>
      <c r="BQ30" s="277">
        <v>105773</v>
      </c>
      <c r="BR30" s="277">
        <v>23799</v>
      </c>
      <c r="BS30" s="277">
        <v>2644</v>
      </c>
      <c r="BT30" s="277">
        <v>132216</v>
      </c>
      <c r="BU30" s="277">
        <v>438772</v>
      </c>
      <c r="BV30" s="277">
        <v>98498</v>
      </c>
      <c r="BW30" s="277">
        <v>10944</v>
      </c>
      <c r="BX30" s="277">
        <v>548214</v>
      </c>
      <c r="BY30" s="278" t="s">
        <v>750</v>
      </c>
      <c r="BZ30" s="279" t="s">
        <v>986</v>
      </c>
      <c r="CA30" s="280" t="s">
        <v>987</v>
      </c>
    </row>
    <row r="31" spans="1:79" ht="12.75">
      <c r="A31" s="169">
        <v>24</v>
      </c>
      <c r="B31" s="172" t="s">
        <v>752</v>
      </c>
      <c r="C31" s="258" t="s">
        <v>753</v>
      </c>
      <c r="D31" s="277">
        <v>85310535</v>
      </c>
      <c r="E31" s="277">
        <v>450000</v>
      </c>
      <c r="F31" s="277">
        <v>0</v>
      </c>
      <c r="G31" s="277">
        <v>401493</v>
      </c>
      <c r="H31" s="277">
        <v>0</v>
      </c>
      <c r="I31" s="277">
        <v>401493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85359042</v>
      </c>
      <c r="Q31" s="277">
        <v>42679521</v>
      </c>
      <c r="R31" s="277">
        <v>41825931</v>
      </c>
      <c r="S31" s="277">
        <v>0</v>
      </c>
      <c r="T31" s="277">
        <v>853590</v>
      </c>
      <c r="U31" s="277">
        <v>85359042</v>
      </c>
      <c r="V31" s="277">
        <v>0</v>
      </c>
      <c r="W31" s="277">
        <v>42679521</v>
      </c>
      <c r="X31" s="277">
        <v>401493</v>
      </c>
      <c r="Y31" s="277">
        <v>401493</v>
      </c>
      <c r="Z31" s="277">
        <v>0</v>
      </c>
      <c r="AA31" s="277">
        <v>0</v>
      </c>
      <c r="AB31" s="277">
        <v>0</v>
      </c>
      <c r="AC31" s="277">
        <v>0</v>
      </c>
      <c r="AD31" s="277">
        <v>0</v>
      </c>
      <c r="AE31" s="277">
        <v>0</v>
      </c>
      <c r="AF31" s="277">
        <v>0</v>
      </c>
      <c r="AG31" s="277">
        <v>0</v>
      </c>
      <c r="AH31" s="277">
        <v>0</v>
      </c>
      <c r="AI31" s="277">
        <v>0</v>
      </c>
      <c r="AJ31" s="277">
        <v>0</v>
      </c>
      <c r="AK31" s="277">
        <v>0</v>
      </c>
      <c r="AL31" s="277">
        <v>0</v>
      </c>
      <c r="AM31" s="277">
        <v>-3881844.5</v>
      </c>
      <c r="AN31" s="277">
        <v>-3804207.6</v>
      </c>
      <c r="AO31" s="277">
        <v>0</v>
      </c>
      <c r="AP31" s="277">
        <v>-77636.89</v>
      </c>
      <c r="AQ31" s="277">
        <v>-7763689</v>
      </c>
      <c r="AR31" s="277">
        <v>38797677</v>
      </c>
      <c r="AS31" s="277">
        <v>38423216</v>
      </c>
      <c r="AT31" s="277">
        <v>0</v>
      </c>
      <c r="AU31" s="277">
        <v>775953</v>
      </c>
      <c r="AV31" s="277">
        <v>77996846</v>
      </c>
      <c r="AW31" s="277">
        <v>448274</v>
      </c>
      <c r="AX31" s="277">
        <v>0</v>
      </c>
      <c r="AY31" s="277">
        <v>9061</v>
      </c>
      <c r="AZ31" s="277">
        <v>457335</v>
      </c>
      <c r="BA31" s="277">
        <v>1757966</v>
      </c>
      <c r="BB31" s="277">
        <v>0</v>
      </c>
      <c r="BC31" s="277">
        <v>35877</v>
      </c>
      <c r="BD31" s="277">
        <v>1793843</v>
      </c>
      <c r="BE31" s="277">
        <v>0</v>
      </c>
      <c r="BF31" s="277">
        <v>0</v>
      </c>
      <c r="BG31" s="277">
        <v>0</v>
      </c>
      <c r="BH31" s="277">
        <v>0</v>
      </c>
      <c r="BI31" s="277">
        <v>0</v>
      </c>
      <c r="BJ31" s="277">
        <v>0</v>
      </c>
      <c r="BK31" s="277">
        <v>0</v>
      </c>
      <c r="BL31" s="277">
        <v>0</v>
      </c>
      <c r="BM31" s="277">
        <v>581862</v>
      </c>
      <c r="BN31" s="277">
        <v>0</v>
      </c>
      <c r="BO31" s="277">
        <v>11875</v>
      </c>
      <c r="BP31" s="277">
        <v>593737</v>
      </c>
      <c r="BQ31" s="277">
        <v>627915</v>
      </c>
      <c r="BR31" s="277">
        <v>0</v>
      </c>
      <c r="BS31" s="277">
        <v>12815</v>
      </c>
      <c r="BT31" s="277">
        <v>640730</v>
      </c>
      <c r="BU31" s="277">
        <v>3416017</v>
      </c>
      <c r="BV31" s="277">
        <v>0</v>
      </c>
      <c r="BW31" s="277">
        <v>69628</v>
      </c>
      <c r="BX31" s="277">
        <v>3485645</v>
      </c>
      <c r="BY31" s="278" t="s">
        <v>752</v>
      </c>
      <c r="BZ31" s="279" t="s">
        <v>996</v>
      </c>
      <c r="CA31" s="280" t="s">
        <v>1010</v>
      </c>
    </row>
    <row r="32" spans="1:79" ht="12.75">
      <c r="A32" s="169">
        <v>25</v>
      </c>
      <c r="B32" s="172" t="s">
        <v>754</v>
      </c>
      <c r="C32" s="258" t="s">
        <v>755</v>
      </c>
      <c r="D32" s="277">
        <v>18551404</v>
      </c>
      <c r="E32" s="277">
        <v>6344</v>
      </c>
      <c r="F32" s="277">
        <v>0</v>
      </c>
      <c r="G32" s="277">
        <v>87465</v>
      </c>
      <c r="H32" s="277">
        <v>0</v>
      </c>
      <c r="I32" s="277">
        <v>87465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18470283</v>
      </c>
      <c r="Q32" s="277">
        <v>9235142</v>
      </c>
      <c r="R32" s="277">
        <v>7388113</v>
      </c>
      <c r="S32" s="277">
        <v>1847028</v>
      </c>
      <c r="T32" s="277">
        <v>0</v>
      </c>
      <c r="U32" s="277">
        <v>18470283</v>
      </c>
      <c r="V32" s="277">
        <v>0</v>
      </c>
      <c r="W32" s="277">
        <v>9235142</v>
      </c>
      <c r="X32" s="277">
        <v>87465</v>
      </c>
      <c r="Y32" s="277">
        <v>87465</v>
      </c>
      <c r="Z32" s="277">
        <v>0</v>
      </c>
      <c r="AA32" s="277">
        <v>0</v>
      </c>
      <c r="AB32" s="277">
        <v>0</v>
      </c>
      <c r="AC32" s="277">
        <v>0</v>
      </c>
      <c r="AD32" s="277">
        <v>0</v>
      </c>
      <c r="AE32" s="277">
        <v>0</v>
      </c>
      <c r="AF32" s="277">
        <v>0</v>
      </c>
      <c r="AG32" s="277">
        <v>0</v>
      </c>
      <c r="AH32" s="277">
        <v>0</v>
      </c>
      <c r="AI32" s="277">
        <v>0</v>
      </c>
      <c r="AJ32" s="277">
        <v>0</v>
      </c>
      <c r="AK32" s="277">
        <v>0</v>
      </c>
      <c r="AL32" s="277">
        <v>0</v>
      </c>
      <c r="AM32" s="277">
        <v>-539323.78</v>
      </c>
      <c r="AN32" s="277">
        <v>-431459.02</v>
      </c>
      <c r="AO32" s="277">
        <v>-107864.76</v>
      </c>
      <c r="AP32" s="277">
        <v>0</v>
      </c>
      <c r="AQ32" s="277">
        <v>-1078647.6</v>
      </c>
      <c r="AR32" s="277">
        <v>8695818</v>
      </c>
      <c r="AS32" s="277">
        <v>7044119</v>
      </c>
      <c r="AT32" s="277">
        <v>1739163</v>
      </c>
      <c r="AU32" s="277">
        <v>0</v>
      </c>
      <c r="AV32" s="277">
        <v>17479100</v>
      </c>
      <c r="AW32" s="277">
        <v>79359</v>
      </c>
      <c r="AX32" s="277">
        <v>19608</v>
      </c>
      <c r="AY32" s="277">
        <v>0</v>
      </c>
      <c r="AZ32" s="277">
        <v>98967</v>
      </c>
      <c r="BA32" s="277">
        <v>267401</v>
      </c>
      <c r="BB32" s="277">
        <v>66850</v>
      </c>
      <c r="BC32" s="277">
        <v>0</v>
      </c>
      <c r="BD32" s="277">
        <v>334251</v>
      </c>
      <c r="BE32" s="277">
        <v>0</v>
      </c>
      <c r="BF32" s="277">
        <v>0</v>
      </c>
      <c r="BG32" s="277">
        <v>0</v>
      </c>
      <c r="BH32" s="277">
        <v>0</v>
      </c>
      <c r="BI32" s="277">
        <v>0</v>
      </c>
      <c r="BJ32" s="277">
        <v>0</v>
      </c>
      <c r="BK32" s="277">
        <v>0</v>
      </c>
      <c r="BL32" s="277">
        <v>0</v>
      </c>
      <c r="BM32" s="277">
        <v>8180</v>
      </c>
      <c r="BN32" s="277">
        <v>2045</v>
      </c>
      <c r="BO32" s="277">
        <v>0</v>
      </c>
      <c r="BP32" s="277">
        <v>10225</v>
      </c>
      <c r="BQ32" s="277">
        <v>126416</v>
      </c>
      <c r="BR32" s="277">
        <v>31604</v>
      </c>
      <c r="BS32" s="277">
        <v>0</v>
      </c>
      <c r="BT32" s="277">
        <v>158020</v>
      </c>
      <c r="BU32" s="277">
        <v>481356</v>
      </c>
      <c r="BV32" s="277">
        <v>120107</v>
      </c>
      <c r="BW32" s="277">
        <v>0</v>
      </c>
      <c r="BX32" s="277">
        <v>601463</v>
      </c>
      <c r="BY32" s="278" t="s">
        <v>754</v>
      </c>
      <c r="BZ32" s="279" t="s">
        <v>1011</v>
      </c>
      <c r="CA32" s="280" t="s">
        <v>984</v>
      </c>
    </row>
    <row r="33" spans="1:79" ht="12.75">
      <c r="A33" s="169">
        <v>26</v>
      </c>
      <c r="B33" s="172" t="s">
        <v>756</v>
      </c>
      <c r="C33" s="258" t="s">
        <v>757</v>
      </c>
      <c r="D33" s="277">
        <v>66047915.3</v>
      </c>
      <c r="E33" s="277">
        <v>0</v>
      </c>
      <c r="F33" s="277">
        <v>60558</v>
      </c>
      <c r="G33" s="277">
        <v>305240</v>
      </c>
      <c r="H33" s="277">
        <v>0</v>
      </c>
      <c r="I33" s="277">
        <v>305240</v>
      </c>
      <c r="J33" s="277">
        <v>0</v>
      </c>
      <c r="K33" s="277">
        <v>0</v>
      </c>
      <c r="L33" s="277">
        <v>0</v>
      </c>
      <c r="M33" s="277">
        <v>111</v>
      </c>
      <c r="N33" s="277">
        <v>111</v>
      </c>
      <c r="O33" s="277">
        <v>0</v>
      </c>
      <c r="P33" s="277">
        <v>65682006.3</v>
      </c>
      <c r="Q33" s="277">
        <v>32841003.3</v>
      </c>
      <c r="R33" s="277">
        <v>32184183</v>
      </c>
      <c r="S33" s="277">
        <v>0</v>
      </c>
      <c r="T33" s="277">
        <v>656820</v>
      </c>
      <c r="U33" s="277">
        <v>65682006</v>
      </c>
      <c r="V33" s="277">
        <v>0</v>
      </c>
      <c r="W33" s="277">
        <v>32841003.3</v>
      </c>
      <c r="X33" s="277">
        <v>305240</v>
      </c>
      <c r="Y33" s="277">
        <v>305240</v>
      </c>
      <c r="Z33" s="277">
        <v>0</v>
      </c>
      <c r="AA33" s="277">
        <v>0</v>
      </c>
      <c r="AB33" s="277">
        <v>0</v>
      </c>
      <c r="AC33" s="277">
        <v>0</v>
      </c>
      <c r="AD33" s="277">
        <v>111</v>
      </c>
      <c r="AE33" s="277">
        <v>0</v>
      </c>
      <c r="AF33" s="277">
        <v>111</v>
      </c>
      <c r="AG33" s="277">
        <v>0</v>
      </c>
      <c r="AH33" s="277">
        <v>0</v>
      </c>
      <c r="AI33" s="277">
        <v>0</v>
      </c>
      <c r="AJ33" s="277">
        <v>0</v>
      </c>
      <c r="AK33" s="277">
        <v>0</v>
      </c>
      <c r="AL33" s="277">
        <v>0</v>
      </c>
      <c r="AM33" s="277">
        <v>-151316</v>
      </c>
      <c r="AN33" s="277">
        <v>-148289.68</v>
      </c>
      <c r="AO33" s="277">
        <v>0</v>
      </c>
      <c r="AP33" s="277">
        <v>-3026.32</v>
      </c>
      <c r="AQ33" s="277">
        <v>-302632</v>
      </c>
      <c r="AR33" s="277">
        <v>32689687</v>
      </c>
      <c r="AS33" s="277">
        <v>32341244</v>
      </c>
      <c r="AT33" s="277">
        <v>0</v>
      </c>
      <c r="AU33" s="277">
        <v>653794</v>
      </c>
      <c r="AV33" s="277">
        <v>65684725</v>
      </c>
      <c r="AW33" s="277">
        <v>344900</v>
      </c>
      <c r="AX33" s="277">
        <v>0</v>
      </c>
      <c r="AY33" s="277">
        <v>6973</v>
      </c>
      <c r="AZ33" s="277">
        <v>351873</v>
      </c>
      <c r="BA33" s="277">
        <v>1082169</v>
      </c>
      <c r="BB33" s="277">
        <v>0</v>
      </c>
      <c r="BC33" s="277">
        <v>22085</v>
      </c>
      <c r="BD33" s="277">
        <v>1104254</v>
      </c>
      <c r="BE33" s="277">
        <v>0</v>
      </c>
      <c r="BF33" s="277">
        <v>0</v>
      </c>
      <c r="BG33" s="277">
        <v>0</v>
      </c>
      <c r="BH33" s="277">
        <v>0</v>
      </c>
      <c r="BI33" s="277">
        <v>0</v>
      </c>
      <c r="BJ33" s="277">
        <v>0</v>
      </c>
      <c r="BK33" s="277">
        <v>0</v>
      </c>
      <c r="BL33" s="277">
        <v>0</v>
      </c>
      <c r="BM33" s="277">
        <v>108734</v>
      </c>
      <c r="BN33" s="277">
        <v>0</v>
      </c>
      <c r="BO33" s="277">
        <v>2219</v>
      </c>
      <c r="BP33" s="277">
        <v>110953</v>
      </c>
      <c r="BQ33" s="277">
        <v>526791</v>
      </c>
      <c r="BR33" s="277">
        <v>0</v>
      </c>
      <c r="BS33" s="277">
        <v>10751</v>
      </c>
      <c r="BT33" s="277">
        <v>537542</v>
      </c>
      <c r="BU33" s="277">
        <v>2062594</v>
      </c>
      <c r="BV33" s="277">
        <v>0</v>
      </c>
      <c r="BW33" s="277">
        <v>42028</v>
      </c>
      <c r="BX33" s="277">
        <v>2104622</v>
      </c>
      <c r="BY33" s="278" t="s">
        <v>885</v>
      </c>
      <c r="BZ33" s="279" t="s">
        <v>1003</v>
      </c>
      <c r="CA33" s="280" t="s">
        <v>1012</v>
      </c>
    </row>
    <row r="34" spans="1:79" ht="12.75">
      <c r="A34" s="169">
        <v>27</v>
      </c>
      <c r="B34" s="172" t="s">
        <v>758</v>
      </c>
      <c r="C34" s="258" t="s">
        <v>759</v>
      </c>
      <c r="D34" s="277">
        <v>70352749</v>
      </c>
      <c r="E34" s="277">
        <v>75138</v>
      </c>
      <c r="F34" s="277">
        <v>0</v>
      </c>
      <c r="G34" s="277">
        <v>157208</v>
      </c>
      <c r="H34" s="277">
        <v>0</v>
      </c>
      <c r="I34" s="277">
        <v>157208</v>
      </c>
      <c r="J34" s="277">
        <v>0</v>
      </c>
      <c r="K34" s="277">
        <v>0</v>
      </c>
      <c r="L34" s="277">
        <v>0</v>
      </c>
      <c r="M34" s="277">
        <v>803</v>
      </c>
      <c r="N34" s="277">
        <v>803</v>
      </c>
      <c r="O34" s="277">
        <v>0</v>
      </c>
      <c r="P34" s="277">
        <v>70269876</v>
      </c>
      <c r="Q34" s="277">
        <v>35134938</v>
      </c>
      <c r="R34" s="277">
        <v>34432239</v>
      </c>
      <c r="S34" s="277">
        <v>0</v>
      </c>
      <c r="T34" s="277">
        <v>702699</v>
      </c>
      <c r="U34" s="277">
        <v>70269876</v>
      </c>
      <c r="V34" s="277">
        <v>67401.5</v>
      </c>
      <c r="W34" s="277">
        <v>35067537</v>
      </c>
      <c r="X34" s="277">
        <v>157208</v>
      </c>
      <c r="Y34" s="277">
        <v>157208</v>
      </c>
      <c r="Z34" s="277">
        <v>0</v>
      </c>
      <c r="AA34" s="277">
        <v>0</v>
      </c>
      <c r="AB34" s="277">
        <v>0</v>
      </c>
      <c r="AC34" s="277">
        <v>0</v>
      </c>
      <c r="AD34" s="277">
        <v>803</v>
      </c>
      <c r="AE34" s="277">
        <v>0</v>
      </c>
      <c r="AF34" s="277">
        <v>803</v>
      </c>
      <c r="AG34" s="277">
        <v>66053.5</v>
      </c>
      <c r="AH34" s="277">
        <v>0</v>
      </c>
      <c r="AI34" s="277">
        <v>1348</v>
      </c>
      <c r="AJ34" s="277">
        <v>67401.5</v>
      </c>
      <c r="AK34" s="277">
        <v>0</v>
      </c>
      <c r="AL34" s="277">
        <v>0</v>
      </c>
      <c r="AM34" s="277">
        <v>6451363</v>
      </c>
      <c r="AN34" s="277">
        <v>6322336</v>
      </c>
      <c r="AO34" s="277">
        <v>0</v>
      </c>
      <c r="AP34" s="277">
        <v>129027</v>
      </c>
      <c r="AQ34" s="277">
        <v>12902726</v>
      </c>
      <c r="AR34" s="277">
        <v>41518900</v>
      </c>
      <c r="AS34" s="277">
        <v>40978640</v>
      </c>
      <c r="AT34" s="277">
        <v>0</v>
      </c>
      <c r="AU34" s="277">
        <v>833074</v>
      </c>
      <c r="AV34" s="277">
        <v>83330614</v>
      </c>
      <c r="AW34" s="277">
        <v>367901</v>
      </c>
      <c r="AX34" s="277">
        <v>0</v>
      </c>
      <c r="AY34" s="277">
        <v>7474</v>
      </c>
      <c r="AZ34" s="277">
        <v>375375</v>
      </c>
      <c r="BA34" s="277">
        <v>215345</v>
      </c>
      <c r="BB34" s="277">
        <v>0</v>
      </c>
      <c r="BC34" s="277">
        <v>4395</v>
      </c>
      <c r="BD34" s="277">
        <v>219740</v>
      </c>
      <c r="BE34" s="277">
        <v>24760</v>
      </c>
      <c r="BF34" s="277">
        <v>0</v>
      </c>
      <c r="BG34" s="277">
        <v>505</v>
      </c>
      <c r="BH34" s="277">
        <v>25265</v>
      </c>
      <c r="BI34" s="277">
        <v>0</v>
      </c>
      <c r="BJ34" s="277">
        <v>0</v>
      </c>
      <c r="BK34" s="277">
        <v>0</v>
      </c>
      <c r="BL34" s="277">
        <v>0</v>
      </c>
      <c r="BM34" s="277">
        <v>24760</v>
      </c>
      <c r="BN34" s="277">
        <v>0</v>
      </c>
      <c r="BO34" s="277">
        <v>505</v>
      </c>
      <c r="BP34" s="277">
        <v>25265</v>
      </c>
      <c r="BQ34" s="277">
        <v>272361</v>
      </c>
      <c r="BR34" s="277">
        <v>0</v>
      </c>
      <c r="BS34" s="277">
        <v>5558</v>
      </c>
      <c r="BT34" s="277">
        <v>277919</v>
      </c>
      <c r="BU34" s="277">
        <v>905127</v>
      </c>
      <c r="BV34" s="277">
        <v>0</v>
      </c>
      <c r="BW34" s="277">
        <v>18437</v>
      </c>
      <c r="BX34" s="277">
        <v>923564</v>
      </c>
      <c r="BY34" s="278" t="s">
        <v>886</v>
      </c>
      <c r="BZ34" s="279" t="s">
        <v>1003</v>
      </c>
      <c r="CA34" s="280" t="s">
        <v>1013</v>
      </c>
    </row>
    <row r="35" spans="1:79" ht="12.75">
      <c r="A35" s="169">
        <v>28</v>
      </c>
      <c r="B35" s="172" t="s">
        <v>760</v>
      </c>
      <c r="C35" s="258" t="s">
        <v>761</v>
      </c>
      <c r="D35" s="277">
        <v>136732392</v>
      </c>
      <c r="E35" s="277">
        <v>227109</v>
      </c>
      <c r="F35" s="277">
        <v>0</v>
      </c>
      <c r="G35" s="277">
        <v>733780</v>
      </c>
      <c r="H35" s="277">
        <v>0</v>
      </c>
      <c r="I35" s="277">
        <v>733780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136225721</v>
      </c>
      <c r="Q35" s="277">
        <v>68112861</v>
      </c>
      <c r="R35" s="277">
        <v>66750603</v>
      </c>
      <c r="S35" s="277">
        <v>0</v>
      </c>
      <c r="T35" s="277">
        <v>1362257</v>
      </c>
      <c r="U35" s="277">
        <v>136225721</v>
      </c>
      <c r="V35" s="277">
        <v>0</v>
      </c>
      <c r="W35" s="277">
        <v>68112861</v>
      </c>
      <c r="X35" s="277">
        <v>733780</v>
      </c>
      <c r="Y35" s="277">
        <v>733780</v>
      </c>
      <c r="Z35" s="277">
        <v>0</v>
      </c>
      <c r="AA35" s="277">
        <v>0</v>
      </c>
      <c r="AB35" s="277">
        <v>0</v>
      </c>
      <c r="AC35" s="277">
        <v>0</v>
      </c>
      <c r="AD35" s="277">
        <v>0</v>
      </c>
      <c r="AE35" s="277">
        <v>0</v>
      </c>
      <c r="AF35" s="277">
        <v>0</v>
      </c>
      <c r="AG35" s="277">
        <v>0</v>
      </c>
      <c r="AH35" s="277">
        <v>0</v>
      </c>
      <c r="AI35" s="277">
        <v>0</v>
      </c>
      <c r="AJ35" s="277">
        <v>0</v>
      </c>
      <c r="AK35" s="277">
        <v>0</v>
      </c>
      <c r="AL35" s="277">
        <v>0</v>
      </c>
      <c r="AM35" s="277">
        <v>-2547763.5</v>
      </c>
      <c r="AN35" s="277">
        <v>-2496808.2</v>
      </c>
      <c r="AO35" s="277">
        <v>0</v>
      </c>
      <c r="AP35" s="277">
        <v>-50955.27</v>
      </c>
      <c r="AQ35" s="277">
        <v>-5095527</v>
      </c>
      <c r="AR35" s="277">
        <v>65565098</v>
      </c>
      <c r="AS35" s="277">
        <v>64987575</v>
      </c>
      <c r="AT35" s="277">
        <v>0</v>
      </c>
      <c r="AU35" s="277">
        <v>1311302</v>
      </c>
      <c r="AV35" s="277">
        <v>131863974</v>
      </c>
      <c r="AW35" s="277">
        <v>716395</v>
      </c>
      <c r="AX35" s="277">
        <v>0</v>
      </c>
      <c r="AY35" s="277">
        <v>14461</v>
      </c>
      <c r="AZ35" s="277">
        <v>730856</v>
      </c>
      <c r="BA35" s="277">
        <v>3609332</v>
      </c>
      <c r="BB35" s="277">
        <v>0</v>
      </c>
      <c r="BC35" s="277">
        <v>73660</v>
      </c>
      <c r="BD35" s="277">
        <v>3682992</v>
      </c>
      <c r="BE35" s="277">
        <v>4952</v>
      </c>
      <c r="BF35" s="277">
        <v>0</v>
      </c>
      <c r="BG35" s="277">
        <v>101</v>
      </c>
      <c r="BH35" s="277">
        <v>5053</v>
      </c>
      <c r="BI35" s="277">
        <v>9904</v>
      </c>
      <c r="BJ35" s="277">
        <v>0</v>
      </c>
      <c r="BK35" s="277">
        <v>202</v>
      </c>
      <c r="BL35" s="277">
        <v>10106</v>
      </c>
      <c r="BM35" s="277">
        <v>123800</v>
      </c>
      <c r="BN35" s="277">
        <v>0</v>
      </c>
      <c r="BO35" s="277">
        <v>2527</v>
      </c>
      <c r="BP35" s="277">
        <v>126327</v>
      </c>
      <c r="BQ35" s="277">
        <v>1188484</v>
      </c>
      <c r="BR35" s="277">
        <v>0</v>
      </c>
      <c r="BS35" s="277">
        <v>24255</v>
      </c>
      <c r="BT35" s="277">
        <v>1212739</v>
      </c>
      <c r="BU35" s="277">
        <v>5652867</v>
      </c>
      <c r="BV35" s="277">
        <v>0</v>
      </c>
      <c r="BW35" s="277">
        <v>115206</v>
      </c>
      <c r="BX35" s="277">
        <v>5768073</v>
      </c>
      <c r="BY35" s="278" t="s">
        <v>760</v>
      </c>
      <c r="BZ35" s="279" t="s">
        <v>996</v>
      </c>
      <c r="CA35" s="280" t="s">
        <v>1014</v>
      </c>
    </row>
    <row r="36" spans="1:79" ht="12.75">
      <c r="A36" s="169">
        <v>29</v>
      </c>
      <c r="B36" s="172" t="s">
        <v>762</v>
      </c>
      <c r="C36" s="258" t="s">
        <v>763</v>
      </c>
      <c r="D36" s="277">
        <v>40027798</v>
      </c>
      <c r="E36" s="277">
        <v>64078</v>
      </c>
      <c r="F36" s="277">
        <v>0</v>
      </c>
      <c r="G36" s="277">
        <v>188604</v>
      </c>
      <c r="H36" s="277">
        <v>0</v>
      </c>
      <c r="I36" s="277">
        <v>188604</v>
      </c>
      <c r="J36" s="277">
        <v>0</v>
      </c>
      <c r="K36" s="277">
        <v>0</v>
      </c>
      <c r="L36" s="277">
        <v>0</v>
      </c>
      <c r="M36" s="277">
        <v>0</v>
      </c>
      <c r="N36" s="277">
        <v>0</v>
      </c>
      <c r="O36" s="277">
        <v>0</v>
      </c>
      <c r="P36" s="277">
        <v>39903272</v>
      </c>
      <c r="Q36" s="277">
        <v>19951636</v>
      </c>
      <c r="R36" s="277">
        <v>15961309</v>
      </c>
      <c r="S36" s="277">
        <v>3591294</v>
      </c>
      <c r="T36" s="277">
        <v>399033</v>
      </c>
      <c r="U36" s="277">
        <v>39903272</v>
      </c>
      <c r="V36" s="277">
        <v>0</v>
      </c>
      <c r="W36" s="277">
        <v>19951636</v>
      </c>
      <c r="X36" s="277">
        <v>188604</v>
      </c>
      <c r="Y36" s="277">
        <v>188604</v>
      </c>
      <c r="Z36" s="277">
        <v>0</v>
      </c>
      <c r="AA36" s="277">
        <v>0</v>
      </c>
      <c r="AB36" s="277">
        <v>0</v>
      </c>
      <c r="AC36" s="277">
        <v>0</v>
      </c>
      <c r="AD36" s="277">
        <v>0</v>
      </c>
      <c r="AE36" s="277">
        <v>0</v>
      </c>
      <c r="AF36" s="277">
        <v>0</v>
      </c>
      <c r="AG36" s="277">
        <v>0</v>
      </c>
      <c r="AH36" s="277">
        <v>0</v>
      </c>
      <c r="AI36" s="277">
        <v>0</v>
      </c>
      <c r="AJ36" s="277">
        <v>0</v>
      </c>
      <c r="AK36" s="277">
        <v>0</v>
      </c>
      <c r="AL36" s="277">
        <v>0</v>
      </c>
      <c r="AM36" s="277">
        <v>-509488.5</v>
      </c>
      <c r="AN36" s="277">
        <v>-407590.8</v>
      </c>
      <c r="AO36" s="277">
        <v>-91707.93</v>
      </c>
      <c r="AP36" s="277">
        <v>-10189.77</v>
      </c>
      <c r="AQ36" s="277">
        <v>-1018977</v>
      </c>
      <c r="AR36" s="277">
        <v>19442148</v>
      </c>
      <c r="AS36" s="277">
        <v>15742322</v>
      </c>
      <c r="AT36" s="277">
        <v>3499586</v>
      </c>
      <c r="AU36" s="277">
        <v>388843</v>
      </c>
      <c r="AV36" s="277">
        <v>39072899</v>
      </c>
      <c r="AW36" s="277">
        <v>171443</v>
      </c>
      <c r="AX36" s="277">
        <v>38124</v>
      </c>
      <c r="AY36" s="277">
        <v>4236</v>
      </c>
      <c r="AZ36" s="277">
        <v>213803</v>
      </c>
      <c r="BA36" s="277">
        <v>572540</v>
      </c>
      <c r="BB36" s="277">
        <v>128821</v>
      </c>
      <c r="BC36" s="277">
        <v>14313</v>
      </c>
      <c r="BD36" s="277">
        <v>715674</v>
      </c>
      <c r="BE36" s="277">
        <v>0</v>
      </c>
      <c r="BF36" s="277">
        <v>0</v>
      </c>
      <c r="BG36" s="277">
        <v>0</v>
      </c>
      <c r="BH36" s="277">
        <v>0</v>
      </c>
      <c r="BI36" s="277">
        <v>21896</v>
      </c>
      <c r="BJ36" s="277">
        <v>4927</v>
      </c>
      <c r="BK36" s="277">
        <v>547</v>
      </c>
      <c r="BL36" s="277">
        <v>27370</v>
      </c>
      <c r="BM36" s="277">
        <v>134854</v>
      </c>
      <c r="BN36" s="277">
        <v>30342</v>
      </c>
      <c r="BO36" s="277">
        <v>3371</v>
      </c>
      <c r="BP36" s="277">
        <v>168567</v>
      </c>
      <c r="BQ36" s="277">
        <v>214857</v>
      </c>
      <c r="BR36" s="277">
        <v>48343</v>
      </c>
      <c r="BS36" s="277">
        <v>5371</v>
      </c>
      <c r="BT36" s="277">
        <v>268571</v>
      </c>
      <c r="BU36" s="277">
        <v>1115590</v>
      </c>
      <c r="BV36" s="277">
        <v>250557</v>
      </c>
      <c r="BW36" s="277">
        <v>27838</v>
      </c>
      <c r="BX36" s="277">
        <v>1393985</v>
      </c>
      <c r="BY36" s="278" t="s">
        <v>762</v>
      </c>
      <c r="BZ36" s="279" t="s">
        <v>998</v>
      </c>
      <c r="CA36" s="280" t="s">
        <v>999</v>
      </c>
    </row>
    <row r="37" spans="1:79" ht="12.75">
      <c r="A37" s="169">
        <v>30</v>
      </c>
      <c r="B37" s="172" t="s">
        <v>764</v>
      </c>
      <c r="C37" s="258" t="s">
        <v>765</v>
      </c>
      <c r="D37" s="277">
        <v>28907738</v>
      </c>
      <c r="E37" s="277">
        <v>279725</v>
      </c>
      <c r="F37" s="277">
        <v>0</v>
      </c>
      <c r="G37" s="277">
        <v>167365</v>
      </c>
      <c r="H37" s="277">
        <v>0</v>
      </c>
      <c r="I37" s="277">
        <v>167365</v>
      </c>
      <c r="J37" s="277">
        <v>0</v>
      </c>
      <c r="K37" s="277">
        <v>0</v>
      </c>
      <c r="L37" s="277">
        <v>0</v>
      </c>
      <c r="M37" s="277">
        <v>75172</v>
      </c>
      <c r="N37" s="277">
        <v>75172</v>
      </c>
      <c r="O37" s="277">
        <v>0</v>
      </c>
      <c r="P37" s="277">
        <v>28944926</v>
      </c>
      <c r="Q37" s="277">
        <v>14472463</v>
      </c>
      <c r="R37" s="277">
        <v>11577970</v>
      </c>
      <c r="S37" s="277">
        <v>2894493</v>
      </c>
      <c r="T37" s="277">
        <v>0</v>
      </c>
      <c r="U37" s="277">
        <v>28944926</v>
      </c>
      <c r="V37" s="277">
        <v>0</v>
      </c>
      <c r="W37" s="277">
        <v>14472463</v>
      </c>
      <c r="X37" s="277">
        <v>167365</v>
      </c>
      <c r="Y37" s="277">
        <v>167365</v>
      </c>
      <c r="Z37" s="277">
        <v>0</v>
      </c>
      <c r="AA37" s="277">
        <v>0</v>
      </c>
      <c r="AB37" s="277">
        <v>0</v>
      </c>
      <c r="AC37" s="277">
        <v>0</v>
      </c>
      <c r="AD37" s="277">
        <v>75172</v>
      </c>
      <c r="AE37" s="277">
        <v>0</v>
      </c>
      <c r="AF37" s="277">
        <v>75172</v>
      </c>
      <c r="AG37" s="277">
        <v>0</v>
      </c>
      <c r="AH37" s="277">
        <v>0</v>
      </c>
      <c r="AI37" s="277">
        <v>0</v>
      </c>
      <c r="AJ37" s="277">
        <v>0</v>
      </c>
      <c r="AK37" s="277">
        <v>0</v>
      </c>
      <c r="AL37" s="277">
        <v>0</v>
      </c>
      <c r="AM37" s="277">
        <v>242391.5</v>
      </c>
      <c r="AN37" s="277">
        <v>193913.2</v>
      </c>
      <c r="AO37" s="277">
        <v>48478.3</v>
      </c>
      <c r="AP37" s="277">
        <v>0</v>
      </c>
      <c r="AQ37" s="277">
        <v>484783</v>
      </c>
      <c r="AR37" s="277">
        <v>14714855</v>
      </c>
      <c r="AS37" s="277">
        <v>12014420</v>
      </c>
      <c r="AT37" s="277">
        <v>2942971</v>
      </c>
      <c r="AU37" s="277">
        <v>0</v>
      </c>
      <c r="AV37" s="277">
        <v>29672246</v>
      </c>
      <c r="AW37" s="277">
        <v>125483</v>
      </c>
      <c r="AX37" s="277">
        <v>30727</v>
      </c>
      <c r="AY37" s="277">
        <v>0</v>
      </c>
      <c r="AZ37" s="277">
        <v>156210</v>
      </c>
      <c r="BA37" s="277">
        <v>551662</v>
      </c>
      <c r="BB37" s="277">
        <v>137915</v>
      </c>
      <c r="BC37" s="277">
        <v>0</v>
      </c>
      <c r="BD37" s="277">
        <v>689577</v>
      </c>
      <c r="BE37" s="277">
        <v>0</v>
      </c>
      <c r="BF37" s="277">
        <v>0</v>
      </c>
      <c r="BG37" s="277">
        <v>0</v>
      </c>
      <c r="BH37" s="277">
        <v>0</v>
      </c>
      <c r="BI37" s="277">
        <v>0</v>
      </c>
      <c r="BJ37" s="277">
        <v>0</v>
      </c>
      <c r="BK37" s="277">
        <v>0</v>
      </c>
      <c r="BL37" s="277">
        <v>0</v>
      </c>
      <c r="BM37" s="277">
        <v>18338</v>
      </c>
      <c r="BN37" s="277">
        <v>4585</v>
      </c>
      <c r="BO37" s="277">
        <v>0</v>
      </c>
      <c r="BP37" s="277">
        <v>22923</v>
      </c>
      <c r="BQ37" s="277">
        <v>208786</v>
      </c>
      <c r="BR37" s="277">
        <v>52196</v>
      </c>
      <c r="BS37" s="277">
        <v>0</v>
      </c>
      <c r="BT37" s="277">
        <v>260982</v>
      </c>
      <c r="BU37" s="277">
        <v>904269</v>
      </c>
      <c r="BV37" s="277">
        <v>225423</v>
      </c>
      <c r="BW37" s="277">
        <v>0</v>
      </c>
      <c r="BX37" s="277">
        <v>1129692</v>
      </c>
      <c r="BY37" s="278" t="s">
        <v>764</v>
      </c>
      <c r="BZ37" s="279" t="s">
        <v>1015</v>
      </c>
      <c r="CA37" s="280" t="s">
        <v>984</v>
      </c>
    </row>
    <row r="38" spans="1:79" ht="12.75">
      <c r="A38" s="169">
        <v>31</v>
      </c>
      <c r="B38" s="172" t="s">
        <v>766</v>
      </c>
      <c r="C38" s="258" t="s">
        <v>767</v>
      </c>
      <c r="D38" s="277">
        <v>111069042</v>
      </c>
      <c r="E38" s="277">
        <v>59299</v>
      </c>
      <c r="F38" s="277">
        <v>0</v>
      </c>
      <c r="G38" s="277">
        <v>417441</v>
      </c>
      <c r="H38" s="277">
        <v>0</v>
      </c>
      <c r="I38" s="277">
        <v>417441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110710900</v>
      </c>
      <c r="Q38" s="277">
        <v>55355450</v>
      </c>
      <c r="R38" s="277">
        <v>33213270</v>
      </c>
      <c r="S38" s="277">
        <v>22142180</v>
      </c>
      <c r="T38" s="277">
        <v>0</v>
      </c>
      <c r="U38" s="277">
        <v>110710900</v>
      </c>
      <c r="V38" s="277">
        <v>0</v>
      </c>
      <c r="W38" s="277">
        <v>55355450</v>
      </c>
      <c r="X38" s="277">
        <v>417441</v>
      </c>
      <c r="Y38" s="277">
        <v>417441</v>
      </c>
      <c r="Z38" s="277">
        <v>0</v>
      </c>
      <c r="AA38" s="277">
        <v>0</v>
      </c>
      <c r="AB38" s="277">
        <v>0</v>
      </c>
      <c r="AC38" s="277">
        <v>0</v>
      </c>
      <c r="AD38" s="277">
        <v>0</v>
      </c>
      <c r="AE38" s="277">
        <v>0</v>
      </c>
      <c r="AF38" s="277">
        <v>0</v>
      </c>
      <c r="AG38" s="277">
        <v>0</v>
      </c>
      <c r="AH38" s="277">
        <v>0</v>
      </c>
      <c r="AI38" s="277">
        <v>0</v>
      </c>
      <c r="AJ38" s="277">
        <v>0</v>
      </c>
      <c r="AK38" s="277">
        <v>0</v>
      </c>
      <c r="AL38" s="277">
        <v>0</v>
      </c>
      <c r="AM38" s="277">
        <v>-350327.5</v>
      </c>
      <c r="AN38" s="277">
        <v>-210196.5</v>
      </c>
      <c r="AO38" s="277">
        <v>-140131</v>
      </c>
      <c r="AP38" s="277">
        <v>0</v>
      </c>
      <c r="AQ38" s="277">
        <v>-700655</v>
      </c>
      <c r="AR38" s="277">
        <v>55005123</v>
      </c>
      <c r="AS38" s="277">
        <v>33420515</v>
      </c>
      <c r="AT38" s="277">
        <v>22002049</v>
      </c>
      <c r="AU38" s="277">
        <v>0</v>
      </c>
      <c r="AV38" s="277">
        <v>110427686</v>
      </c>
      <c r="AW38" s="277">
        <v>357014</v>
      </c>
      <c r="AX38" s="277">
        <v>235055</v>
      </c>
      <c r="AY38" s="277">
        <v>0</v>
      </c>
      <c r="AZ38" s="277">
        <v>592069</v>
      </c>
      <c r="BA38" s="277">
        <v>611162</v>
      </c>
      <c r="BB38" s="277">
        <v>407442</v>
      </c>
      <c r="BC38" s="277">
        <v>0</v>
      </c>
      <c r="BD38" s="277">
        <v>1018604</v>
      </c>
      <c r="BE38" s="277">
        <v>0</v>
      </c>
      <c r="BF38" s="277">
        <v>0</v>
      </c>
      <c r="BG38" s="277">
        <v>0</v>
      </c>
      <c r="BH38" s="277">
        <v>0</v>
      </c>
      <c r="BI38" s="277">
        <v>30319</v>
      </c>
      <c r="BJ38" s="277">
        <v>20212</v>
      </c>
      <c r="BK38" s="277">
        <v>0</v>
      </c>
      <c r="BL38" s="277">
        <v>50531</v>
      </c>
      <c r="BM38" s="277">
        <v>75796</v>
      </c>
      <c r="BN38" s="277">
        <v>50531</v>
      </c>
      <c r="BO38" s="277">
        <v>0</v>
      </c>
      <c r="BP38" s="277">
        <v>126327</v>
      </c>
      <c r="BQ38" s="277">
        <v>636787</v>
      </c>
      <c r="BR38" s="277">
        <v>424525</v>
      </c>
      <c r="BS38" s="277">
        <v>0</v>
      </c>
      <c r="BT38" s="277">
        <v>1061312</v>
      </c>
      <c r="BU38" s="277">
        <v>1711078</v>
      </c>
      <c r="BV38" s="277">
        <v>1137765</v>
      </c>
      <c r="BW38" s="277">
        <v>0</v>
      </c>
      <c r="BX38" s="277">
        <v>2848843</v>
      </c>
      <c r="BY38" s="278" t="s">
        <v>766</v>
      </c>
      <c r="BZ38" s="279" t="s">
        <v>995</v>
      </c>
      <c r="CA38" s="279" t="s">
        <v>983</v>
      </c>
    </row>
    <row r="39" spans="1:79" ht="12.75">
      <c r="A39" s="169">
        <v>32</v>
      </c>
      <c r="B39" s="172" t="s">
        <v>768</v>
      </c>
      <c r="C39" s="258" t="s">
        <v>769</v>
      </c>
      <c r="D39" s="277">
        <v>28325967.8</v>
      </c>
      <c r="E39" s="277">
        <v>231314.09</v>
      </c>
      <c r="F39" s="277">
        <v>0</v>
      </c>
      <c r="G39" s="277">
        <v>104749</v>
      </c>
      <c r="H39" s="277">
        <v>0</v>
      </c>
      <c r="I39" s="277">
        <v>104749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28452532.9</v>
      </c>
      <c r="Q39" s="277">
        <v>14226266.9</v>
      </c>
      <c r="R39" s="277">
        <v>11381013</v>
      </c>
      <c r="S39" s="277">
        <v>2560728</v>
      </c>
      <c r="T39" s="277">
        <v>284525</v>
      </c>
      <c r="U39" s="277">
        <v>28452533</v>
      </c>
      <c r="V39" s="277">
        <v>0</v>
      </c>
      <c r="W39" s="277">
        <v>14226266.9</v>
      </c>
      <c r="X39" s="277">
        <v>104749</v>
      </c>
      <c r="Y39" s="277">
        <v>104749</v>
      </c>
      <c r="Z39" s="277">
        <v>0</v>
      </c>
      <c r="AA39" s="277">
        <v>0</v>
      </c>
      <c r="AB39" s="277">
        <v>0</v>
      </c>
      <c r="AC39" s="277">
        <v>0</v>
      </c>
      <c r="AD39" s="277">
        <v>0</v>
      </c>
      <c r="AE39" s="277">
        <v>0</v>
      </c>
      <c r="AF39" s="277">
        <v>0</v>
      </c>
      <c r="AG39" s="277">
        <v>0</v>
      </c>
      <c r="AH39" s="277">
        <v>0</v>
      </c>
      <c r="AI39" s="277">
        <v>0</v>
      </c>
      <c r="AJ39" s="277">
        <v>0</v>
      </c>
      <c r="AK39" s="277">
        <v>0</v>
      </c>
      <c r="AL39" s="277">
        <v>0</v>
      </c>
      <c r="AM39" s="277">
        <v>-225135</v>
      </c>
      <c r="AN39" s="277">
        <v>-180108</v>
      </c>
      <c r="AO39" s="277">
        <v>-40524.3</v>
      </c>
      <c r="AP39" s="277">
        <v>-4502.7</v>
      </c>
      <c r="AQ39" s="277">
        <v>-450270</v>
      </c>
      <c r="AR39" s="277">
        <v>14001132</v>
      </c>
      <c r="AS39" s="277">
        <v>11305654</v>
      </c>
      <c r="AT39" s="277">
        <v>2520204</v>
      </c>
      <c r="AU39" s="277">
        <v>280022</v>
      </c>
      <c r="AV39" s="277">
        <v>28107012</v>
      </c>
      <c r="AW39" s="277">
        <v>121930</v>
      </c>
      <c r="AX39" s="277">
        <v>27184</v>
      </c>
      <c r="AY39" s="277">
        <v>3020</v>
      </c>
      <c r="AZ39" s="277">
        <v>152134</v>
      </c>
      <c r="BA39" s="277">
        <v>210518</v>
      </c>
      <c r="BB39" s="277">
        <v>47367</v>
      </c>
      <c r="BC39" s="277">
        <v>5263</v>
      </c>
      <c r="BD39" s="277">
        <v>263148</v>
      </c>
      <c r="BE39" s="277">
        <v>0</v>
      </c>
      <c r="BF39" s="277">
        <v>0</v>
      </c>
      <c r="BG39" s="277">
        <v>0</v>
      </c>
      <c r="BH39" s="277">
        <v>0</v>
      </c>
      <c r="BI39" s="277">
        <v>0</v>
      </c>
      <c r="BJ39" s="277">
        <v>0</v>
      </c>
      <c r="BK39" s="277">
        <v>0</v>
      </c>
      <c r="BL39" s="277">
        <v>0</v>
      </c>
      <c r="BM39" s="277">
        <v>0</v>
      </c>
      <c r="BN39" s="277">
        <v>0</v>
      </c>
      <c r="BO39" s="277">
        <v>0</v>
      </c>
      <c r="BP39" s="277">
        <v>0</v>
      </c>
      <c r="BQ39" s="277">
        <v>286824</v>
      </c>
      <c r="BR39" s="277">
        <v>64536</v>
      </c>
      <c r="BS39" s="277">
        <v>7171</v>
      </c>
      <c r="BT39" s="277">
        <v>358531</v>
      </c>
      <c r="BU39" s="277">
        <v>619272</v>
      </c>
      <c r="BV39" s="277">
        <v>139087</v>
      </c>
      <c r="BW39" s="277">
        <v>15454</v>
      </c>
      <c r="BX39" s="277">
        <v>773813</v>
      </c>
      <c r="BY39" s="278" t="s">
        <v>768</v>
      </c>
      <c r="BZ39" s="279" t="s">
        <v>998</v>
      </c>
      <c r="CA39" s="280" t="s">
        <v>999</v>
      </c>
    </row>
    <row r="40" spans="1:79" ht="12.75">
      <c r="A40" s="169">
        <v>33</v>
      </c>
      <c r="B40" s="172" t="s">
        <v>770</v>
      </c>
      <c r="C40" s="258" t="s">
        <v>771</v>
      </c>
      <c r="D40" s="277">
        <v>105600545</v>
      </c>
      <c r="E40" s="277">
        <v>84754</v>
      </c>
      <c r="F40" s="277">
        <v>0</v>
      </c>
      <c r="G40" s="277">
        <v>418801</v>
      </c>
      <c r="H40" s="277">
        <v>0</v>
      </c>
      <c r="I40" s="277">
        <v>418801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105266498</v>
      </c>
      <c r="Q40" s="277">
        <v>52633249</v>
      </c>
      <c r="R40" s="277">
        <v>51580584</v>
      </c>
      <c r="S40" s="277">
        <v>0</v>
      </c>
      <c r="T40" s="277">
        <v>1052665</v>
      </c>
      <c r="U40" s="277">
        <v>105266498</v>
      </c>
      <c r="V40" s="277">
        <v>0</v>
      </c>
      <c r="W40" s="277">
        <v>52633249</v>
      </c>
      <c r="X40" s="277">
        <v>418801</v>
      </c>
      <c r="Y40" s="277">
        <v>418801</v>
      </c>
      <c r="Z40" s="277">
        <v>0</v>
      </c>
      <c r="AA40" s="277">
        <v>0</v>
      </c>
      <c r="AB40" s="277">
        <v>0</v>
      </c>
      <c r="AC40" s="277">
        <v>0</v>
      </c>
      <c r="AD40" s="277">
        <v>0</v>
      </c>
      <c r="AE40" s="277">
        <v>0</v>
      </c>
      <c r="AF40" s="277">
        <v>0</v>
      </c>
      <c r="AG40" s="277">
        <v>0</v>
      </c>
      <c r="AH40" s="277">
        <v>0</v>
      </c>
      <c r="AI40" s="277">
        <v>0</v>
      </c>
      <c r="AJ40" s="277">
        <v>0</v>
      </c>
      <c r="AK40" s="277">
        <v>0</v>
      </c>
      <c r="AL40" s="277">
        <v>0</v>
      </c>
      <c r="AM40" s="277">
        <v>2014273</v>
      </c>
      <c r="AN40" s="277">
        <v>1973987.54</v>
      </c>
      <c r="AO40" s="277">
        <v>0</v>
      </c>
      <c r="AP40" s="277">
        <v>40285.46</v>
      </c>
      <c r="AQ40" s="277">
        <v>4028546</v>
      </c>
      <c r="AR40" s="277">
        <v>54647522</v>
      </c>
      <c r="AS40" s="277">
        <v>53973373</v>
      </c>
      <c r="AT40" s="277">
        <v>0</v>
      </c>
      <c r="AU40" s="277">
        <v>1092950</v>
      </c>
      <c r="AV40" s="277">
        <v>109713845</v>
      </c>
      <c r="AW40" s="277">
        <v>552010</v>
      </c>
      <c r="AX40" s="277">
        <v>0</v>
      </c>
      <c r="AY40" s="277">
        <v>11175</v>
      </c>
      <c r="AZ40" s="277">
        <v>563185</v>
      </c>
      <c r="BA40" s="277">
        <v>1452270</v>
      </c>
      <c r="BB40" s="277">
        <v>0</v>
      </c>
      <c r="BC40" s="277">
        <v>29638</v>
      </c>
      <c r="BD40" s="277">
        <v>1481908</v>
      </c>
      <c r="BE40" s="277">
        <v>4952</v>
      </c>
      <c r="BF40" s="277">
        <v>0</v>
      </c>
      <c r="BG40" s="277">
        <v>101</v>
      </c>
      <c r="BH40" s="277">
        <v>5053</v>
      </c>
      <c r="BI40" s="277">
        <v>14856</v>
      </c>
      <c r="BJ40" s="277">
        <v>0</v>
      </c>
      <c r="BK40" s="277">
        <v>303</v>
      </c>
      <c r="BL40" s="277">
        <v>15159</v>
      </c>
      <c r="BM40" s="277">
        <v>38131</v>
      </c>
      <c r="BN40" s="277">
        <v>0</v>
      </c>
      <c r="BO40" s="277">
        <v>778</v>
      </c>
      <c r="BP40" s="277">
        <v>38909</v>
      </c>
      <c r="BQ40" s="277">
        <v>1122622</v>
      </c>
      <c r="BR40" s="277">
        <v>0</v>
      </c>
      <c r="BS40" s="277">
        <v>22911</v>
      </c>
      <c r="BT40" s="277">
        <v>1145533</v>
      </c>
      <c r="BU40" s="277">
        <v>3184841</v>
      </c>
      <c r="BV40" s="277">
        <v>0</v>
      </c>
      <c r="BW40" s="277">
        <v>64906</v>
      </c>
      <c r="BX40" s="277">
        <v>3249747</v>
      </c>
      <c r="BY40" s="278" t="s">
        <v>1016</v>
      </c>
      <c r="BZ40" s="279" t="s">
        <v>1003</v>
      </c>
      <c r="CA40" s="280" t="s">
        <v>1017</v>
      </c>
    </row>
    <row r="41" spans="1:79" ht="12.75">
      <c r="A41" s="169">
        <v>34</v>
      </c>
      <c r="B41" s="172" t="s">
        <v>772</v>
      </c>
      <c r="C41" s="258" t="s">
        <v>773</v>
      </c>
      <c r="D41" s="277">
        <v>208851869</v>
      </c>
      <c r="E41" s="277">
        <v>1647527</v>
      </c>
      <c r="F41" s="277">
        <v>0</v>
      </c>
      <c r="G41" s="277">
        <v>722649</v>
      </c>
      <c r="H41" s="277">
        <v>0</v>
      </c>
      <c r="I41" s="277">
        <v>722649</v>
      </c>
      <c r="J41" s="277">
        <v>0</v>
      </c>
      <c r="K41" s="277">
        <v>0</v>
      </c>
      <c r="L41" s="277">
        <v>4378558</v>
      </c>
      <c r="M41" s="277">
        <v>258</v>
      </c>
      <c r="N41" s="277">
        <v>258</v>
      </c>
      <c r="O41" s="277">
        <v>0</v>
      </c>
      <c r="P41" s="277">
        <v>205397931</v>
      </c>
      <c r="Q41" s="277">
        <v>102698966</v>
      </c>
      <c r="R41" s="277">
        <v>100644986</v>
      </c>
      <c r="S41" s="277">
        <v>0</v>
      </c>
      <c r="T41" s="277">
        <v>2053979</v>
      </c>
      <c r="U41" s="277">
        <v>205397931</v>
      </c>
      <c r="V41" s="277">
        <v>280000</v>
      </c>
      <c r="W41" s="277">
        <v>102418966</v>
      </c>
      <c r="X41" s="277">
        <v>722649</v>
      </c>
      <c r="Y41" s="277">
        <v>722649</v>
      </c>
      <c r="Z41" s="277">
        <v>0</v>
      </c>
      <c r="AA41" s="277">
        <v>0</v>
      </c>
      <c r="AB41" s="277">
        <v>4378558</v>
      </c>
      <c r="AC41" s="277">
        <v>4378558</v>
      </c>
      <c r="AD41" s="277">
        <v>258</v>
      </c>
      <c r="AE41" s="277">
        <v>0</v>
      </c>
      <c r="AF41" s="277">
        <v>258</v>
      </c>
      <c r="AG41" s="277">
        <v>280000</v>
      </c>
      <c r="AH41" s="277">
        <v>0</v>
      </c>
      <c r="AI41" s="277">
        <v>0</v>
      </c>
      <c r="AJ41" s="277">
        <v>280000</v>
      </c>
      <c r="AK41" s="277">
        <v>0</v>
      </c>
      <c r="AL41" s="277">
        <v>0</v>
      </c>
      <c r="AM41" s="277">
        <v>-2782690.5</v>
      </c>
      <c r="AN41" s="277">
        <v>-2727036.7</v>
      </c>
      <c r="AO41" s="277">
        <v>0</v>
      </c>
      <c r="AP41" s="277">
        <v>-55653.8</v>
      </c>
      <c r="AQ41" s="277">
        <v>-5565381</v>
      </c>
      <c r="AR41" s="277">
        <v>99636276</v>
      </c>
      <c r="AS41" s="277">
        <v>103299414</v>
      </c>
      <c r="AT41" s="277">
        <v>0</v>
      </c>
      <c r="AU41" s="277">
        <v>1998325</v>
      </c>
      <c r="AV41" s="277">
        <v>204934015</v>
      </c>
      <c r="AW41" s="277">
        <v>1125546</v>
      </c>
      <c r="AX41" s="277">
        <v>0</v>
      </c>
      <c r="AY41" s="277">
        <v>21804</v>
      </c>
      <c r="AZ41" s="277">
        <v>1147350</v>
      </c>
      <c r="BA41" s="277">
        <v>1330285</v>
      </c>
      <c r="BB41" s="277">
        <v>0</v>
      </c>
      <c r="BC41" s="277">
        <v>27149</v>
      </c>
      <c r="BD41" s="277">
        <v>1357434</v>
      </c>
      <c r="BE41" s="277">
        <v>49520</v>
      </c>
      <c r="BF41" s="277">
        <v>0</v>
      </c>
      <c r="BG41" s="277">
        <v>1011</v>
      </c>
      <c r="BH41" s="277">
        <v>50531</v>
      </c>
      <c r="BI41" s="277">
        <v>0</v>
      </c>
      <c r="BJ41" s="277">
        <v>0</v>
      </c>
      <c r="BK41" s="277">
        <v>0</v>
      </c>
      <c r="BL41" s="277">
        <v>0</v>
      </c>
      <c r="BM41" s="277">
        <v>619002</v>
      </c>
      <c r="BN41" s="277">
        <v>0</v>
      </c>
      <c r="BO41" s="277">
        <v>12633</v>
      </c>
      <c r="BP41" s="277">
        <v>631635</v>
      </c>
      <c r="BQ41" s="277">
        <v>990404</v>
      </c>
      <c r="BR41" s="277">
        <v>0</v>
      </c>
      <c r="BS41" s="277">
        <v>20212</v>
      </c>
      <c r="BT41" s="277">
        <v>1010616</v>
      </c>
      <c r="BU41" s="277">
        <v>4114757</v>
      </c>
      <c r="BV41" s="277">
        <v>0</v>
      </c>
      <c r="BW41" s="277">
        <v>82809</v>
      </c>
      <c r="BX41" s="277">
        <v>4197566</v>
      </c>
      <c r="BY41" s="278" t="s">
        <v>1018</v>
      </c>
      <c r="BZ41" s="279" t="s">
        <v>1003</v>
      </c>
      <c r="CA41" s="280" t="s">
        <v>1004</v>
      </c>
    </row>
    <row r="42" spans="1:79" ht="12.75">
      <c r="A42" s="169">
        <v>35</v>
      </c>
      <c r="B42" s="172" t="s">
        <v>774</v>
      </c>
      <c r="C42" s="258" t="s">
        <v>775</v>
      </c>
      <c r="D42" s="277">
        <v>29700093.5</v>
      </c>
      <c r="E42" s="277">
        <v>0</v>
      </c>
      <c r="F42" s="277">
        <v>1785</v>
      </c>
      <c r="G42" s="277">
        <v>137480</v>
      </c>
      <c r="H42" s="277">
        <v>0</v>
      </c>
      <c r="I42" s="277">
        <v>137480</v>
      </c>
      <c r="J42" s="277">
        <v>0</v>
      </c>
      <c r="K42" s="277">
        <v>0</v>
      </c>
      <c r="L42" s="277">
        <v>0</v>
      </c>
      <c r="M42" s="277">
        <v>5000</v>
      </c>
      <c r="N42" s="277">
        <v>5000</v>
      </c>
      <c r="O42" s="277">
        <v>0</v>
      </c>
      <c r="P42" s="277">
        <v>29555828.5</v>
      </c>
      <c r="Q42" s="277">
        <v>14777914.5</v>
      </c>
      <c r="R42" s="277">
        <v>11822331</v>
      </c>
      <c r="S42" s="277">
        <v>2955583</v>
      </c>
      <c r="T42" s="277">
        <v>0</v>
      </c>
      <c r="U42" s="277">
        <v>29555828</v>
      </c>
      <c r="V42" s="277">
        <v>0</v>
      </c>
      <c r="W42" s="277">
        <v>14777914.5</v>
      </c>
      <c r="X42" s="277">
        <v>137480</v>
      </c>
      <c r="Y42" s="277">
        <v>137480</v>
      </c>
      <c r="Z42" s="277">
        <v>0</v>
      </c>
      <c r="AA42" s="277">
        <v>0</v>
      </c>
      <c r="AB42" s="277">
        <v>0</v>
      </c>
      <c r="AC42" s="277">
        <v>0</v>
      </c>
      <c r="AD42" s="277">
        <v>5000</v>
      </c>
      <c r="AE42" s="277">
        <v>0</v>
      </c>
      <c r="AF42" s="277">
        <v>5000</v>
      </c>
      <c r="AG42" s="277">
        <v>0</v>
      </c>
      <c r="AH42" s="277">
        <v>0</v>
      </c>
      <c r="AI42" s="277">
        <v>0</v>
      </c>
      <c r="AJ42" s="277">
        <v>0</v>
      </c>
      <c r="AK42" s="277">
        <v>0</v>
      </c>
      <c r="AL42" s="277">
        <v>0</v>
      </c>
      <c r="AM42" s="277">
        <v>-22643</v>
      </c>
      <c r="AN42" s="277">
        <v>-18114.4</v>
      </c>
      <c r="AO42" s="277">
        <v>-4528.6</v>
      </c>
      <c r="AP42" s="277">
        <v>0</v>
      </c>
      <c r="AQ42" s="277">
        <v>-45286</v>
      </c>
      <c r="AR42" s="277">
        <v>14755271</v>
      </c>
      <c r="AS42" s="277">
        <v>11946697</v>
      </c>
      <c r="AT42" s="277">
        <v>2951054</v>
      </c>
      <c r="AU42" s="277">
        <v>0</v>
      </c>
      <c r="AV42" s="277">
        <v>29653022</v>
      </c>
      <c r="AW42" s="277">
        <v>127015</v>
      </c>
      <c r="AX42" s="277">
        <v>31376</v>
      </c>
      <c r="AY42" s="277">
        <v>0</v>
      </c>
      <c r="AZ42" s="277">
        <v>158391</v>
      </c>
      <c r="BA42" s="277">
        <v>484710</v>
      </c>
      <c r="BB42" s="277">
        <v>121178</v>
      </c>
      <c r="BC42" s="277">
        <v>0</v>
      </c>
      <c r="BD42" s="277">
        <v>605888</v>
      </c>
      <c r="BE42" s="277">
        <v>4851</v>
      </c>
      <c r="BF42" s="277">
        <v>1213</v>
      </c>
      <c r="BG42" s="277">
        <v>0</v>
      </c>
      <c r="BH42" s="277">
        <v>6064</v>
      </c>
      <c r="BI42" s="277">
        <v>20212</v>
      </c>
      <c r="BJ42" s="277">
        <v>5053</v>
      </c>
      <c r="BK42" s="277">
        <v>0</v>
      </c>
      <c r="BL42" s="277">
        <v>25265</v>
      </c>
      <c r="BM42" s="277">
        <v>10106</v>
      </c>
      <c r="BN42" s="277">
        <v>2527</v>
      </c>
      <c r="BO42" s="277">
        <v>0</v>
      </c>
      <c r="BP42" s="277">
        <v>12633</v>
      </c>
      <c r="BQ42" s="277">
        <v>131380</v>
      </c>
      <c r="BR42" s="277">
        <v>32845</v>
      </c>
      <c r="BS42" s="277">
        <v>0</v>
      </c>
      <c r="BT42" s="277">
        <v>164225</v>
      </c>
      <c r="BU42" s="277">
        <v>778274</v>
      </c>
      <c r="BV42" s="277">
        <v>194192</v>
      </c>
      <c r="BW42" s="277">
        <v>0</v>
      </c>
      <c r="BX42" s="277">
        <v>972466</v>
      </c>
      <c r="BY42" s="278" t="s">
        <v>774</v>
      </c>
      <c r="BZ42" s="279" t="s">
        <v>1015</v>
      </c>
      <c r="CA42" s="280" t="s">
        <v>984</v>
      </c>
    </row>
    <row r="43" spans="1:79" ht="12.75">
      <c r="A43" s="169">
        <v>36</v>
      </c>
      <c r="B43" s="172" t="s">
        <v>776</v>
      </c>
      <c r="C43" s="258" t="s">
        <v>777</v>
      </c>
      <c r="D43" s="277">
        <v>81877411</v>
      </c>
      <c r="E43" s="277">
        <v>19127</v>
      </c>
      <c r="F43" s="277">
        <v>0</v>
      </c>
      <c r="G43" s="277">
        <v>347201</v>
      </c>
      <c r="H43" s="277">
        <v>0</v>
      </c>
      <c r="I43" s="277">
        <v>347201</v>
      </c>
      <c r="J43" s="277">
        <v>0</v>
      </c>
      <c r="K43" s="277">
        <v>0</v>
      </c>
      <c r="L43" s="277">
        <v>0</v>
      </c>
      <c r="M43" s="277">
        <v>0</v>
      </c>
      <c r="N43" s="277">
        <v>0</v>
      </c>
      <c r="O43" s="277">
        <v>0</v>
      </c>
      <c r="P43" s="277">
        <v>81549337</v>
      </c>
      <c r="Q43" s="277">
        <v>40774669</v>
      </c>
      <c r="R43" s="277">
        <v>24464801</v>
      </c>
      <c r="S43" s="277">
        <v>16309867</v>
      </c>
      <c r="T43" s="277">
        <v>0</v>
      </c>
      <c r="U43" s="277">
        <v>81549337</v>
      </c>
      <c r="V43" s="277">
        <v>0</v>
      </c>
      <c r="W43" s="277">
        <v>40774669</v>
      </c>
      <c r="X43" s="277">
        <v>347201</v>
      </c>
      <c r="Y43" s="277">
        <v>347201</v>
      </c>
      <c r="Z43" s="277">
        <v>0</v>
      </c>
      <c r="AA43" s="277">
        <v>0</v>
      </c>
      <c r="AB43" s="277">
        <v>0</v>
      </c>
      <c r="AC43" s="277">
        <v>0</v>
      </c>
      <c r="AD43" s="277">
        <v>0</v>
      </c>
      <c r="AE43" s="277">
        <v>0</v>
      </c>
      <c r="AF43" s="277">
        <v>0</v>
      </c>
      <c r="AG43" s="277">
        <v>0</v>
      </c>
      <c r="AH43" s="277">
        <v>0</v>
      </c>
      <c r="AI43" s="277">
        <v>0</v>
      </c>
      <c r="AJ43" s="277">
        <v>0</v>
      </c>
      <c r="AK43" s="277"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40774669</v>
      </c>
      <c r="AS43" s="277">
        <v>24812002</v>
      </c>
      <c r="AT43" s="277">
        <v>16309867</v>
      </c>
      <c r="AU43" s="277">
        <v>0</v>
      </c>
      <c r="AV43" s="277">
        <v>81896538</v>
      </c>
      <c r="AW43" s="277">
        <v>263397</v>
      </c>
      <c r="AX43" s="277">
        <v>173141</v>
      </c>
      <c r="AY43" s="277">
        <v>0</v>
      </c>
      <c r="AZ43" s="277">
        <v>436538</v>
      </c>
      <c r="BA43" s="277">
        <v>646915</v>
      </c>
      <c r="BB43" s="277">
        <v>431277</v>
      </c>
      <c r="BC43" s="277">
        <v>0</v>
      </c>
      <c r="BD43" s="277">
        <v>1078192</v>
      </c>
      <c r="BE43" s="277">
        <v>0</v>
      </c>
      <c r="BF43" s="277">
        <v>0</v>
      </c>
      <c r="BG43" s="277">
        <v>0</v>
      </c>
      <c r="BH43" s="277">
        <v>0</v>
      </c>
      <c r="BI43" s="277">
        <v>0</v>
      </c>
      <c r="BJ43" s="277">
        <v>0</v>
      </c>
      <c r="BK43" s="277">
        <v>0</v>
      </c>
      <c r="BL43" s="277">
        <v>0</v>
      </c>
      <c r="BM43" s="277">
        <v>32567</v>
      </c>
      <c r="BN43" s="277">
        <v>21712</v>
      </c>
      <c r="BO43" s="277">
        <v>0</v>
      </c>
      <c r="BP43" s="277">
        <v>54279</v>
      </c>
      <c r="BQ43" s="277">
        <v>587326</v>
      </c>
      <c r="BR43" s="277">
        <v>391551</v>
      </c>
      <c r="BS43" s="277">
        <v>0</v>
      </c>
      <c r="BT43" s="277">
        <v>978877</v>
      </c>
      <c r="BU43" s="277">
        <v>1530205</v>
      </c>
      <c r="BV43" s="277">
        <v>1017681</v>
      </c>
      <c r="BW43" s="277">
        <v>0</v>
      </c>
      <c r="BX43" s="277">
        <v>2547886</v>
      </c>
      <c r="BY43" s="278" t="s">
        <v>776</v>
      </c>
      <c r="BZ43" s="279" t="s">
        <v>995</v>
      </c>
      <c r="CA43" s="279" t="s">
        <v>983</v>
      </c>
    </row>
    <row r="44" spans="1:79" ht="12.75">
      <c r="A44" s="169">
        <v>37</v>
      </c>
      <c r="B44" s="172" t="s">
        <v>778</v>
      </c>
      <c r="C44" s="258" t="s">
        <v>779</v>
      </c>
      <c r="D44" s="277">
        <v>26492929</v>
      </c>
      <c r="E44" s="277">
        <v>76284.98</v>
      </c>
      <c r="F44" s="277">
        <v>0</v>
      </c>
      <c r="G44" s="277">
        <v>124226</v>
      </c>
      <c r="H44" s="277">
        <v>0</v>
      </c>
      <c r="I44" s="277">
        <v>124226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77">
        <v>26444988</v>
      </c>
      <c r="Q44" s="277">
        <v>13222494</v>
      </c>
      <c r="R44" s="277">
        <v>10577995</v>
      </c>
      <c r="S44" s="277">
        <v>2380049</v>
      </c>
      <c r="T44" s="277">
        <v>264450</v>
      </c>
      <c r="U44" s="277">
        <v>26444988</v>
      </c>
      <c r="V44" s="277">
        <v>0</v>
      </c>
      <c r="W44" s="277">
        <v>13222494</v>
      </c>
      <c r="X44" s="277">
        <v>124226</v>
      </c>
      <c r="Y44" s="277">
        <v>124226</v>
      </c>
      <c r="Z44" s="277">
        <v>0</v>
      </c>
      <c r="AA44" s="277">
        <v>0</v>
      </c>
      <c r="AB44" s="277">
        <v>0</v>
      </c>
      <c r="AC44" s="277">
        <v>0</v>
      </c>
      <c r="AD44" s="277">
        <v>0</v>
      </c>
      <c r="AE44" s="277">
        <v>0</v>
      </c>
      <c r="AF44" s="277">
        <v>0</v>
      </c>
      <c r="AG44" s="277">
        <v>0</v>
      </c>
      <c r="AH44" s="277">
        <v>0</v>
      </c>
      <c r="AI44" s="277">
        <v>0</v>
      </c>
      <c r="AJ44" s="277">
        <v>0</v>
      </c>
      <c r="AK44" s="277">
        <v>0</v>
      </c>
      <c r="AL44" s="277">
        <v>0</v>
      </c>
      <c r="AM44" s="277">
        <v>-275673.5</v>
      </c>
      <c r="AN44" s="277">
        <v>-220538.8</v>
      </c>
      <c r="AO44" s="277">
        <v>-49621.23</v>
      </c>
      <c r="AP44" s="277">
        <v>-5513.47</v>
      </c>
      <c r="AQ44" s="277">
        <v>-551347</v>
      </c>
      <c r="AR44" s="277">
        <v>12946821</v>
      </c>
      <c r="AS44" s="277">
        <v>10481682</v>
      </c>
      <c r="AT44" s="277">
        <v>2330428</v>
      </c>
      <c r="AU44" s="277">
        <v>258937</v>
      </c>
      <c r="AV44" s="277">
        <v>26017867</v>
      </c>
      <c r="AW44" s="277">
        <v>113612</v>
      </c>
      <c r="AX44" s="277">
        <v>25266</v>
      </c>
      <c r="AY44" s="277">
        <v>2807</v>
      </c>
      <c r="AZ44" s="277">
        <v>141685</v>
      </c>
      <c r="BA44" s="277">
        <v>372089</v>
      </c>
      <c r="BB44" s="277">
        <v>83720</v>
      </c>
      <c r="BC44" s="277">
        <v>9302</v>
      </c>
      <c r="BD44" s="277">
        <v>465111</v>
      </c>
      <c r="BE44" s="277">
        <v>0</v>
      </c>
      <c r="BF44" s="277">
        <v>0</v>
      </c>
      <c r="BG44" s="277">
        <v>0</v>
      </c>
      <c r="BH44" s="277">
        <v>0</v>
      </c>
      <c r="BI44" s="277">
        <v>0</v>
      </c>
      <c r="BJ44" s="277">
        <v>0</v>
      </c>
      <c r="BK44" s="277">
        <v>0</v>
      </c>
      <c r="BL44" s="277">
        <v>0</v>
      </c>
      <c r="BM44" s="277">
        <v>2607</v>
      </c>
      <c r="BN44" s="277">
        <v>586</v>
      </c>
      <c r="BO44" s="277">
        <v>65</v>
      </c>
      <c r="BP44" s="277">
        <v>3258</v>
      </c>
      <c r="BQ44" s="277">
        <v>172638</v>
      </c>
      <c r="BR44" s="277">
        <v>38844</v>
      </c>
      <c r="BS44" s="277">
        <v>4316</v>
      </c>
      <c r="BT44" s="277">
        <v>215798</v>
      </c>
      <c r="BU44" s="277">
        <v>660946</v>
      </c>
      <c r="BV44" s="277">
        <v>148416</v>
      </c>
      <c r="BW44" s="277">
        <v>16490</v>
      </c>
      <c r="BX44" s="277">
        <v>825852</v>
      </c>
      <c r="BY44" s="278" t="s">
        <v>778</v>
      </c>
      <c r="BZ44" s="279" t="s">
        <v>1019</v>
      </c>
      <c r="CA44" s="280" t="s">
        <v>1020</v>
      </c>
    </row>
    <row r="45" spans="1:79" ht="12.75">
      <c r="A45" s="169">
        <v>38</v>
      </c>
      <c r="B45" s="172" t="s">
        <v>780</v>
      </c>
      <c r="C45" s="258" t="s">
        <v>781</v>
      </c>
      <c r="D45" s="277">
        <v>40056722</v>
      </c>
      <c r="E45" s="277">
        <v>0</v>
      </c>
      <c r="F45" s="277">
        <v>425451</v>
      </c>
      <c r="G45" s="277">
        <v>115645</v>
      </c>
      <c r="H45" s="277">
        <v>0</v>
      </c>
      <c r="I45" s="277">
        <v>115645</v>
      </c>
      <c r="J45" s="277">
        <v>0</v>
      </c>
      <c r="K45" s="277">
        <v>0</v>
      </c>
      <c r="L45" s="277">
        <v>0</v>
      </c>
      <c r="M45" s="277">
        <v>0</v>
      </c>
      <c r="N45" s="277">
        <v>0</v>
      </c>
      <c r="O45" s="277">
        <v>0</v>
      </c>
      <c r="P45" s="277">
        <v>39515626</v>
      </c>
      <c r="Q45" s="277">
        <v>19757813</v>
      </c>
      <c r="R45" s="277">
        <v>15806250</v>
      </c>
      <c r="S45" s="277">
        <v>3951563</v>
      </c>
      <c r="T45" s="277">
        <v>0</v>
      </c>
      <c r="U45" s="277">
        <v>39515626</v>
      </c>
      <c r="V45" s="277">
        <v>0</v>
      </c>
      <c r="W45" s="277">
        <v>19757813</v>
      </c>
      <c r="X45" s="277">
        <v>115645</v>
      </c>
      <c r="Y45" s="277">
        <v>115645</v>
      </c>
      <c r="Z45" s="277">
        <v>0</v>
      </c>
      <c r="AA45" s="277">
        <v>0</v>
      </c>
      <c r="AB45" s="277">
        <v>0</v>
      </c>
      <c r="AC45" s="277">
        <v>0</v>
      </c>
      <c r="AD45" s="277">
        <v>0</v>
      </c>
      <c r="AE45" s="277">
        <v>0</v>
      </c>
      <c r="AF45" s="277">
        <v>0</v>
      </c>
      <c r="AG45" s="277">
        <v>0</v>
      </c>
      <c r="AH45" s="277">
        <v>0</v>
      </c>
      <c r="AI45" s="277">
        <v>0</v>
      </c>
      <c r="AJ45" s="277">
        <v>0</v>
      </c>
      <c r="AK45" s="277">
        <v>0</v>
      </c>
      <c r="AL45" s="277">
        <v>0</v>
      </c>
      <c r="AM45" s="277">
        <v>12090</v>
      </c>
      <c r="AN45" s="277">
        <v>9672</v>
      </c>
      <c r="AO45" s="277">
        <v>2418</v>
      </c>
      <c r="AP45" s="277">
        <v>0</v>
      </c>
      <c r="AQ45" s="277">
        <v>24180</v>
      </c>
      <c r="AR45" s="277">
        <v>19769903</v>
      </c>
      <c r="AS45" s="277">
        <v>15931567</v>
      </c>
      <c r="AT45" s="277">
        <v>3953981</v>
      </c>
      <c r="AU45" s="277">
        <v>0</v>
      </c>
      <c r="AV45" s="277">
        <v>39655451</v>
      </c>
      <c r="AW45" s="277">
        <v>169022</v>
      </c>
      <c r="AX45" s="277">
        <v>41949</v>
      </c>
      <c r="AY45" s="277">
        <v>0</v>
      </c>
      <c r="AZ45" s="277">
        <v>210971</v>
      </c>
      <c r="BA45" s="277">
        <v>263973</v>
      </c>
      <c r="BB45" s="277">
        <v>65993</v>
      </c>
      <c r="BC45" s="277">
        <v>0</v>
      </c>
      <c r="BD45" s="277">
        <v>329966</v>
      </c>
      <c r="BE45" s="277">
        <v>0</v>
      </c>
      <c r="BF45" s="277">
        <v>0</v>
      </c>
      <c r="BG45" s="277">
        <v>0</v>
      </c>
      <c r="BH45" s="277">
        <v>0</v>
      </c>
      <c r="BI45" s="277">
        <v>0</v>
      </c>
      <c r="BJ45" s="277">
        <v>0</v>
      </c>
      <c r="BK45" s="277">
        <v>0</v>
      </c>
      <c r="BL45" s="277">
        <v>0</v>
      </c>
      <c r="BM45" s="277">
        <v>101062</v>
      </c>
      <c r="BN45" s="277">
        <v>25265</v>
      </c>
      <c r="BO45" s="277">
        <v>0</v>
      </c>
      <c r="BP45" s="277">
        <v>126327</v>
      </c>
      <c r="BQ45" s="277">
        <v>252654</v>
      </c>
      <c r="BR45" s="277">
        <v>63163</v>
      </c>
      <c r="BS45" s="277">
        <v>0</v>
      </c>
      <c r="BT45" s="277">
        <v>315817</v>
      </c>
      <c r="BU45" s="277">
        <v>786711</v>
      </c>
      <c r="BV45" s="277">
        <v>196370</v>
      </c>
      <c r="BW45" s="277">
        <v>0</v>
      </c>
      <c r="BX45" s="277">
        <v>983081</v>
      </c>
      <c r="BY45" s="278" t="s">
        <v>780</v>
      </c>
      <c r="BZ45" s="279" t="s">
        <v>1021</v>
      </c>
      <c r="CA45" s="280" t="s">
        <v>984</v>
      </c>
    </row>
    <row r="46" spans="1:79" ht="12.75">
      <c r="A46" s="169">
        <v>39</v>
      </c>
      <c r="B46" s="172" t="s">
        <v>782</v>
      </c>
      <c r="C46" s="258" t="s">
        <v>783</v>
      </c>
      <c r="D46" s="277">
        <v>24596560.1</v>
      </c>
      <c r="E46" s="277">
        <v>0</v>
      </c>
      <c r="F46" s="277">
        <v>12949.84</v>
      </c>
      <c r="G46" s="277">
        <v>107581</v>
      </c>
      <c r="H46" s="277">
        <v>5000</v>
      </c>
      <c r="I46" s="277">
        <v>112581</v>
      </c>
      <c r="J46" s="277">
        <v>0</v>
      </c>
      <c r="K46" s="277">
        <v>0</v>
      </c>
      <c r="L46" s="277">
        <v>0</v>
      </c>
      <c r="M46" s="277">
        <v>0</v>
      </c>
      <c r="N46" s="277">
        <v>0</v>
      </c>
      <c r="O46" s="277">
        <v>0</v>
      </c>
      <c r="P46" s="277">
        <v>24471029.3</v>
      </c>
      <c r="Q46" s="277">
        <v>12235514.3</v>
      </c>
      <c r="R46" s="277">
        <v>9788412</v>
      </c>
      <c r="S46" s="277">
        <v>2202393</v>
      </c>
      <c r="T46" s="277">
        <v>244710</v>
      </c>
      <c r="U46" s="277">
        <v>24471029</v>
      </c>
      <c r="V46" s="277">
        <v>0</v>
      </c>
      <c r="W46" s="277">
        <v>12235514.3</v>
      </c>
      <c r="X46" s="277">
        <v>112581</v>
      </c>
      <c r="Y46" s="277">
        <v>112581</v>
      </c>
      <c r="Z46" s="277">
        <v>0</v>
      </c>
      <c r="AA46" s="277">
        <v>0</v>
      </c>
      <c r="AB46" s="277">
        <v>0</v>
      </c>
      <c r="AC46" s="277">
        <v>0</v>
      </c>
      <c r="AD46" s="277">
        <v>0</v>
      </c>
      <c r="AE46" s="277">
        <v>0</v>
      </c>
      <c r="AF46" s="277">
        <v>0</v>
      </c>
      <c r="AG46" s="277">
        <v>0</v>
      </c>
      <c r="AH46" s="277">
        <v>0</v>
      </c>
      <c r="AI46" s="277">
        <v>0</v>
      </c>
      <c r="AJ46" s="277">
        <v>0</v>
      </c>
      <c r="AK46" s="277">
        <v>0</v>
      </c>
      <c r="AL46" s="277">
        <v>0</v>
      </c>
      <c r="AM46" s="277">
        <v>-818517</v>
      </c>
      <c r="AN46" s="277">
        <v>-654813.6</v>
      </c>
      <c r="AO46" s="277">
        <v>-147333.06</v>
      </c>
      <c r="AP46" s="277">
        <v>-16370.34</v>
      </c>
      <c r="AQ46" s="277">
        <v>-1637034</v>
      </c>
      <c r="AR46" s="277">
        <v>11416997</v>
      </c>
      <c r="AS46" s="277">
        <v>9246179</v>
      </c>
      <c r="AT46" s="277">
        <v>2055060</v>
      </c>
      <c r="AU46" s="277">
        <v>228340</v>
      </c>
      <c r="AV46" s="277">
        <v>22946576</v>
      </c>
      <c r="AW46" s="277">
        <v>105106</v>
      </c>
      <c r="AX46" s="277">
        <v>23380</v>
      </c>
      <c r="AY46" s="277">
        <v>2598</v>
      </c>
      <c r="AZ46" s="277">
        <v>131084</v>
      </c>
      <c r="BA46" s="277">
        <v>303725</v>
      </c>
      <c r="BB46" s="277">
        <v>68338</v>
      </c>
      <c r="BC46" s="277">
        <v>7593</v>
      </c>
      <c r="BD46" s="277">
        <v>379656</v>
      </c>
      <c r="BE46" s="277">
        <v>0</v>
      </c>
      <c r="BF46" s="277">
        <v>0</v>
      </c>
      <c r="BG46" s="277">
        <v>0</v>
      </c>
      <c r="BH46" s="277">
        <v>0</v>
      </c>
      <c r="BI46" s="277">
        <v>0</v>
      </c>
      <c r="BJ46" s="277">
        <v>0</v>
      </c>
      <c r="BK46" s="277">
        <v>0</v>
      </c>
      <c r="BL46" s="277">
        <v>0</v>
      </c>
      <c r="BM46" s="277">
        <v>0</v>
      </c>
      <c r="BN46" s="277">
        <v>0</v>
      </c>
      <c r="BO46" s="277">
        <v>0</v>
      </c>
      <c r="BP46" s="277">
        <v>0</v>
      </c>
      <c r="BQ46" s="277">
        <v>101061</v>
      </c>
      <c r="BR46" s="277">
        <v>22739</v>
      </c>
      <c r="BS46" s="277">
        <v>2527</v>
      </c>
      <c r="BT46" s="277">
        <v>126327</v>
      </c>
      <c r="BU46" s="277">
        <v>509892</v>
      </c>
      <c r="BV46" s="277">
        <v>114457</v>
      </c>
      <c r="BW46" s="277">
        <v>12718</v>
      </c>
      <c r="BX46" s="277">
        <v>637067</v>
      </c>
      <c r="BY46" s="278" t="s">
        <v>782</v>
      </c>
      <c r="BZ46" s="279" t="s">
        <v>988</v>
      </c>
      <c r="CA46" s="280" t="s">
        <v>989</v>
      </c>
    </row>
    <row r="47" spans="1:79" ht="12.75">
      <c r="A47" s="169">
        <v>40</v>
      </c>
      <c r="B47" s="172" t="s">
        <v>784</v>
      </c>
      <c r="C47" s="258" t="s">
        <v>785</v>
      </c>
      <c r="D47" s="277">
        <v>26918502</v>
      </c>
      <c r="E47" s="277">
        <v>58322</v>
      </c>
      <c r="F47" s="277">
        <v>0</v>
      </c>
      <c r="G47" s="277">
        <v>148397</v>
      </c>
      <c r="H47" s="277">
        <v>0</v>
      </c>
      <c r="I47" s="277">
        <v>148397</v>
      </c>
      <c r="J47" s="277">
        <v>0</v>
      </c>
      <c r="K47" s="277">
        <v>0</v>
      </c>
      <c r="L47" s="277">
        <v>0</v>
      </c>
      <c r="M47" s="277">
        <v>23859</v>
      </c>
      <c r="N47" s="277">
        <v>23859</v>
      </c>
      <c r="O47" s="277">
        <v>0</v>
      </c>
      <c r="P47" s="277">
        <v>26804568</v>
      </c>
      <c r="Q47" s="277">
        <v>13402284</v>
      </c>
      <c r="R47" s="277">
        <v>10721827</v>
      </c>
      <c r="S47" s="277">
        <v>2412411</v>
      </c>
      <c r="T47" s="277">
        <v>268046</v>
      </c>
      <c r="U47" s="277">
        <v>26804568</v>
      </c>
      <c r="V47" s="277">
        <v>0</v>
      </c>
      <c r="W47" s="277">
        <v>13402284</v>
      </c>
      <c r="X47" s="277">
        <v>148397</v>
      </c>
      <c r="Y47" s="277">
        <v>148397</v>
      </c>
      <c r="Z47" s="277">
        <v>0</v>
      </c>
      <c r="AA47" s="277">
        <v>0</v>
      </c>
      <c r="AB47" s="277">
        <v>0</v>
      </c>
      <c r="AC47" s="277">
        <v>0</v>
      </c>
      <c r="AD47" s="277">
        <v>23859</v>
      </c>
      <c r="AE47" s="277">
        <v>0</v>
      </c>
      <c r="AF47" s="277">
        <v>23859</v>
      </c>
      <c r="AG47" s="277">
        <v>0</v>
      </c>
      <c r="AH47" s="277">
        <v>0</v>
      </c>
      <c r="AI47" s="277">
        <v>0</v>
      </c>
      <c r="AJ47" s="277">
        <v>0</v>
      </c>
      <c r="AK47" s="277">
        <v>0</v>
      </c>
      <c r="AL47" s="277">
        <v>0</v>
      </c>
      <c r="AM47" s="277">
        <v>-834610</v>
      </c>
      <c r="AN47" s="277">
        <v>-667688</v>
      </c>
      <c r="AO47" s="277">
        <v>-150229.8</v>
      </c>
      <c r="AP47" s="277">
        <v>-16692.2</v>
      </c>
      <c r="AQ47" s="277">
        <v>-1669220</v>
      </c>
      <c r="AR47" s="277">
        <v>12567674</v>
      </c>
      <c r="AS47" s="277">
        <v>10226395</v>
      </c>
      <c r="AT47" s="277">
        <v>2262181</v>
      </c>
      <c r="AU47" s="277">
        <v>251354</v>
      </c>
      <c r="AV47" s="277">
        <v>25307604</v>
      </c>
      <c r="AW47" s="277">
        <v>115648</v>
      </c>
      <c r="AX47" s="277">
        <v>25609</v>
      </c>
      <c r="AY47" s="277">
        <v>2846</v>
      </c>
      <c r="AZ47" s="277">
        <v>144103</v>
      </c>
      <c r="BA47" s="277">
        <v>493978</v>
      </c>
      <c r="BB47" s="277">
        <v>111145</v>
      </c>
      <c r="BC47" s="277">
        <v>12349</v>
      </c>
      <c r="BD47" s="277">
        <v>617472</v>
      </c>
      <c r="BE47" s="277">
        <v>2451</v>
      </c>
      <c r="BF47" s="277">
        <v>552</v>
      </c>
      <c r="BG47" s="277">
        <v>61</v>
      </c>
      <c r="BH47" s="277">
        <v>3064</v>
      </c>
      <c r="BI47" s="277">
        <v>26962</v>
      </c>
      <c r="BJ47" s="277">
        <v>6066</v>
      </c>
      <c r="BK47" s="277">
        <v>674</v>
      </c>
      <c r="BL47" s="277">
        <v>33702</v>
      </c>
      <c r="BM47" s="277">
        <v>2451</v>
      </c>
      <c r="BN47" s="277">
        <v>552</v>
      </c>
      <c r="BO47" s="277">
        <v>61</v>
      </c>
      <c r="BP47" s="277">
        <v>3064</v>
      </c>
      <c r="BQ47" s="277">
        <v>171572</v>
      </c>
      <c r="BR47" s="277">
        <v>38604</v>
      </c>
      <c r="BS47" s="277">
        <v>4289</v>
      </c>
      <c r="BT47" s="277">
        <v>214465</v>
      </c>
      <c r="BU47" s="277">
        <v>813062</v>
      </c>
      <c r="BV47" s="277">
        <v>182528</v>
      </c>
      <c r="BW47" s="277">
        <v>20280</v>
      </c>
      <c r="BX47" s="277">
        <v>1015870</v>
      </c>
      <c r="BY47" s="278" t="s">
        <v>784</v>
      </c>
      <c r="BZ47" s="279" t="s">
        <v>1022</v>
      </c>
      <c r="CA47" s="280" t="s">
        <v>1009</v>
      </c>
    </row>
    <row r="48" spans="1:79" ht="12.75">
      <c r="A48" s="169">
        <v>41</v>
      </c>
      <c r="B48" s="172" t="s">
        <v>786</v>
      </c>
      <c r="C48" s="258" t="s">
        <v>787</v>
      </c>
      <c r="D48" s="277">
        <v>49045976.3</v>
      </c>
      <c r="E48" s="277">
        <v>49106</v>
      </c>
      <c r="F48" s="277">
        <v>0</v>
      </c>
      <c r="G48" s="277">
        <v>239233</v>
      </c>
      <c r="H48" s="277">
        <v>0</v>
      </c>
      <c r="I48" s="277">
        <v>239233</v>
      </c>
      <c r="J48" s="277">
        <v>0</v>
      </c>
      <c r="K48" s="277">
        <v>0</v>
      </c>
      <c r="L48" s="277">
        <v>0</v>
      </c>
      <c r="M48" s="277">
        <v>0</v>
      </c>
      <c r="N48" s="277">
        <v>0</v>
      </c>
      <c r="O48" s="277">
        <v>0</v>
      </c>
      <c r="P48" s="277">
        <v>48855849.3</v>
      </c>
      <c r="Q48" s="277">
        <v>24427925.3</v>
      </c>
      <c r="R48" s="277">
        <v>23939366</v>
      </c>
      <c r="S48" s="277">
        <v>0</v>
      </c>
      <c r="T48" s="277">
        <v>488558</v>
      </c>
      <c r="U48" s="277">
        <v>48855849</v>
      </c>
      <c r="V48" s="277">
        <v>0</v>
      </c>
      <c r="W48" s="277">
        <v>24427925.3</v>
      </c>
      <c r="X48" s="277">
        <v>239233</v>
      </c>
      <c r="Y48" s="277">
        <v>239233</v>
      </c>
      <c r="Z48" s="277">
        <v>0</v>
      </c>
      <c r="AA48" s="277">
        <v>0</v>
      </c>
      <c r="AB48" s="277">
        <v>0</v>
      </c>
      <c r="AC48" s="277">
        <v>0</v>
      </c>
      <c r="AD48" s="277">
        <v>0</v>
      </c>
      <c r="AE48" s="277">
        <v>0</v>
      </c>
      <c r="AF48" s="277">
        <v>0</v>
      </c>
      <c r="AG48" s="277">
        <v>0</v>
      </c>
      <c r="AH48" s="277">
        <v>0</v>
      </c>
      <c r="AI48" s="277">
        <v>0</v>
      </c>
      <c r="AJ48" s="277">
        <v>0</v>
      </c>
      <c r="AK48" s="277">
        <v>0</v>
      </c>
      <c r="AL48" s="277">
        <v>0</v>
      </c>
      <c r="AM48" s="277">
        <v>-981523</v>
      </c>
      <c r="AN48" s="277">
        <v>-961892.54</v>
      </c>
      <c r="AO48" s="277">
        <v>0</v>
      </c>
      <c r="AP48" s="277">
        <v>-19630.46</v>
      </c>
      <c r="AQ48" s="277">
        <v>-1963046</v>
      </c>
      <c r="AR48" s="277">
        <v>23446402</v>
      </c>
      <c r="AS48" s="277">
        <v>23216706</v>
      </c>
      <c r="AT48" s="277">
        <v>0</v>
      </c>
      <c r="AU48" s="277">
        <v>468928</v>
      </c>
      <c r="AV48" s="277">
        <v>47132036</v>
      </c>
      <c r="AW48" s="277">
        <v>256673</v>
      </c>
      <c r="AX48" s="277">
        <v>0</v>
      </c>
      <c r="AY48" s="277">
        <v>5186</v>
      </c>
      <c r="AZ48" s="277">
        <v>261859</v>
      </c>
      <c r="BA48" s="277">
        <v>1075775</v>
      </c>
      <c r="BB48" s="277">
        <v>0</v>
      </c>
      <c r="BC48" s="277">
        <v>21955</v>
      </c>
      <c r="BD48" s="277">
        <v>1097730</v>
      </c>
      <c r="BE48" s="277">
        <v>0</v>
      </c>
      <c r="BF48" s="277">
        <v>0</v>
      </c>
      <c r="BG48" s="277">
        <v>0</v>
      </c>
      <c r="BH48" s="277">
        <v>0</v>
      </c>
      <c r="BI48" s="277">
        <v>0</v>
      </c>
      <c r="BJ48" s="277">
        <v>0</v>
      </c>
      <c r="BK48" s="277">
        <v>0</v>
      </c>
      <c r="BL48" s="277">
        <v>0</v>
      </c>
      <c r="BM48" s="277">
        <v>109084</v>
      </c>
      <c r="BN48" s="277">
        <v>0</v>
      </c>
      <c r="BO48" s="277">
        <v>2226</v>
      </c>
      <c r="BP48" s="277">
        <v>111310</v>
      </c>
      <c r="BQ48" s="277">
        <v>531847</v>
      </c>
      <c r="BR48" s="277">
        <v>0</v>
      </c>
      <c r="BS48" s="277">
        <v>10854</v>
      </c>
      <c r="BT48" s="277">
        <v>542701</v>
      </c>
      <c r="BU48" s="277">
        <v>1973379</v>
      </c>
      <c r="BV48" s="277">
        <v>0</v>
      </c>
      <c r="BW48" s="277">
        <v>40221</v>
      </c>
      <c r="BX48" s="277">
        <v>2013600</v>
      </c>
      <c r="BY48" s="278" t="s">
        <v>786</v>
      </c>
      <c r="BZ48" s="279" t="s">
        <v>996</v>
      </c>
      <c r="CA48" s="280" t="s">
        <v>1010</v>
      </c>
    </row>
    <row r="49" spans="1:79" ht="12.75">
      <c r="A49" s="169">
        <v>42</v>
      </c>
      <c r="B49" s="172" t="s">
        <v>788</v>
      </c>
      <c r="C49" s="258" t="s">
        <v>789</v>
      </c>
      <c r="D49" s="277">
        <v>58810761</v>
      </c>
      <c r="E49" s="277">
        <v>47517</v>
      </c>
      <c r="F49" s="277">
        <v>0</v>
      </c>
      <c r="G49" s="277">
        <v>353872</v>
      </c>
      <c r="H49" s="277">
        <v>99</v>
      </c>
      <c r="I49" s="277">
        <v>353971</v>
      </c>
      <c r="J49" s="277">
        <v>0</v>
      </c>
      <c r="K49" s="277">
        <v>0</v>
      </c>
      <c r="L49" s="277">
        <v>0</v>
      </c>
      <c r="M49" s="277">
        <v>0</v>
      </c>
      <c r="N49" s="277">
        <v>0</v>
      </c>
      <c r="O49" s="277">
        <v>0</v>
      </c>
      <c r="P49" s="277">
        <v>58504307</v>
      </c>
      <c r="Q49" s="277">
        <v>29252154</v>
      </c>
      <c r="R49" s="277">
        <v>28667110</v>
      </c>
      <c r="S49" s="277">
        <v>0</v>
      </c>
      <c r="T49" s="277">
        <v>585043</v>
      </c>
      <c r="U49" s="277">
        <v>58504307</v>
      </c>
      <c r="V49" s="277">
        <v>0</v>
      </c>
      <c r="W49" s="277">
        <v>29252154</v>
      </c>
      <c r="X49" s="277">
        <v>353971</v>
      </c>
      <c r="Y49" s="277">
        <v>353971</v>
      </c>
      <c r="Z49" s="277">
        <v>0</v>
      </c>
      <c r="AA49" s="277">
        <v>0</v>
      </c>
      <c r="AB49" s="277">
        <v>0</v>
      </c>
      <c r="AC49" s="277">
        <v>0</v>
      </c>
      <c r="AD49" s="277">
        <v>0</v>
      </c>
      <c r="AE49" s="277">
        <v>0</v>
      </c>
      <c r="AF49" s="277">
        <v>0</v>
      </c>
      <c r="AG49" s="277">
        <v>0</v>
      </c>
      <c r="AH49" s="277">
        <v>0</v>
      </c>
      <c r="AI49" s="277">
        <v>0</v>
      </c>
      <c r="AJ49" s="277">
        <v>0</v>
      </c>
      <c r="AK49" s="277">
        <v>0</v>
      </c>
      <c r="AL49" s="277">
        <v>0</v>
      </c>
      <c r="AM49" s="277">
        <v>-692328.5</v>
      </c>
      <c r="AN49" s="277">
        <v>-678481.93</v>
      </c>
      <c r="AO49" s="277">
        <v>0</v>
      </c>
      <c r="AP49" s="277">
        <v>-13846.57</v>
      </c>
      <c r="AQ49" s="277">
        <v>-1384657</v>
      </c>
      <c r="AR49" s="277">
        <v>28559826</v>
      </c>
      <c r="AS49" s="277">
        <v>28342599</v>
      </c>
      <c r="AT49" s="277">
        <v>0</v>
      </c>
      <c r="AU49" s="277">
        <v>571196</v>
      </c>
      <c r="AV49" s="277">
        <v>57473621</v>
      </c>
      <c r="AW49" s="277">
        <v>308079</v>
      </c>
      <c r="AX49" s="277">
        <v>0</v>
      </c>
      <c r="AY49" s="277">
        <v>6211</v>
      </c>
      <c r="AZ49" s="277">
        <v>314290</v>
      </c>
      <c r="BA49" s="277">
        <v>1526701</v>
      </c>
      <c r="BB49" s="277">
        <v>0</v>
      </c>
      <c r="BC49" s="277">
        <v>31157</v>
      </c>
      <c r="BD49" s="277">
        <v>1557858</v>
      </c>
      <c r="BE49" s="277">
        <v>0</v>
      </c>
      <c r="BF49" s="277">
        <v>0</v>
      </c>
      <c r="BG49" s="277">
        <v>0</v>
      </c>
      <c r="BH49" s="277">
        <v>0</v>
      </c>
      <c r="BI49" s="277">
        <v>0</v>
      </c>
      <c r="BJ49" s="277">
        <v>0</v>
      </c>
      <c r="BK49" s="277">
        <v>0</v>
      </c>
      <c r="BL49" s="277">
        <v>0</v>
      </c>
      <c r="BM49" s="277">
        <v>0</v>
      </c>
      <c r="BN49" s="277">
        <v>0</v>
      </c>
      <c r="BO49" s="277">
        <v>0</v>
      </c>
      <c r="BP49" s="277">
        <v>0</v>
      </c>
      <c r="BQ49" s="277">
        <v>495202</v>
      </c>
      <c r="BR49" s="277">
        <v>0</v>
      </c>
      <c r="BS49" s="277">
        <v>10106</v>
      </c>
      <c r="BT49" s="277">
        <v>505308</v>
      </c>
      <c r="BU49" s="277">
        <v>2329982</v>
      </c>
      <c r="BV49" s="277">
        <v>0</v>
      </c>
      <c r="BW49" s="277">
        <v>47474</v>
      </c>
      <c r="BX49" s="277">
        <v>2377456</v>
      </c>
      <c r="BY49" s="278" t="s">
        <v>788</v>
      </c>
      <c r="BZ49" s="279" t="s">
        <v>996</v>
      </c>
      <c r="CA49" s="280" t="s">
        <v>1014</v>
      </c>
    </row>
    <row r="50" spans="1:79" ht="12.75">
      <c r="A50" s="169">
        <v>43</v>
      </c>
      <c r="B50" s="172" t="s">
        <v>790</v>
      </c>
      <c r="C50" s="258" t="s">
        <v>791</v>
      </c>
      <c r="D50" s="277">
        <v>96936372</v>
      </c>
      <c r="E50" s="277">
        <v>107754</v>
      </c>
      <c r="F50" s="277">
        <v>0</v>
      </c>
      <c r="G50" s="277">
        <v>228269</v>
      </c>
      <c r="H50" s="277">
        <v>99</v>
      </c>
      <c r="I50" s="277">
        <v>228368</v>
      </c>
      <c r="J50" s="277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77">
        <v>96815758</v>
      </c>
      <c r="Q50" s="277">
        <v>48407879</v>
      </c>
      <c r="R50" s="277">
        <v>38726303</v>
      </c>
      <c r="S50" s="277">
        <v>8713418</v>
      </c>
      <c r="T50" s="277">
        <v>968158</v>
      </c>
      <c r="U50" s="277">
        <v>96815758</v>
      </c>
      <c r="V50" s="277">
        <v>0</v>
      </c>
      <c r="W50" s="277">
        <v>48407879</v>
      </c>
      <c r="X50" s="277">
        <v>228368</v>
      </c>
      <c r="Y50" s="277">
        <v>228368</v>
      </c>
      <c r="Z50" s="277">
        <v>0</v>
      </c>
      <c r="AA50" s="277">
        <v>0</v>
      </c>
      <c r="AB50" s="277">
        <v>0</v>
      </c>
      <c r="AC50" s="277">
        <v>0</v>
      </c>
      <c r="AD50" s="277">
        <v>0</v>
      </c>
      <c r="AE50" s="277">
        <v>0</v>
      </c>
      <c r="AF50" s="277">
        <v>0</v>
      </c>
      <c r="AG50" s="277">
        <v>0</v>
      </c>
      <c r="AH50" s="277">
        <v>0</v>
      </c>
      <c r="AI50" s="277">
        <v>0</v>
      </c>
      <c r="AJ50" s="277">
        <v>0</v>
      </c>
      <c r="AK50" s="277">
        <v>0</v>
      </c>
      <c r="AL50" s="277">
        <v>0</v>
      </c>
      <c r="AM50" s="277">
        <v>-1614495</v>
      </c>
      <c r="AN50" s="277">
        <v>-1291596</v>
      </c>
      <c r="AO50" s="277">
        <v>-290609.1</v>
      </c>
      <c r="AP50" s="277">
        <v>-32289.9</v>
      </c>
      <c r="AQ50" s="277">
        <v>-3228990</v>
      </c>
      <c r="AR50" s="277">
        <v>46793384</v>
      </c>
      <c r="AS50" s="277">
        <v>37663075</v>
      </c>
      <c r="AT50" s="277">
        <v>8422809</v>
      </c>
      <c r="AU50" s="277">
        <v>935868</v>
      </c>
      <c r="AV50" s="277">
        <v>93815136</v>
      </c>
      <c r="AW50" s="277">
        <v>413532</v>
      </c>
      <c r="AX50" s="277">
        <v>92499</v>
      </c>
      <c r="AY50" s="277">
        <v>10278</v>
      </c>
      <c r="AZ50" s="277">
        <v>516309</v>
      </c>
      <c r="BA50" s="277">
        <v>259193</v>
      </c>
      <c r="BB50" s="277">
        <v>58318</v>
      </c>
      <c r="BC50" s="277">
        <v>6480</v>
      </c>
      <c r="BD50" s="277">
        <v>323991</v>
      </c>
      <c r="BE50" s="277">
        <v>0</v>
      </c>
      <c r="BF50" s="277">
        <v>0</v>
      </c>
      <c r="BG50" s="277">
        <v>0</v>
      </c>
      <c r="BH50" s="277">
        <v>0</v>
      </c>
      <c r="BI50" s="277">
        <v>35978</v>
      </c>
      <c r="BJ50" s="277">
        <v>8095</v>
      </c>
      <c r="BK50" s="277">
        <v>899</v>
      </c>
      <c r="BL50" s="277">
        <v>44972</v>
      </c>
      <c r="BM50" s="277">
        <v>0</v>
      </c>
      <c r="BN50" s="277">
        <v>0</v>
      </c>
      <c r="BO50" s="277">
        <v>0</v>
      </c>
      <c r="BP50" s="277">
        <v>0</v>
      </c>
      <c r="BQ50" s="277">
        <v>315312</v>
      </c>
      <c r="BR50" s="277">
        <v>70945</v>
      </c>
      <c r="BS50" s="277">
        <v>7883</v>
      </c>
      <c r="BT50" s="277">
        <v>394140</v>
      </c>
      <c r="BU50" s="277">
        <v>1024015</v>
      </c>
      <c r="BV50" s="277">
        <v>229857</v>
      </c>
      <c r="BW50" s="277">
        <v>25540</v>
      </c>
      <c r="BX50" s="277">
        <v>1279412</v>
      </c>
      <c r="BY50" s="278" t="s">
        <v>790</v>
      </c>
      <c r="BZ50" s="279" t="s">
        <v>1023</v>
      </c>
      <c r="CA50" s="280" t="s">
        <v>1024</v>
      </c>
    </row>
    <row r="51" spans="1:79" ht="12.75">
      <c r="A51" s="169">
        <v>44</v>
      </c>
      <c r="B51" s="172" t="s">
        <v>792</v>
      </c>
      <c r="C51" s="258" t="s">
        <v>793</v>
      </c>
      <c r="D51" s="277">
        <v>499532934</v>
      </c>
      <c r="E51" s="277">
        <v>982677</v>
      </c>
      <c r="F51" s="277">
        <v>0</v>
      </c>
      <c r="G51" s="277">
        <v>1190058</v>
      </c>
      <c r="H51" s="277">
        <v>0</v>
      </c>
      <c r="I51" s="277">
        <v>1190058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v>499325553</v>
      </c>
      <c r="Q51" s="277">
        <v>249662776</v>
      </c>
      <c r="R51" s="277">
        <v>149797666</v>
      </c>
      <c r="S51" s="277">
        <v>99865111</v>
      </c>
      <c r="T51" s="277">
        <v>0</v>
      </c>
      <c r="U51" s="277">
        <v>499325553</v>
      </c>
      <c r="V51" s="277">
        <v>0</v>
      </c>
      <c r="W51" s="277">
        <v>249662776</v>
      </c>
      <c r="X51" s="277">
        <v>1190058</v>
      </c>
      <c r="Y51" s="277">
        <v>1190058</v>
      </c>
      <c r="Z51" s="277">
        <v>0</v>
      </c>
      <c r="AA51" s="277">
        <v>0</v>
      </c>
      <c r="AB51" s="277">
        <v>0</v>
      </c>
      <c r="AC51" s="277">
        <v>0</v>
      </c>
      <c r="AD51" s="277">
        <v>0</v>
      </c>
      <c r="AE51" s="277">
        <v>0</v>
      </c>
      <c r="AF51" s="277">
        <v>0</v>
      </c>
      <c r="AG51" s="277">
        <v>0</v>
      </c>
      <c r="AH51" s="277">
        <v>0</v>
      </c>
      <c r="AI51" s="277">
        <v>0</v>
      </c>
      <c r="AJ51" s="277">
        <v>0</v>
      </c>
      <c r="AK51" s="277">
        <v>0</v>
      </c>
      <c r="AL51" s="277">
        <v>0</v>
      </c>
      <c r="AM51" s="277">
        <v>-4525353.5</v>
      </c>
      <c r="AN51" s="277">
        <v>-2715212.1</v>
      </c>
      <c r="AO51" s="277">
        <v>-1810141.4</v>
      </c>
      <c r="AP51" s="277">
        <v>0</v>
      </c>
      <c r="AQ51" s="277">
        <v>-9050707</v>
      </c>
      <c r="AR51" s="277">
        <v>245137422</v>
      </c>
      <c r="AS51" s="277">
        <v>148272512</v>
      </c>
      <c r="AT51" s="277">
        <v>98054970</v>
      </c>
      <c r="AU51" s="277">
        <v>0</v>
      </c>
      <c r="AV51" s="277">
        <v>491464904</v>
      </c>
      <c r="AW51" s="277">
        <v>1602842</v>
      </c>
      <c r="AX51" s="277">
        <v>1060139</v>
      </c>
      <c r="AY51" s="277">
        <v>0</v>
      </c>
      <c r="AZ51" s="277">
        <v>2662981</v>
      </c>
      <c r="BA51" s="277">
        <v>436568</v>
      </c>
      <c r="BB51" s="277">
        <v>291046</v>
      </c>
      <c r="BC51" s="277">
        <v>0</v>
      </c>
      <c r="BD51" s="277">
        <v>727614</v>
      </c>
      <c r="BE51" s="277">
        <v>0</v>
      </c>
      <c r="BF51" s="277">
        <v>0</v>
      </c>
      <c r="BG51" s="277">
        <v>0</v>
      </c>
      <c r="BH51" s="277">
        <v>0</v>
      </c>
      <c r="BI51" s="277">
        <v>0</v>
      </c>
      <c r="BJ51" s="277">
        <v>0</v>
      </c>
      <c r="BK51" s="277">
        <v>0</v>
      </c>
      <c r="BL51" s="277">
        <v>0</v>
      </c>
      <c r="BM51" s="277">
        <v>224357</v>
      </c>
      <c r="BN51" s="277">
        <v>149571</v>
      </c>
      <c r="BO51" s="277">
        <v>0</v>
      </c>
      <c r="BP51" s="277">
        <v>373928</v>
      </c>
      <c r="BQ51" s="277">
        <v>691261</v>
      </c>
      <c r="BR51" s="277">
        <v>460841</v>
      </c>
      <c r="BS51" s="277">
        <v>0</v>
      </c>
      <c r="BT51" s="277">
        <v>1152102</v>
      </c>
      <c r="BU51" s="277">
        <v>2955028</v>
      </c>
      <c r="BV51" s="277">
        <v>1961597</v>
      </c>
      <c r="BW51" s="277">
        <v>0</v>
      </c>
      <c r="BX51" s="277">
        <v>4916625</v>
      </c>
      <c r="BY51" s="278" t="s">
        <v>792</v>
      </c>
      <c r="BZ51" s="279" t="s">
        <v>995</v>
      </c>
      <c r="CA51" s="279" t="s">
        <v>983</v>
      </c>
    </row>
    <row r="52" spans="1:79" ht="12.75">
      <c r="A52" s="169">
        <v>45</v>
      </c>
      <c r="B52" s="172" t="s">
        <v>794</v>
      </c>
      <c r="C52" s="258" t="s">
        <v>795</v>
      </c>
      <c r="D52" s="277">
        <v>35047615.5</v>
      </c>
      <c r="E52" s="277">
        <v>293041.7</v>
      </c>
      <c r="F52" s="277">
        <v>0</v>
      </c>
      <c r="G52" s="277">
        <v>139484</v>
      </c>
      <c r="H52" s="277">
        <v>0</v>
      </c>
      <c r="I52" s="277">
        <v>139484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  <c r="O52" s="277">
        <v>0</v>
      </c>
      <c r="P52" s="277">
        <v>35201173.2</v>
      </c>
      <c r="Q52" s="277">
        <v>17600586.2</v>
      </c>
      <c r="R52" s="277">
        <v>14080469</v>
      </c>
      <c r="S52" s="277">
        <v>3168106</v>
      </c>
      <c r="T52" s="277">
        <v>352012</v>
      </c>
      <c r="U52" s="277">
        <v>35201173</v>
      </c>
      <c r="V52" s="277">
        <v>0</v>
      </c>
      <c r="W52" s="277">
        <v>17600586.2</v>
      </c>
      <c r="X52" s="277">
        <v>139484</v>
      </c>
      <c r="Y52" s="277">
        <v>139484</v>
      </c>
      <c r="Z52" s="277">
        <v>0</v>
      </c>
      <c r="AA52" s="277">
        <v>0</v>
      </c>
      <c r="AB52" s="277">
        <v>0</v>
      </c>
      <c r="AC52" s="277">
        <v>0</v>
      </c>
      <c r="AD52" s="277">
        <v>0</v>
      </c>
      <c r="AE52" s="277">
        <v>0</v>
      </c>
      <c r="AF52" s="277">
        <v>0</v>
      </c>
      <c r="AG52" s="277">
        <v>0</v>
      </c>
      <c r="AH52" s="277">
        <v>0</v>
      </c>
      <c r="AI52" s="277">
        <v>0</v>
      </c>
      <c r="AJ52" s="277">
        <v>0</v>
      </c>
      <c r="AK52" s="277">
        <v>0</v>
      </c>
      <c r="AL52" s="277">
        <v>0</v>
      </c>
      <c r="AM52" s="277">
        <v>472543.5</v>
      </c>
      <c r="AN52" s="277">
        <v>378034.8</v>
      </c>
      <c r="AO52" s="277">
        <v>85057.83</v>
      </c>
      <c r="AP52" s="277">
        <v>9450.87</v>
      </c>
      <c r="AQ52" s="277">
        <v>945087</v>
      </c>
      <c r="AR52" s="277">
        <v>18073130</v>
      </c>
      <c r="AS52" s="277">
        <v>14597988</v>
      </c>
      <c r="AT52" s="277">
        <v>3253164</v>
      </c>
      <c r="AU52" s="277">
        <v>361463</v>
      </c>
      <c r="AV52" s="277">
        <v>36285744</v>
      </c>
      <c r="AW52" s="277">
        <v>150955</v>
      </c>
      <c r="AX52" s="277">
        <v>33632</v>
      </c>
      <c r="AY52" s="277">
        <v>3737</v>
      </c>
      <c r="AZ52" s="277">
        <v>188324</v>
      </c>
      <c r="BA52" s="277">
        <v>450433</v>
      </c>
      <c r="BB52" s="277">
        <v>101347</v>
      </c>
      <c r="BC52" s="277">
        <v>11261</v>
      </c>
      <c r="BD52" s="277">
        <v>563041</v>
      </c>
      <c r="BE52" s="277">
        <v>0</v>
      </c>
      <c r="BF52" s="277">
        <v>0</v>
      </c>
      <c r="BG52" s="277">
        <v>0</v>
      </c>
      <c r="BH52" s="277">
        <v>0</v>
      </c>
      <c r="BI52" s="277">
        <v>0</v>
      </c>
      <c r="BJ52" s="277">
        <v>0</v>
      </c>
      <c r="BK52" s="277">
        <v>0</v>
      </c>
      <c r="BL52" s="277">
        <v>0</v>
      </c>
      <c r="BM52" s="277">
        <v>0</v>
      </c>
      <c r="BN52" s="277">
        <v>0</v>
      </c>
      <c r="BO52" s="277">
        <v>0</v>
      </c>
      <c r="BP52" s="277">
        <v>0</v>
      </c>
      <c r="BQ52" s="277">
        <v>192326</v>
      </c>
      <c r="BR52" s="277">
        <v>43273</v>
      </c>
      <c r="BS52" s="277">
        <v>4808</v>
      </c>
      <c r="BT52" s="277">
        <v>240407</v>
      </c>
      <c r="BU52" s="277">
        <v>793714</v>
      </c>
      <c r="BV52" s="277">
        <v>178252</v>
      </c>
      <c r="BW52" s="277">
        <v>19806</v>
      </c>
      <c r="BX52" s="277">
        <v>991772</v>
      </c>
      <c r="BY52" s="278" t="s">
        <v>794</v>
      </c>
      <c r="BZ52" s="279" t="s">
        <v>1025</v>
      </c>
      <c r="CA52" s="280" t="s">
        <v>1026</v>
      </c>
    </row>
    <row r="53" spans="1:79" ht="12.75">
      <c r="A53" s="169">
        <v>46</v>
      </c>
      <c r="B53" s="172" t="s">
        <v>796</v>
      </c>
      <c r="C53" s="258" t="s">
        <v>797</v>
      </c>
      <c r="D53" s="277">
        <v>51169138.4</v>
      </c>
      <c r="E53" s="277">
        <v>56575.75</v>
      </c>
      <c r="F53" s="277">
        <v>0</v>
      </c>
      <c r="G53" s="277">
        <v>229868</v>
      </c>
      <c r="H53" s="277">
        <v>0</v>
      </c>
      <c r="I53" s="277">
        <v>229868</v>
      </c>
      <c r="J53" s="277">
        <v>0</v>
      </c>
      <c r="K53" s="277">
        <v>0</v>
      </c>
      <c r="L53" s="277">
        <v>0</v>
      </c>
      <c r="M53" s="277">
        <v>0</v>
      </c>
      <c r="N53" s="277">
        <v>0</v>
      </c>
      <c r="O53" s="277">
        <v>0</v>
      </c>
      <c r="P53" s="277">
        <v>50995846.1</v>
      </c>
      <c r="Q53" s="277">
        <v>25497924.1</v>
      </c>
      <c r="R53" s="277">
        <v>20398338</v>
      </c>
      <c r="S53" s="277">
        <v>4589626</v>
      </c>
      <c r="T53" s="277">
        <v>509958</v>
      </c>
      <c r="U53" s="277">
        <v>50995846</v>
      </c>
      <c r="V53" s="277">
        <v>0</v>
      </c>
      <c r="W53" s="277">
        <v>25497924.1</v>
      </c>
      <c r="X53" s="277">
        <v>229868</v>
      </c>
      <c r="Y53" s="277">
        <v>229868</v>
      </c>
      <c r="Z53" s="277">
        <v>0</v>
      </c>
      <c r="AA53" s="277">
        <v>0</v>
      </c>
      <c r="AB53" s="277">
        <v>0</v>
      </c>
      <c r="AC53" s="277">
        <v>0</v>
      </c>
      <c r="AD53" s="277">
        <v>0</v>
      </c>
      <c r="AE53" s="277">
        <v>0</v>
      </c>
      <c r="AF53" s="277">
        <v>0</v>
      </c>
      <c r="AG53" s="277">
        <v>0</v>
      </c>
      <c r="AH53" s="277">
        <v>0</v>
      </c>
      <c r="AI53" s="277">
        <v>0</v>
      </c>
      <c r="AJ53" s="277">
        <v>0</v>
      </c>
      <c r="AK53" s="277">
        <v>0</v>
      </c>
      <c r="AL53" s="277">
        <v>0</v>
      </c>
      <c r="AM53" s="277">
        <v>-715412.5</v>
      </c>
      <c r="AN53" s="277">
        <v>-572330</v>
      </c>
      <c r="AO53" s="277">
        <v>-128774.25</v>
      </c>
      <c r="AP53" s="277">
        <v>-14308.25</v>
      </c>
      <c r="AQ53" s="277">
        <v>-1430825</v>
      </c>
      <c r="AR53" s="277">
        <v>24782512</v>
      </c>
      <c r="AS53" s="277">
        <v>20055876</v>
      </c>
      <c r="AT53" s="277">
        <v>4460852</v>
      </c>
      <c r="AU53" s="277">
        <v>495650</v>
      </c>
      <c r="AV53" s="277">
        <v>49794889</v>
      </c>
      <c r="AW53" s="277">
        <v>218983</v>
      </c>
      <c r="AX53" s="277">
        <v>48722</v>
      </c>
      <c r="AY53" s="277">
        <v>5414</v>
      </c>
      <c r="AZ53" s="277">
        <v>273119</v>
      </c>
      <c r="BA53" s="277">
        <v>623699</v>
      </c>
      <c r="BB53" s="277">
        <v>140332</v>
      </c>
      <c r="BC53" s="277">
        <v>15592</v>
      </c>
      <c r="BD53" s="277">
        <v>779623</v>
      </c>
      <c r="BE53" s="277">
        <v>1416</v>
      </c>
      <c r="BF53" s="277">
        <v>318</v>
      </c>
      <c r="BG53" s="277">
        <v>35</v>
      </c>
      <c r="BH53" s="277">
        <v>1769</v>
      </c>
      <c r="BI53" s="277">
        <v>0</v>
      </c>
      <c r="BJ53" s="277">
        <v>0</v>
      </c>
      <c r="BK53" s="277">
        <v>0</v>
      </c>
      <c r="BL53" s="277">
        <v>0</v>
      </c>
      <c r="BM53" s="277">
        <v>45478</v>
      </c>
      <c r="BN53" s="277">
        <v>4548</v>
      </c>
      <c r="BO53" s="277">
        <v>505</v>
      </c>
      <c r="BP53" s="277">
        <v>50531</v>
      </c>
      <c r="BQ53" s="277">
        <v>405434</v>
      </c>
      <c r="BR53" s="277">
        <v>40543</v>
      </c>
      <c r="BS53" s="277">
        <v>4505</v>
      </c>
      <c r="BT53" s="277">
        <v>450482</v>
      </c>
      <c r="BU53" s="277">
        <v>1295010</v>
      </c>
      <c r="BV53" s="277">
        <v>234463</v>
      </c>
      <c r="BW53" s="277">
        <v>26051</v>
      </c>
      <c r="BX53" s="277">
        <v>1555524</v>
      </c>
      <c r="BY53" s="278" t="s">
        <v>796</v>
      </c>
      <c r="BZ53" s="279" t="s">
        <v>990</v>
      </c>
      <c r="CA53" s="280" t="s">
        <v>991</v>
      </c>
    </row>
    <row r="54" spans="1:79" ht="12.75">
      <c r="A54" s="169">
        <v>47</v>
      </c>
      <c r="B54" s="172" t="s">
        <v>798</v>
      </c>
      <c r="C54" s="258" t="s">
        <v>799</v>
      </c>
      <c r="D54" s="277">
        <v>41547514</v>
      </c>
      <c r="E54" s="277">
        <v>23291</v>
      </c>
      <c r="F54" s="277">
        <v>0</v>
      </c>
      <c r="G54" s="277">
        <v>180284</v>
      </c>
      <c r="H54" s="277">
        <v>0</v>
      </c>
      <c r="I54" s="277">
        <v>180284</v>
      </c>
      <c r="J54" s="277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77">
        <v>41390521</v>
      </c>
      <c r="Q54" s="277">
        <v>20695261</v>
      </c>
      <c r="R54" s="277">
        <v>16556208</v>
      </c>
      <c r="S54" s="277">
        <v>4139052</v>
      </c>
      <c r="T54" s="277">
        <v>0</v>
      </c>
      <c r="U54" s="277">
        <v>41390521</v>
      </c>
      <c r="V54" s="277">
        <v>0</v>
      </c>
      <c r="W54" s="277">
        <v>20695261</v>
      </c>
      <c r="X54" s="277">
        <v>180284</v>
      </c>
      <c r="Y54" s="277">
        <v>180284</v>
      </c>
      <c r="Z54" s="277">
        <v>0</v>
      </c>
      <c r="AA54" s="277">
        <v>0</v>
      </c>
      <c r="AB54" s="277">
        <v>0</v>
      </c>
      <c r="AC54" s="277">
        <v>0</v>
      </c>
      <c r="AD54" s="277">
        <v>0</v>
      </c>
      <c r="AE54" s="277">
        <v>0</v>
      </c>
      <c r="AF54" s="277">
        <v>0</v>
      </c>
      <c r="AG54" s="277">
        <v>0</v>
      </c>
      <c r="AH54" s="277">
        <v>0</v>
      </c>
      <c r="AI54" s="277">
        <v>0</v>
      </c>
      <c r="AJ54" s="277">
        <v>0</v>
      </c>
      <c r="AK54" s="277">
        <v>0</v>
      </c>
      <c r="AL54" s="277">
        <v>0</v>
      </c>
      <c r="AM54" s="277">
        <v>-206945</v>
      </c>
      <c r="AN54" s="277">
        <v>-165556</v>
      </c>
      <c r="AO54" s="277">
        <v>-41389</v>
      </c>
      <c r="AP54" s="277">
        <v>0</v>
      </c>
      <c r="AQ54" s="277">
        <v>-413890</v>
      </c>
      <c r="AR54" s="277">
        <v>20488316</v>
      </c>
      <c r="AS54" s="277">
        <v>16570936</v>
      </c>
      <c r="AT54" s="277">
        <v>4097663</v>
      </c>
      <c r="AU54" s="277">
        <v>0</v>
      </c>
      <c r="AV54" s="277">
        <v>41156915</v>
      </c>
      <c r="AW54" s="277">
        <v>177670</v>
      </c>
      <c r="AX54" s="277">
        <v>43939</v>
      </c>
      <c r="AY54" s="277">
        <v>0</v>
      </c>
      <c r="AZ54" s="277">
        <v>221609</v>
      </c>
      <c r="BA54" s="277">
        <v>476999</v>
      </c>
      <c r="BB54" s="277">
        <v>119250</v>
      </c>
      <c r="BC54" s="277">
        <v>0</v>
      </c>
      <c r="BD54" s="277">
        <v>596249</v>
      </c>
      <c r="BE54" s="277">
        <v>6064</v>
      </c>
      <c r="BF54" s="277">
        <v>1516</v>
      </c>
      <c r="BG54" s="277">
        <v>0</v>
      </c>
      <c r="BH54" s="277">
        <v>7580</v>
      </c>
      <c r="BI54" s="277">
        <v>0</v>
      </c>
      <c r="BJ54" s="277">
        <v>0</v>
      </c>
      <c r="BK54" s="277">
        <v>0</v>
      </c>
      <c r="BL54" s="277">
        <v>0</v>
      </c>
      <c r="BM54" s="277">
        <v>14686</v>
      </c>
      <c r="BN54" s="277">
        <v>3671</v>
      </c>
      <c r="BO54" s="277">
        <v>0</v>
      </c>
      <c r="BP54" s="277">
        <v>18357</v>
      </c>
      <c r="BQ54" s="277">
        <v>251918</v>
      </c>
      <c r="BR54" s="277">
        <v>62980</v>
      </c>
      <c r="BS54" s="277">
        <v>0</v>
      </c>
      <c r="BT54" s="277">
        <v>314898</v>
      </c>
      <c r="BU54" s="277">
        <v>927337</v>
      </c>
      <c r="BV54" s="277">
        <v>231356</v>
      </c>
      <c r="BW54" s="277">
        <v>0</v>
      </c>
      <c r="BX54" s="277">
        <v>1158693</v>
      </c>
      <c r="BY54" s="278" t="s">
        <v>798</v>
      </c>
      <c r="BZ54" s="279" t="s">
        <v>985</v>
      </c>
      <c r="CA54" s="280" t="s">
        <v>984</v>
      </c>
    </row>
    <row r="55" spans="1:79" ht="12.75">
      <c r="A55" s="169">
        <v>48</v>
      </c>
      <c r="B55" s="172" t="s">
        <v>800</v>
      </c>
      <c r="C55" s="258" t="s">
        <v>801</v>
      </c>
      <c r="D55" s="277">
        <v>14919741</v>
      </c>
      <c r="E55" s="277">
        <v>107785</v>
      </c>
      <c r="F55" s="277">
        <v>0</v>
      </c>
      <c r="G55" s="277">
        <v>82932</v>
      </c>
      <c r="H55" s="277">
        <v>0</v>
      </c>
      <c r="I55" s="277">
        <v>82932</v>
      </c>
      <c r="J55" s="277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77">
        <v>14944594</v>
      </c>
      <c r="Q55" s="277">
        <v>7472297</v>
      </c>
      <c r="R55" s="277">
        <v>5977838</v>
      </c>
      <c r="S55" s="277">
        <v>1345013</v>
      </c>
      <c r="T55" s="277">
        <v>149446</v>
      </c>
      <c r="U55" s="277">
        <v>14944594</v>
      </c>
      <c r="V55" s="277">
        <v>0</v>
      </c>
      <c r="W55" s="277">
        <v>7472297</v>
      </c>
      <c r="X55" s="277">
        <v>82932</v>
      </c>
      <c r="Y55" s="277">
        <v>82932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0</v>
      </c>
      <c r="AH55" s="277">
        <v>0</v>
      </c>
      <c r="AI55" s="277">
        <v>0</v>
      </c>
      <c r="AJ55" s="277">
        <v>0</v>
      </c>
      <c r="AK55" s="277">
        <v>0</v>
      </c>
      <c r="AL55" s="277">
        <v>0</v>
      </c>
      <c r="AM55" s="277">
        <v>19484.5</v>
      </c>
      <c r="AN55" s="277">
        <v>15587.6</v>
      </c>
      <c r="AO55" s="277">
        <v>3507.21</v>
      </c>
      <c r="AP55" s="277">
        <v>389.69</v>
      </c>
      <c r="AQ55" s="277">
        <v>38969</v>
      </c>
      <c r="AR55" s="277">
        <v>7491781</v>
      </c>
      <c r="AS55" s="277">
        <v>6076358</v>
      </c>
      <c r="AT55" s="277">
        <v>1348520</v>
      </c>
      <c r="AU55" s="277">
        <v>149836</v>
      </c>
      <c r="AV55" s="277">
        <v>15066495</v>
      </c>
      <c r="AW55" s="277">
        <v>64339</v>
      </c>
      <c r="AX55" s="277">
        <v>14278</v>
      </c>
      <c r="AY55" s="277">
        <v>1586</v>
      </c>
      <c r="AZ55" s="277">
        <v>80203</v>
      </c>
      <c r="BA55" s="277">
        <v>335855</v>
      </c>
      <c r="BB55" s="277">
        <v>75567</v>
      </c>
      <c r="BC55" s="277">
        <v>8396</v>
      </c>
      <c r="BD55" s="277">
        <v>419818</v>
      </c>
      <c r="BE55" s="277">
        <v>13684</v>
      </c>
      <c r="BF55" s="277">
        <v>3079</v>
      </c>
      <c r="BG55" s="277">
        <v>342</v>
      </c>
      <c r="BH55" s="277">
        <v>17105</v>
      </c>
      <c r="BI55" s="277">
        <v>3032</v>
      </c>
      <c r="BJ55" s="277">
        <v>682</v>
      </c>
      <c r="BK55" s="277">
        <v>76</v>
      </c>
      <c r="BL55" s="277">
        <v>3790</v>
      </c>
      <c r="BM55" s="277">
        <v>15862</v>
      </c>
      <c r="BN55" s="277">
        <v>3569</v>
      </c>
      <c r="BO55" s="277">
        <v>397</v>
      </c>
      <c r="BP55" s="277">
        <v>19828</v>
      </c>
      <c r="BQ55" s="277">
        <v>173624</v>
      </c>
      <c r="BR55" s="277">
        <v>39065</v>
      </c>
      <c r="BS55" s="277">
        <v>4341</v>
      </c>
      <c r="BT55" s="277">
        <v>217030</v>
      </c>
      <c r="BU55" s="277">
        <v>606396</v>
      </c>
      <c r="BV55" s="277">
        <v>136240</v>
      </c>
      <c r="BW55" s="277">
        <v>15138</v>
      </c>
      <c r="BX55" s="277">
        <v>757774</v>
      </c>
      <c r="BY55" s="278" t="s">
        <v>800</v>
      </c>
      <c r="BZ55" s="279" t="s">
        <v>998</v>
      </c>
      <c r="CA55" s="280" t="s">
        <v>999</v>
      </c>
    </row>
    <row r="56" spans="1:79" ht="12.75">
      <c r="A56" s="169">
        <v>49</v>
      </c>
      <c r="B56" s="173" t="s">
        <v>802</v>
      </c>
      <c r="C56" s="259" t="s">
        <v>803</v>
      </c>
      <c r="D56" s="277">
        <v>76726440</v>
      </c>
      <c r="E56" s="277">
        <v>199767</v>
      </c>
      <c r="F56" s="277">
        <v>0</v>
      </c>
      <c r="G56" s="277">
        <v>314370</v>
      </c>
      <c r="H56" s="277">
        <v>0</v>
      </c>
      <c r="I56" s="277">
        <v>314370</v>
      </c>
      <c r="J56" s="277">
        <v>0</v>
      </c>
      <c r="K56" s="277">
        <v>0</v>
      </c>
      <c r="L56" s="277">
        <v>0</v>
      </c>
      <c r="M56" s="277">
        <v>0</v>
      </c>
      <c r="N56" s="277">
        <v>0</v>
      </c>
      <c r="O56" s="277">
        <v>0</v>
      </c>
      <c r="P56" s="277">
        <v>76611837</v>
      </c>
      <c r="Q56" s="277">
        <v>38305919</v>
      </c>
      <c r="R56" s="277">
        <v>37539800</v>
      </c>
      <c r="S56" s="277">
        <v>0</v>
      </c>
      <c r="T56" s="277">
        <v>766118</v>
      </c>
      <c r="U56" s="277">
        <v>76611837</v>
      </c>
      <c r="V56" s="277">
        <v>0</v>
      </c>
      <c r="W56" s="277">
        <v>38305919</v>
      </c>
      <c r="X56" s="277">
        <v>314370</v>
      </c>
      <c r="Y56" s="277">
        <v>314370</v>
      </c>
      <c r="Z56" s="277">
        <v>0</v>
      </c>
      <c r="AA56" s="277">
        <v>0</v>
      </c>
      <c r="AB56" s="277">
        <v>0</v>
      </c>
      <c r="AC56" s="277">
        <v>0</v>
      </c>
      <c r="AD56" s="277">
        <v>0</v>
      </c>
      <c r="AE56" s="277">
        <v>0</v>
      </c>
      <c r="AF56" s="277">
        <v>0</v>
      </c>
      <c r="AG56" s="277">
        <v>0</v>
      </c>
      <c r="AH56" s="277">
        <v>0</v>
      </c>
      <c r="AI56" s="277">
        <v>0</v>
      </c>
      <c r="AJ56" s="277">
        <v>0</v>
      </c>
      <c r="AK56" s="277">
        <v>0</v>
      </c>
      <c r="AL56" s="277">
        <v>0</v>
      </c>
      <c r="AM56" s="277">
        <v>-522449</v>
      </c>
      <c r="AN56" s="277">
        <v>-512000.02</v>
      </c>
      <c r="AO56" s="277">
        <v>0</v>
      </c>
      <c r="AP56" s="277">
        <v>-10448.98</v>
      </c>
      <c r="AQ56" s="277">
        <v>-1044898</v>
      </c>
      <c r="AR56" s="277">
        <v>37783470</v>
      </c>
      <c r="AS56" s="277">
        <v>37342170</v>
      </c>
      <c r="AT56" s="277">
        <v>0</v>
      </c>
      <c r="AU56" s="277">
        <v>755669</v>
      </c>
      <c r="AV56" s="277">
        <v>75881309</v>
      </c>
      <c r="AW56" s="277">
        <v>401849</v>
      </c>
      <c r="AX56" s="277">
        <v>0</v>
      </c>
      <c r="AY56" s="277">
        <v>8133</v>
      </c>
      <c r="AZ56" s="277">
        <v>409982</v>
      </c>
      <c r="BA56" s="277">
        <v>1071210</v>
      </c>
      <c r="BB56" s="277">
        <v>0</v>
      </c>
      <c r="BC56" s="277">
        <v>21861</v>
      </c>
      <c r="BD56" s="277">
        <v>1093071</v>
      </c>
      <c r="BE56" s="277">
        <v>-34986</v>
      </c>
      <c r="BF56" s="277">
        <v>0</v>
      </c>
      <c r="BG56" s="277">
        <v>-714</v>
      </c>
      <c r="BH56" s="277">
        <v>-35700</v>
      </c>
      <c r="BI56" s="277">
        <v>0</v>
      </c>
      <c r="BJ56" s="277">
        <v>0</v>
      </c>
      <c r="BK56" s="277">
        <v>0</v>
      </c>
      <c r="BL56" s="277">
        <v>0</v>
      </c>
      <c r="BM56" s="277">
        <v>148560</v>
      </c>
      <c r="BN56" s="277">
        <v>0</v>
      </c>
      <c r="BO56" s="277">
        <v>3032</v>
      </c>
      <c r="BP56" s="277">
        <v>151592</v>
      </c>
      <c r="BQ56" s="277">
        <v>531166</v>
      </c>
      <c r="BR56" s="277">
        <v>0</v>
      </c>
      <c r="BS56" s="277">
        <v>10840</v>
      </c>
      <c r="BT56" s="277">
        <v>542006</v>
      </c>
      <c r="BU56" s="277">
        <v>2117799</v>
      </c>
      <c r="BV56" s="277">
        <v>0</v>
      </c>
      <c r="BW56" s="277">
        <v>43152</v>
      </c>
      <c r="BX56" s="277">
        <v>2160951</v>
      </c>
      <c r="BY56" s="279" t="s">
        <v>802</v>
      </c>
      <c r="BZ56" s="279" t="s">
        <v>1003</v>
      </c>
      <c r="CA56" s="280" t="s">
        <v>1005</v>
      </c>
    </row>
    <row r="57" spans="1:79" ht="12.75">
      <c r="A57" s="169">
        <v>50</v>
      </c>
      <c r="B57" s="172" t="s">
        <v>804</v>
      </c>
      <c r="C57" s="258" t="s">
        <v>805</v>
      </c>
      <c r="D57" s="277">
        <v>40014124.7</v>
      </c>
      <c r="E57" s="277">
        <v>54422.58</v>
      </c>
      <c r="F57" s="277">
        <v>0</v>
      </c>
      <c r="G57" s="277">
        <v>193882</v>
      </c>
      <c r="H57" s="277">
        <v>0</v>
      </c>
      <c r="I57" s="277">
        <v>193882</v>
      </c>
      <c r="J57" s="277">
        <v>0</v>
      </c>
      <c r="K57" s="277">
        <v>0</v>
      </c>
      <c r="L57" s="277">
        <v>0</v>
      </c>
      <c r="M57" s="277">
        <v>130140</v>
      </c>
      <c r="N57" s="277">
        <v>130140</v>
      </c>
      <c r="O57" s="277">
        <v>0</v>
      </c>
      <c r="P57" s="277">
        <v>39744525.3</v>
      </c>
      <c r="Q57" s="277">
        <v>19872263.3</v>
      </c>
      <c r="R57" s="277">
        <v>15897810</v>
      </c>
      <c r="S57" s="277">
        <v>3577007</v>
      </c>
      <c r="T57" s="277">
        <v>397445</v>
      </c>
      <c r="U57" s="277">
        <v>39744525</v>
      </c>
      <c r="V57" s="277">
        <v>0</v>
      </c>
      <c r="W57" s="277">
        <v>19872263.3</v>
      </c>
      <c r="X57" s="277">
        <v>193882</v>
      </c>
      <c r="Y57" s="277">
        <v>193882</v>
      </c>
      <c r="Z57" s="277">
        <v>0</v>
      </c>
      <c r="AA57" s="277">
        <v>0</v>
      </c>
      <c r="AB57" s="277">
        <v>0</v>
      </c>
      <c r="AC57" s="277">
        <v>0</v>
      </c>
      <c r="AD57" s="277">
        <v>130140</v>
      </c>
      <c r="AE57" s="277">
        <v>0</v>
      </c>
      <c r="AF57" s="277">
        <v>130140</v>
      </c>
      <c r="AG57" s="277">
        <v>0</v>
      </c>
      <c r="AH57" s="277">
        <v>0</v>
      </c>
      <c r="AI57" s="277">
        <v>0</v>
      </c>
      <c r="AJ57" s="277">
        <v>0</v>
      </c>
      <c r="AK57" s="277">
        <v>0</v>
      </c>
      <c r="AL57" s="277">
        <v>0</v>
      </c>
      <c r="AM57" s="277">
        <v>-1410027.8</v>
      </c>
      <c r="AN57" s="277">
        <v>-1128022.2</v>
      </c>
      <c r="AO57" s="277">
        <v>-253805</v>
      </c>
      <c r="AP57" s="277">
        <v>-28200.56</v>
      </c>
      <c r="AQ57" s="277">
        <v>-2820055.6</v>
      </c>
      <c r="AR57" s="277">
        <v>18462235</v>
      </c>
      <c r="AS57" s="277">
        <v>15093810</v>
      </c>
      <c r="AT57" s="277">
        <v>3323202</v>
      </c>
      <c r="AU57" s="277">
        <v>369244</v>
      </c>
      <c r="AV57" s="277">
        <v>37248491</v>
      </c>
      <c r="AW57" s="277">
        <v>172206</v>
      </c>
      <c r="AX57" s="277">
        <v>37972</v>
      </c>
      <c r="AY57" s="277">
        <v>4219</v>
      </c>
      <c r="AZ57" s="277">
        <v>214397</v>
      </c>
      <c r="BA57" s="277">
        <v>595965</v>
      </c>
      <c r="BB57" s="277">
        <v>134092</v>
      </c>
      <c r="BC57" s="277">
        <v>14899</v>
      </c>
      <c r="BD57" s="277">
        <v>744956</v>
      </c>
      <c r="BE57" s="277">
        <v>4042</v>
      </c>
      <c r="BF57" s="277">
        <v>910</v>
      </c>
      <c r="BG57" s="277">
        <v>101</v>
      </c>
      <c r="BH57" s="277">
        <v>5053</v>
      </c>
      <c r="BI57" s="277">
        <v>0</v>
      </c>
      <c r="BJ57" s="277">
        <v>0</v>
      </c>
      <c r="BK57" s="277">
        <v>0</v>
      </c>
      <c r="BL57" s="277">
        <v>0</v>
      </c>
      <c r="BM57" s="277">
        <v>16498</v>
      </c>
      <c r="BN57" s="277">
        <v>3712</v>
      </c>
      <c r="BO57" s="277">
        <v>412</v>
      </c>
      <c r="BP57" s="277">
        <v>20622</v>
      </c>
      <c r="BQ57" s="277">
        <v>235332</v>
      </c>
      <c r="BR57" s="277">
        <v>52950</v>
      </c>
      <c r="BS57" s="277">
        <v>5883</v>
      </c>
      <c r="BT57" s="277">
        <v>294165</v>
      </c>
      <c r="BU57" s="277">
        <v>1024043</v>
      </c>
      <c r="BV57" s="277">
        <v>229636</v>
      </c>
      <c r="BW57" s="277">
        <v>25514</v>
      </c>
      <c r="BX57" s="277">
        <v>1279193</v>
      </c>
      <c r="BY57" s="278" t="s">
        <v>804</v>
      </c>
      <c r="BZ57" s="279" t="s">
        <v>1007</v>
      </c>
      <c r="CA57" s="280" t="s">
        <v>1008</v>
      </c>
    </row>
    <row r="58" spans="1:79" ht="12.75">
      <c r="A58" s="169">
        <v>51</v>
      </c>
      <c r="B58" s="172" t="s">
        <v>806</v>
      </c>
      <c r="C58" s="258" t="s">
        <v>807</v>
      </c>
      <c r="D58" s="277">
        <v>77766493</v>
      </c>
      <c r="E58" s="277">
        <v>44003.17</v>
      </c>
      <c r="F58" s="277">
        <v>0</v>
      </c>
      <c r="G58" s="277">
        <v>223812</v>
      </c>
      <c r="H58" s="277">
        <v>0</v>
      </c>
      <c r="I58" s="277">
        <v>223812</v>
      </c>
      <c r="J58" s="277">
        <v>0</v>
      </c>
      <c r="K58" s="277">
        <v>0</v>
      </c>
      <c r="L58" s="277">
        <v>0</v>
      </c>
      <c r="M58" s="277">
        <v>0</v>
      </c>
      <c r="N58" s="277">
        <v>0</v>
      </c>
      <c r="O58" s="277">
        <v>0</v>
      </c>
      <c r="P58" s="277">
        <v>77586684.2</v>
      </c>
      <c r="Q58" s="277">
        <v>38793341.2</v>
      </c>
      <c r="R58" s="277">
        <v>31034674</v>
      </c>
      <c r="S58" s="277">
        <v>6982802</v>
      </c>
      <c r="T58" s="277">
        <v>775867</v>
      </c>
      <c r="U58" s="277">
        <v>77586684</v>
      </c>
      <c r="V58" s="277">
        <v>0</v>
      </c>
      <c r="W58" s="277">
        <v>38793341.2</v>
      </c>
      <c r="X58" s="277">
        <v>223812</v>
      </c>
      <c r="Y58" s="277">
        <v>223812</v>
      </c>
      <c r="Z58" s="277">
        <v>0</v>
      </c>
      <c r="AA58" s="277">
        <v>0</v>
      </c>
      <c r="AB58" s="277">
        <v>0</v>
      </c>
      <c r="AC58" s="277">
        <v>0</v>
      </c>
      <c r="AD58" s="277">
        <v>0</v>
      </c>
      <c r="AE58" s="277">
        <v>0</v>
      </c>
      <c r="AF58" s="277">
        <v>0</v>
      </c>
      <c r="AG58" s="277">
        <v>0</v>
      </c>
      <c r="AH58" s="277">
        <v>0</v>
      </c>
      <c r="AI58" s="277">
        <v>0</v>
      </c>
      <c r="AJ58" s="277">
        <v>0</v>
      </c>
      <c r="AK58" s="277">
        <v>0</v>
      </c>
      <c r="AL58" s="277">
        <v>0</v>
      </c>
      <c r="AM58" s="277">
        <v>24738.15</v>
      </c>
      <c r="AN58" s="277">
        <v>19790.52</v>
      </c>
      <c r="AO58" s="277">
        <v>4452.87</v>
      </c>
      <c r="AP58" s="277">
        <v>494.76</v>
      </c>
      <c r="AQ58" s="277">
        <v>49476.29</v>
      </c>
      <c r="AR58" s="277">
        <v>38818079</v>
      </c>
      <c r="AS58" s="277">
        <v>31278277</v>
      </c>
      <c r="AT58" s="277">
        <v>6987255</v>
      </c>
      <c r="AU58" s="277">
        <v>776362</v>
      </c>
      <c r="AV58" s="277">
        <v>77859972</v>
      </c>
      <c r="AW58" s="277">
        <v>331831</v>
      </c>
      <c r="AX58" s="277">
        <v>74127</v>
      </c>
      <c r="AY58" s="277">
        <v>8236</v>
      </c>
      <c r="AZ58" s="277">
        <v>414194</v>
      </c>
      <c r="BA58" s="277">
        <v>475602</v>
      </c>
      <c r="BB58" s="277">
        <v>107010</v>
      </c>
      <c r="BC58" s="277">
        <v>11890</v>
      </c>
      <c r="BD58" s="277">
        <v>594502</v>
      </c>
      <c r="BE58" s="277">
        <v>0</v>
      </c>
      <c r="BF58" s="277">
        <v>0</v>
      </c>
      <c r="BG58" s="277">
        <v>0</v>
      </c>
      <c r="BH58" s="277">
        <v>0</v>
      </c>
      <c r="BI58" s="277">
        <v>0</v>
      </c>
      <c r="BJ58" s="277">
        <v>0</v>
      </c>
      <c r="BK58" s="277">
        <v>0</v>
      </c>
      <c r="BL58" s="277">
        <v>0</v>
      </c>
      <c r="BM58" s="277">
        <v>60637</v>
      </c>
      <c r="BN58" s="277">
        <v>13643</v>
      </c>
      <c r="BO58" s="277">
        <v>1516</v>
      </c>
      <c r="BP58" s="277">
        <v>75796</v>
      </c>
      <c r="BQ58" s="277">
        <v>327439</v>
      </c>
      <c r="BR58" s="277">
        <v>73674</v>
      </c>
      <c r="BS58" s="277">
        <v>8186</v>
      </c>
      <c r="BT58" s="277">
        <v>409299</v>
      </c>
      <c r="BU58" s="277">
        <v>1195509</v>
      </c>
      <c r="BV58" s="277">
        <v>268454</v>
      </c>
      <c r="BW58" s="277">
        <v>29828</v>
      </c>
      <c r="BX58" s="277">
        <v>1493791</v>
      </c>
      <c r="BY58" s="278" t="s">
        <v>806</v>
      </c>
      <c r="BZ58" s="279" t="s">
        <v>998</v>
      </c>
      <c r="CA58" s="280" t="s">
        <v>999</v>
      </c>
    </row>
    <row r="59" spans="1:79" ht="12.75">
      <c r="A59" s="169">
        <v>52</v>
      </c>
      <c r="B59" s="172" t="s">
        <v>808</v>
      </c>
      <c r="C59" s="258" t="s">
        <v>809</v>
      </c>
      <c r="D59" s="277">
        <v>54218770</v>
      </c>
      <c r="E59" s="277">
        <v>0</v>
      </c>
      <c r="F59" s="277">
        <v>17861</v>
      </c>
      <c r="G59" s="277">
        <v>183923</v>
      </c>
      <c r="H59" s="277">
        <v>0</v>
      </c>
      <c r="I59" s="277">
        <v>183923</v>
      </c>
      <c r="J59" s="277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77">
        <v>54016986</v>
      </c>
      <c r="Q59" s="277">
        <v>27008493</v>
      </c>
      <c r="R59" s="277">
        <v>21606794</v>
      </c>
      <c r="S59" s="277">
        <v>5401699</v>
      </c>
      <c r="T59" s="277">
        <v>0</v>
      </c>
      <c r="U59" s="277">
        <v>54016986</v>
      </c>
      <c r="V59" s="277">
        <v>0</v>
      </c>
      <c r="W59" s="277">
        <v>27008493</v>
      </c>
      <c r="X59" s="277">
        <v>183923</v>
      </c>
      <c r="Y59" s="277">
        <v>183923</v>
      </c>
      <c r="Z59" s="277">
        <v>0</v>
      </c>
      <c r="AA59" s="277">
        <v>0</v>
      </c>
      <c r="AB59" s="277">
        <v>0</v>
      </c>
      <c r="AC59" s="277">
        <v>0</v>
      </c>
      <c r="AD59" s="277">
        <v>0</v>
      </c>
      <c r="AE59" s="277">
        <v>0</v>
      </c>
      <c r="AF59" s="277">
        <v>0</v>
      </c>
      <c r="AG59" s="277">
        <v>0</v>
      </c>
      <c r="AH59" s="277">
        <v>0</v>
      </c>
      <c r="AI59" s="277">
        <v>0</v>
      </c>
      <c r="AJ59" s="277">
        <v>0</v>
      </c>
      <c r="AK59" s="277">
        <v>0</v>
      </c>
      <c r="AL59" s="277">
        <v>0</v>
      </c>
      <c r="AM59" s="277">
        <v>208133</v>
      </c>
      <c r="AN59" s="277">
        <v>166506.4</v>
      </c>
      <c r="AO59" s="277">
        <v>41626.6</v>
      </c>
      <c r="AP59" s="277">
        <v>0</v>
      </c>
      <c r="AQ59" s="277">
        <v>416266</v>
      </c>
      <c r="AR59" s="277">
        <v>27216626</v>
      </c>
      <c r="AS59" s="277">
        <v>21957223</v>
      </c>
      <c r="AT59" s="277">
        <v>5443326</v>
      </c>
      <c r="AU59" s="277">
        <v>0</v>
      </c>
      <c r="AV59" s="277">
        <v>54617175</v>
      </c>
      <c r="AW59" s="277">
        <v>231324</v>
      </c>
      <c r="AX59" s="277">
        <v>57343</v>
      </c>
      <c r="AY59" s="277">
        <v>0</v>
      </c>
      <c r="AZ59" s="277">
        <v>288667</v>
      </c>
      <c r="BA59" s="277">
        <v>429127</v>
      </c>
      <c r="BB59" s="277">
        <v>107282</v>
      </c>
      <c r="BC59" s="277">
        <v>0</v>
      </c>
      <c r="BD59" s="277">
        <v>536409</v>
      </c>
      <c r="BE59" s="277">
        <v>2022</v>
      </c>
      <c r="BF59" s="277">
        <v>505</v>
      </c>
      <c r="BG59" s="277">
        <v>0</v>
      </c>
      <c r="BH59" s="277">
        <v>2527</v>
      </c>
      <c r="BI59" s="277">
        <v>12127</v>
      </c>
      <c r="BJ59" s="277">
        <v>3032</v>
      </c>
      <c r="BK59" s="277">
        <v>0</v>
      </c>
      <c r="BL59" s="277">
        <v>15159</v>
      </c>
      <c r="BM59" s="277">
        <v>30318</v>
      </c>
      <c r="BN59" s="277">
        <v>7580</v>
      </c>
      <c r="BO59" s="277">
        <v>0</v>
      </c>
      <c r="BP59" s="277">
        <v>37898</v>
      </c>
      <c r="BQ59" s="277">
        <v>303185</v>
      </c>
      <c r="BR59" s="277">
        <v>75796</v>
      </c>
      <c r="BS59" s="277">
        <v>0</v>
      </c>
      <c r="BT59" s="277">
        <v>378981</v>
      </c>
      <c r="BU59" s="277">
        <v>1008103</v>
      </c>
      <c r="BV59" s="277">
        <v>251538</v>
      </c>
      <c r="BW59" s="277">
        <v>0</v>
      </c>
      <c r="BX59" s="277">
        <v>1259641</v>
      </c>
      <c r="BY59" s="278" t="s">
        <v>808</v>
      </c>
      <c r="BZ59" s="279" t="s">
        <v>1027</v>
      </c>
      <c r="CA59" s="280" t="s">
        <v>984</v>
      </c>
    </row>
    <row r="60" spans="1:79" ht="12.75">
      <c r="A60" s="169">
        <v>53</v>
      </c>
      <c r="B60" s="172" t="s">
        <v>810</v>
      </c>
      <c r="C60" s="258" t="s">
        <v>811</v>
      </c>
      <c r="D60" s="277">
        <v>70701247</v>
      </c>
      <c r="E60" s="277">
        <v>84538</v>
      </c>
      <c r="F60" s="277">
        <v>0</v>
      </c>
      <c r="G60" s="277">
        <v>219880</v>
      </c>
      <c r="H60" s="277">
        <v>0</v>
      </c>
      <c r="I60" s="277">
        <v>219880</v>
      </c>
      <c r="J60" s="277">
        <v>0</v>
      </c>
      <c r="K60" s="277">
        <v>0</v>
      </c>
      <c r="L60" s="277">
        <v>0</v>
      </c>
      <c r="M60" s="277">
        <v>434966</v>
      </c>
      <c r="N60" s="277">
        <v>19536</v>
      </c>
      <c r="O60" s="277">
        <v>415430</v>
      </c>
      <c r="P60" s="277">
        <v>70130939</v>
      </c>
      <c r="Q60" s="277">
        <v>35065469</v>
      </c>
      <c r="R60" s="277">
        <v>28052376</v>
      </c>
      <c r="S60" s="277">
        <v>7013094</v>
      </c>
      <c r="T60" s="277">
        <v>0</v>
      </c>
      <c r="U60" s="277">
        <v>70130939</v>
      </c>
      <c r="V60" s="277">
        <v>0</v>
      </c>
      <c r="W60" s="277">
        <v>35065469</v>
      </c>
      <c r="X60" s="277">
        <v>219880</v>
      </c>
      <c r="Y60" s="277">
        <v>219880</v>
      </c>
      <c r="Z60" s="277">
        <v>0</v>
      </c>
      <c r="AA60" s="277">
        <v>0</v>
      </c>
      <c r="AB60" s="277">
        <v>0</v>
      </c>
      <c r="AC60" s="277">
        <v>0</v>
      </c>
      <c r="AD60" s="277">
        <v>19536</v>
      </c>
      <c r="AE60" s="277">
        <v>415430</v>
      </c>
      <c r="AF60" s="277">
        <v>434966</v>
      </c>
      <c r="AG60" s="277">
        <v>0</v>
      </c>
      <c r="AH60" s="277">
        <v>0</v>
      </c>
      <c r="AI60" s="277">
        <v>0</v>
      </c>
      <c r="AJ60" s="277">
        <v>0</v>
      </c>
      <c r="AK60" s="277">
        <v>0</v>
      </c>
      <c r="AL60" s="277">
        <v>0</v>
      </c>
      <c r="AM60" s="277">
        <v>385695.5</v>
      </c>
      <c r="AN60" s="277">
        <v>308556.4</v>
      </c>
      <c r="AO60" s="277">
        <v>77139.1</v>
      </c>
      <c r="AP60" s="277">
        <v>0</v>
      </c>
      <c r="AQ60" s="277">
        <v>771391</v>
      </c>
      <c r="AR60" s="277">
        <v>35451165</v>
      </c>
      <c r="AS60" s="277">
        <v>28600348</v>
      </c>
      <c r="AT60" s="277">
        <v>7505663</v>
      </c>
      <c r="AU60" s="277">
        <v>0</v>
      </c>
      <c r="AV60" s="277">
        <v>71557176</v>
      </c>
      <c r="AW60" s="277">
        <v>300337</v>
      </c>
      <c r="AX60" s="277">
        <v>78859</v>
      </c>
      <c r="AY60" s="277">
        <v>0</v>
      </c>
      <c r="AZ60" s="277">
        <v>379196</v>
      </c>
      <c r="BA60" s="277">
        <v>374468</v>
      </c>
      <c r="BB60" s="277">
        <v>93617</v>
      </c>
      <c r="BC60" s="277">
        <v>0</v>
      </c>
      <c r="BD60" s="277">
        <v>468085</v>
      </c>
      <c r="BE60" s="277">
        <v>22848</v>
      </c>
      <c r="BF60" s="277">
        <v>5712</v>
      </c>
      <c r="BG60" s="277">
        <v>0</v>
      </c>
      <c r="BH60" s="277">
        <v>28560</v>
      </c>
      <c r="BI60" s="277">
        <v>163315</v>
      </c>
      <c r="BJ60" s="277">
        <v>40829</v>
      </c>
      <c r="BK60" s="277">
        <v>0</v>
      </c>
      <c r="BL60" s="277">
        <v>204144</v>
      </c>
      <c r="BM60" s="277">
        <v>136635</v>
      </c>
      <c r="BN60" s="277">
        <v>34159</v>
      </c>
      <c r="BO60" s="277">
        <v>0</v>
      </c>
      <c r="BP60" s="277">
        <v>170794</v>
      </c>
      <c r="BQ60" s="277">
        <v>172613</v>
      </c>
      <c r="BR60" s="277">
        <v>43153</v>
      </c>
      <c r="BS60" s="277">
        <v>0</v>
      </c>
      <c r="BT60" s="277">
        <v>215766</v>
      </c>
      <c r="BU60" s="277">
        <v>1170216</v>
      </c>
      <c r="BV60" s="277">
        <v>296329</v>
      </c>
      <c r="BW60" s="277">
        <v>0</v>
      </c>
      <c r="BX60" s="277">
        <v>1466545</v>
      </c>
      <c r="BY60" s="278" t="s">
        <v>810</v>
      </c>
      <c r="BZ60" s="279" t="s">
        <v>1028</v>
      </c>
      <c r="CA60" s="280" t="s">
        <v>984</v>
      </c>
    </row>
    <row r="61" spans="1:79" ht="12.75">
      <c r="A61" s="169">
        <v>54</v>
      </c>
      <c r="B61" s="172" t="s">
        <v>812</v>
      </c>
      <c r="C61" s="258" t="s">
        <v>813</v>
      </c>
      <c r="D61" s="277">
        <v>135651757</v>
      </c>
      <c r="E61" s="277">
        <v>90100</v>
      </c>
      <c r="F61" s="277">
        <v>0</v>
      </c>
      <c r="G61" s="277">
        <v>560489</v>
      </c>
      <c r="H61" s="277">
        <v>0</v>
      </c>
      <c r="I61" s="277">
        <v>560489</v>
      </c>
      <c r="J61" s="277">
        <v>0</v>
      </c>
      <c r="K61" s="277">
        <v>0</v>
      </c>
      <c r="L61" s="277">
        <v>0</v>
      </c>
      <c r="M61" s="277">
        <v>0</v>
      </c>
      <c r="N61" s="277">
        <v>0</v>
      </c>
      <c r="O61" s="277">
        <v>0</v>
      </c>
      <c r="P61" s="277">
        <v>135181368</v>
      </c>
      <c r="Q61" s="277">
        <v>67590684</v>
      </c>
      <c r="R61" s="277">
        <v>66238870</v>
      </c>
      <c r="S61" s="277">
        <v>0</v>
      </c>
      <c r="T61" s="277">
        <v>1351814</v>
      </c>
      <c r="U61" s="277">
        <v>135181368</v>
      </c>
      <c r="V61" s="277">
        <v>0</v>
      </c>
      <c r="W61" s="277">
        <v>67590684</v>
      </c>
      <c r="X61" s="277">
        <v>560489</v>
      </c>
      <c r="Y61" s="277">
        <v>560489</v>
      </c>
      <c r="Z61" s="277">
        <v>0</v>
      </c>
      <c r="AA61" s="277">
        <v>0</v>
      </c>
      <c r="AB61" s="277">
        <v>0</v>
      </c>
      <c r="AC61" s="277">
        <v>0</v>
      </c>
      <c r="AD61" s="277">
        <v>0</v>
      </c>
      <c r="AE61" s="277">
        <v>0</v>
      </c>
      <c r="AF61" s="277">
        <v>0</v>
      </c>
      <c r="AG61" s="277">
        <v>0</v>
      </c>
      <c r="AH61" s="277">
        <v>0</v>
      </c>
      <c r="AI61" s="277">
        <v>0</v>
      </c>
      <c r="AJ61" s="277">
        <v>0</v>
      </c>
      <c r="AK61" s="277">
        <v>0</v>
      </c>
      <c r="AL61" s="277">
        <v>0</v>
      </c>
      <c r="AM61" s="277">
        <v>-3667058</v>
      </c>
      <c r="AN61" s="277">
        <v>-3593716.8</v>
      </c>
      <c r="AO61" s="277">
        <v>0</v>
      </c>
      <c r="AP61" s="277">
        <v>-73341.16</v>
      </c>
      <c r="AQ61" s="277">
        <v>-7334116</v>
      </c>
      <c r="AR61" s="277">
        <v>63923626</v>
      </c>
      <c r="AS61" s="277">
        <v>63205642</v>
      </c>
      <c r="AT61" s="277">
        <v>0</v>
      </c>
      <c r="AU61" s="277">
        <v>1278473</v>
      </c>
      <c r="AV61" s="277">
        <v>128407741</v>
      </c>
      <c r="AW61" s="277">
        <v>709123</v>
      </c>
      <c r="AX61" s="277">
        <v>0</v>
      </c>
      <c r="AY61" s="277">
        <v>14350</v>
      </c>
      <c r="AZ61" s="277">
        <v>723473</v>
      </c>
      <c r="BA61" s="277">
        <v>2001385</v>
      </c>
      <c r="BB61" s="277">
        <v>0</v>
      </c>
      <c r="BC61" s="277">
        <v>40845</v>
      </c>
      <c r="BD61" s="277">
        <v>2042230</v>
      </c>
      <c r="BE61" s="277">
        <v>0</v>
      </c>
      <c r="BF61" s="277">
        <v>0</v>
      </c>
      <c r="BG61" s="277">
        <v>0</v>
      </c>
      <c r="BH61" s="277">
        <v>0</v>
      </c>
      <c r="BI61" s="277">
        <v>0</v>
      </c>
      <c r="BJ61" s="277">
        <v>0</v>
      </c>
      <c r="BK61" s="277">
        <v>0</v>
      </c>
      <c r="BL61" s="277">
        <v>0</v>
      </c>
      <c r="BM61" s="277">
        <v>77249</v>
      </c>
      <c r="BN61" s="277">
        <v>0</v>
      </c>
      <c r="BO61" s="277">
        <v>1577</v>
      </c>
      <c r="BP61" s="277">
        <v>78826</v>
      </c>
      <c r="BQ61" s="277">
        <v>1610577</v>
      </c>
      <c r="BR61" s="277">
        <v>0</v>
      </c>
      <c r="BS61" s="277">
        <v>32869</v>
      </c>
      <c r="BT61" s="277">
        <v>1643446</v>
      </c>
      <c r="BU61" s="277">
        <v>4398334</v>
      </c>
      <c r="BV61" s="277">
        <v>0</v>
      </c>
      <c r="BW61" s="277">
        <v>89641</v>
      </c>
      <c r="BX61" s="277">
        <v>4487975</v>
      </c>
      <c r="BY61" s="279" t="s">
        <v>812</v>
      </c>
      <c r="BZ61" s="279" t="s">
        <v>1003</v>
      </c>
      <c r="CA61" s="280" t="s">
        <v>1029</v>
      </c>
    </row>
    <row r="62" spans="1:79" ht="12.75">
      <c r="A62" s="169">
        <v>55</v>
      </c>
      <c r="B62" s="172" t="s">
        <v>814</v>
      </c>
      <c r="C62" s="258" t="s">
        <v>815</v>
      </c>
      <c r="D62" s="277">
        <v>149976727</v>
      </c>
      <c r="E62" s="277">
        <v>0</v>
      </c>
      <c r="F62" s="277">
        <v>50426</v>
      </c>
      <c r="G62" s="277">
        <v>501621</v>
      </c>
      <c r="H62" s="277">
        <v>0</v>
      </c>
      <c r="I62" s="277">
        <v>501621</v>
      </c>
      <c r="J62" s="277">
        <v>0</v>
      </c>
      <c r="K62" s="277">
        <v>0</v>
      </c>
      <c r="L62" s="277">
        <v>0</v>
      </c>
      <c r="M62" s="277">
        <v>0</v>
      </c>
      <c r="N62" s="277">
        <v>0</v>
      </c>
      <c r="O62" s="277">
        <v>0</v>
      </c>
      <c r="P62" s="277">
        <v>149424680</v>
      </c>
      <c r="Q62" s="277">
        <v>74712340</v>
      </c>
      <c r="R62" s="277">
        <v>73218093</v>
      </c>
      <c r="S62" s="277">
        <v>0</v>
      </c>
      <c r="T62" s="277">
        <v>1494247</v>
      </c>
      <c r="U62" s="277">
        <v>149424680</v>
      </c>
      <c r="V62" s="277">
        <v>0</v>
      </c>
      <c r="W62" s="277">
        <v>74712340</v>
      </c>
      <c r="X62" s="277">
        <v>501621</v>
      </c>
      <c r="Y62" s="277">
        <v>501621</v>
      </c>
      <c r="Z62" s="277">
        <v>0</v>
      </c>
      <c r="AA62" s="277">
        <v>0</v>
      </c>
      <c r="AB62" s="277">
        <v>0</v>
      </c>
      <c r="AC62" s="277">
        <v>0</v>
      </c>
      <c r="AD62" s="277">
        <v>0</v>
      </c>
      <c r="AE62" s="277">
        <v>0</v>
      </c>
      <c r="AF62" s="277">
        <v>0</v>
      </c>
      <c r="AG62" s="277">
        <v>0</v>
      </c>
      <c r="AH62" s="277">
        <v>0</v>
      </c>
      <c r="AI62" s="277">
        <v>0</v>
      </c>
      <c r="AJ62" s="277">
        <v>0</v>
      </c>
      <c r="AK62" s="277">
        <v>0</v>
      </c>
      <c r="AL62" s="277">
        <v>0</v>
      </c>
      <c r="AM62" s="277">
        <v>-1663677</v>
      </c>
      <c r="AN62" s="277">
        <v>-1630402</v>
      </c>
      <c r="AO62" s="277">
        <v>0</v>
      </c>
      <c r="AP62" s="277">
        <v>-33274</v>
      </c>
      <c r="AQ62" s="277">
        <v>-3327353</v>
      </c>
      <c r="AR62" s="277">
        <v>73048663</v>
      </c>
      <c r="AS62" s="277">
        <v>72089312</v>
      </c>
      <c r="AT62" s="277">
        <v>0</v>
      </c>
      <c r="AU62" s="277">
        <v>1460973</v>
      </c>
      <c r="AV62" s="277">
        <v>146598948</v>
      </c>
      <c r="AW62" s="277">
        <v>782587</v>
      </c>
      <c r="AX62" s="277">
        <v>0</v>
      </c>
      <c r="AY62" s="277">
        <v>15862</v>
      </c>
      <c r="AZ62" s="277">
        <v>798449</v>
      </c>
      <c r="BA62" s="277">
        <v>1452707</v>
      </c>
      <c r="BB62" s="277">
        <v>0</v>
      </c>
      <c r="BC62" s="277">
        <v>29647</v>
      </c>
      <c r="BD62" s="277">
        <v>1482354</v>
      </c>
      <c r="BE62" s="277">
        <v>9904</v>
      </c>
      <c r="BF62" s="277">
        <v>0</v>
      </c>
      <c r="BG62" s="277">
        <v>202</v>
      </c>
      <c r="BH62" s="277">
        <v>10106</v>
      </c>
      <c r="BI62" s="277">
        <v>9904</v>
      </c>
      <c r="BJ62" s="277">
        <v>0</v>
      </c>
      <c r="BK62" s="277">
        <v>202</v>
      </c>
      <c r="BL62" s="277">
        <v>10106</v>
      </c>
      <c r="BM62" s="277">
        <v>153512</v>
      </c>
      <c r="BN62" s="277">
        <v>0</v>
      </c>
      <c r="BO62" s="277">
        <v>3133</v>
      </c>
      <c r="BP62" s="277">
        <v>156645</v>
      </c>
      <c r="BQ62" s="277">
        <v>866603</v>
      </c>
      <c r="BR62" s="277">
        <v>0</v>
      </c>
      <c r="BS62" s="277">
        <v>17686</v>
      </c>
      <c r="BT62" s="277">
        <v>884289</v>
      </c>
      <c r="BU62" s="277">
        <v>3275217</v>
      </c>
      <c r="BV62" s="277">
        <v>0</v>
      </c>
      <c r="BW62" s="277">
        <v>66732</v>
      </c>
      <c r="BX62" s="277">
        <v>3341949</v>
      </c>
      <c r="BY62" s="279" t="s">
        <v>887</v>
      </c>
      <c r="BZ62" s="279" t="s">
        <v>1003</v>
      </c>
      <c r="CA62" s="280" t="s">
        <v>1029</v>
      </c>
    </row>
    <row r="63" spans="1:79" ht="12.75">
      <c r="A63" s="169">
        <v>56</v>
      </c>
      <c r="B63" s="172" t="s">
        <v>816</v>
      </c>
      <c r="C63" s="258" t="s">
        <v>817</v>
      </c>
      <c r="D63" s="277">
        <v>35961059</v>
      </c>
      <c r="E63" s="277">
        <v>0</v>
      </c>
      <c r="F63" s="277">
        <v>15898</v>
      </c>
      <c r="G63" s="277">
        <v>166169</v>
      </c>
      <c r="H63" s="277">
        <v>0</v>
      </c>
      <c r="I63" s="277">
        <v>166169</v>
      </c>
      <c r="J63" s="277">
        <v>0</v>
      </c>
      <c r="K63" s="277">
        <v>0</v>
      </c>
      <c r="L63" s="277">
        <v>0</v>
      </c>
      <c r="M63" s="277">
        <v>0</v>
      </c>
      <c r="N63" s="277">
        <v>0</v>
      </c>
      <c r="O63" s="277">
        <v>0</v>
      </c>
      <c r="P63" s="277">
        <v>35778992</v>
      </c>
      <c r="Q63" s="277">
        <v>17889496</v>
      </c>
      <c r="R63" s="277">
        <v>14311597</v>
      </c>
      <c r="S63" s="277">
        <v>3220109</v>
      </c>
      <c r="T63" s="277">
        <v>357790</v>
      </c>
      <c r="U63" s="277">
        <v>35778992</v>
      </c>
      <c r="V63" s="277">
        <v>0</v>
      </c>
      <c r="W63" s="277">
        <v>17889496</v>
      </c>
      <c r="X63" s="277">
        <v>166169</v>
      </c>
      <c r="Y63" s="277">
        <v>166169</v>
      </c>
      <c r="Z63" s="277">
        <v>0</v>
      </c>
      <c r="AA63" s="277">
        <v>0</v>
      </c>
      <c r="AB63" s="277">
        <v>0</v>
      </c>
      <c r="AC63" s="277">
        <v>0</v>
      </c>
      <c r="AD63" s="277">
        <v>0</v>
      </c>
      <c r="AE63" s="277">
        <v>0</v>
      </c>
      <c r="AF63" s="277">
        <v>0</v>
      </c>
      <c r="AG63" s="277">
        <v>0</v>
      </c>
      <c r="AH63" s="277">
        <v>0</v>
      </c>
      <c r="AI63" s="277">
        <v>0</v>
      </c>
      <c r="AJ63" s="277">
        <v>0</v>
      </c>
      <c r="AK63" s="277">
        <v>0</v>
      </c>
      <c r="AL63" s="277">
        <v>0</v>
      </c>
      <c r="AM63" s="277">
        <v>57600</v>
      </c>
      <c r="AN63" s="277">
        <v>46080</v>
      </c>
      <c r="AO63" s="277">
        <v>10368</v>
      </c>
      <c r="AP63" s="277">
        <v>1152</v>
      </c>
      <c r="AQ63" s="277">
        <v>115200</v>
      </c>
      <c r="AR63" s="277">
        <v>17947096</v>
      </c>
      <c r="AS63" s="277">
        <v>14523846</v>
      </c>
      <c r="AT63" s="277">
        <v>3230477</v>
      </c>
      <c r="AU63" s="277">
        <v>358942</v>
      </c>
      <c r="AV63" s="277">
        <v>36060361</v>
      </c>
      <c r="AW63" s="277">
        <v>153692</v>
      </c>
      <c r="AX63" s="277">
        <v>34184</v>
      </c>
      <c r="AY63" s="277">
        <v>3798</v>
      </c>
      <c r="AZ63" s="277">
        <v>191674</v>
      </c>
      <c r="BA63" s="277">
        <v>512148</v>
      </c>
      <c r="BB63" s="277">
        <v>115233</v>
      </c>
      <c r="BC63" s="277">
        <v>12804</v>
      </c>
      <c r="BD63" s="277">
        <v>640185</v>
      </c>
      <c r="BE63" s="277">
        <v>0</v>
      </c>
      <c r="BF63" s="277">
        <v>0</v>
      </c>
      <c r="BG63" s="277">
        <v>0</v>
      </c>
      <c r="BH63" s="277">
        <v>0</v>
      </c>
      <c r="BI63" s="277">
        <v>0</v>
      </c>
      <c r="BJ63" s="277">
        <v>0</v>
      </c>
      <c r="BK63" s="277">
        <v>0</v>
      </c>
      <c r="BL63" s="277">
        <v>0</v>
      </c>
      <c r="BM63" s="277">
        <v>11156</v>
      </c>
      <c r="BN63" s="277">
        <v>2510</v>
      </c>
      <c r="BO63" s="277">
        <v>279</v>
      </c>
      <c r="BP63" s="277">
        <v>13945</v>
      </c>
      <c r="BQ63" s="277">
        <v>235984</v>
      </c>
      <c r="BR63" s="277">
        <v>53097</v>
      </c>
      <c r="BS63" s="277">
        <v>5900</v>
      </c>
      <c r="BT63" s="277">
        <v>294981</v>
      </c>
      <c r="BU63" s="277">
        <v>912980</v>
      </c>
      <c r="BV63" s="277">
        <v>205024</v>
      </c>
      <c r="BW63" s="277">
        <v>22781</v>
      </c>
      <c r="BX63" s="277">
        <v>1140785</v>
      </c>
      <c r="BY63" s="278" t="s">
        <v>816</v>
      </c>
      <c r="BZ63" s="279" t="s">
        <v>986</v>
      </c>
      <c r="CA63" s="280" t="s">
        <v>987</v>
      </c>
    </row>
    <row r="64" spans="1:79" ht="12.75">
      <c r="A64" s="169">
        <v>57</v>
      </c>
      <c r="B64" s="172" t="s">
        <v>818</v>
      </c>
      <c r="C64" s="258" t="s">
        <v>819</v>
      </c>
      <c r="D64" s="277">
        <v>42949409.2</v>
      </c>
      <c r="E64" s="277">
        <v>0</v>
      </c>
      <c r="F64" s="277">
        <v>197957.38</v>
      </c>
      <c r="G64" s="277">
        <v>195843</v>
      </c>
      <c r="H64" s="277">
        <v>0</v>
      </c>
      <c r="I64" s="277">
        <v>195843</v>
      </c>
      <c r="J64" s="277">
        <v>0</v>
      </c>
      <c r="K64" s="277">
        <v>0</v>
      </c>
      <c r="L64" s="277">
        <v>0</v>
      </c>
      <c r="M64" s="277">
        <v>0</v>
      </c>
      <c r="N64" s="277">
        <v>0</v>
      </c>
      <c r="O64" s="277">
        <v>0</v>
      </c>
      <c r="P64" s="277">
        <v>42555608.8</v>
      </c>
      <c r="Q64" s="277">
        <v>21277803.8</v>
      </c>
      <c r="R64" s="277">
        <v>17022244</v>
      </c>
      <c r="S64" s="277">
        <v>4255561</v>
      </c>
      <c r="T64" s="277">
        <v>0</v>
      </c>
      <c r="U64" s="277">
        <v>42555609</v>
      </c>
      <c r="V64" s="277">
        <v>0</v>
      </c>
      <c r="W64" s="277">
        <v>21277803.8</v>
      </c>
      <c r="X64" s="277">
        <v>195843</v>
      </c>
      <c r="Y64" s="277">
        <v>195843</v>
      </c>
      <c r="Z64" s="277">
        <v>0</v>
      </c>
      <c r="AA64" s="277">
        <v>0</v>
      </c>
      <c r="AB64" s="277">
        <v>0</v>
      </c>
      <c r="AC64" s="277">
        <v>0</v>
      </c>
      <c r="AD64" s="277">
        <v>0</v>
      </c>
      <c r="AE64" s="277">
        <v>0</v>
      </c>
      <c r="AF64" s="277">
        <v>0</v>
      </c>
      <c r="AG64" s="277">
        <v>0</v>
      </c>
      <c r="AH64" s="277">
        <v>0</v>
      </c>
      <c r="AI64" s="277">
        <v>0</v>
      </c>
      <c r="AJ64" s="277">
        <v>0</v>
      </c>
      <c r="AK64" s="277">
        <v>0</v>
      </c>
      <c r="AL64" s="277">
        <v>0</v>
      </c>
      <c r="AM64" s="277">
        <v>-39423.5</v>
      </c>
      <c r="AN64" s="277">
        <v>-31538.8</v>
      </c>
      <c r="AO64" s="277">
        <v>-7884.7</v>
      </c>
      <c r="AP64" s="277">
        <v>0</v>
      </c>
      <c r="AQ64" s="277">
        <v>-78847</v>
      </c>
      <c r="AR64" s="277">
        <v>21238380</v>
      </c>
      <c r="AS64" s="277">
        <v>17186548</v>
      </c>
      <c r="AT64" s="277">
        <v>4247676</v>
      </c>
      <c r="AU64" s="277">
        <v>0</v>
      </c>
      <c r="AV64" s="277">
        <v>42672605</v>
      </c>
      <c r="AW64" s="277">
        <v>182782</v>
      </c>
      <c r="AX64" s="277">
        <v>45176</v>
      </c>
      <c r="AY64" s="277">
        <v>0</v>
      </c>
      <c r="AZ64" s="277">
        <v>227958</v>
      </c>
      <c r="BA64" s="277">
        <v>567253</v>
      </c>
      <c r="BB64" s="277">
        <v>141813</v>
      </c>
      <c r="BC64" s="277">
        <v>0</v>
      </c>
      <c r="BD64" s="277">
        <v>709066</v>
      </c>
      <c r="BE64" s="277">
        <v>12127</v>
      </c>
      <c r="BF64" s="277">
        <v>3032</v>
      </c>
      <c r="BG64" s="277">
        <v>0</v>
      </c>
      <c r="BH64" s="277">
        <v>15159</v>
      </c>
      <c r="BI64" s="277">
        <v>20212</v>
      </c>
      <c r="BJ64" s="277">
        <v>5053</v>
      </c>
      <c r="BK64" s="277">
        <v>0</v>
      </c>
      <c r="BL64" s="277">
        <v>25265</v>
      </c>
      <c r="BM64" s="277">
        <v>20212</v>
      </c>
      <c r="BN64" s="277">
        <v>5053</v>
      </c>
      <c r="BO64" s="277">
        <v>0</v>
      </c>
      <c r="BP64" s="277">
        <v>25265</v>
      </c>
      <c r="BQ64" s="277">
        <v>262760</v>
      </c>
      <c r="BR64" s="277">
        <v>65690</v>
      </c>
      <c r="BS64" s="277">
        <v>0</v>
      </c>
      <c r="BT64" s="277">
        <v>328450</v>
      </c>
      <c r="BU64" s="277">
        <v>1065346</v>
      </c>
      <c r="BV64" s="277">
        <v>265817</v>
      </c>
      <c r="BW64" s="277">
        <v>0</v>
      </c>
      <c r="BX64" s="277">
        <v>1331163</v>
      </c>
      <c r="BY64" s="278" t="s">
        <v>818</v>
      </c>
      <c r="BZ64" s="279" t="s">
        <v>982</v>
      </c>
      <c r="CA64" s="280" t="s">
        <v>984</v>
      </c>
    </row>
    <row r="65" spans="1:79" ht="12.75">
      <c r="A65" s="169">
        <v>58</v>
      </c>
      <c r="B65" s="172" t="s">
        <v>820</v>
      </c>
      <c r="C65" s="258" t="s">
        <v>821</v>
      </c>
      <c r="D65" s="277">
        <v>20886020.9</v>
      </c>
      <c r="E65" s="277">
        <v>0</v>
      </c>
      <c r="F65" s="277">
        <v>60411.93</v>
      </c>
      <c r="G65" s="277">
        <v>116496</v>
      </c>
      <c r="H65" s="277">
        <v>0</v>
      </c>
      <c r="I65" s="277">
        <v>116496</v>
      </c>
      <c r="J65" s="277">
        <v>0</v>
      </c>
      <c r="K65" s="277">
        <v>0</v>
      </c>
      <c r="L65" s="277">
        <v>0</v>
      </c>
      <c r="M65" s="277">
        <v>0</v>
      </c>
      <c r="N65" s="277">
        <v>0</v>
      </c>
      <c r="O65" s="277">
        <v>0</v>
      </c>
      <c r="P65" s="277">
        <v>20709113</v>
      </c>
      <c r="Q65" s="277">
        <v>10354557</v>
      </c>
      <c r="R65" s="277">
        <v>8283645</v>
      </c>
      <c r="S65" s="277">
        <v>1863820</v>
      </c>
      <c r="T65" s="277">
        <v>207091</v>
      </c>
      <c r="U65" s="277">
        <v>20709113</v>
      </c>
      <c r="V65" s="277">
        <v>0</v>
      </c>
      <c r="W65" s="277">
        <v>10354557</v>
      </c>
      <c r="X65" s="277">
        <v>116496</v>
      </c>
      <c r="Y65" s="277">
        <v>116496</v>
      </c>
      <c r="Z65" s="277">
        <v>0</v>
      </c>
      <c r="AA65" s="277">
        <v>0</v>
      </c>
      <c r="AB65" s="277">
        <v>0</v>
      </c>
      <c r="AC65" s="277">
        <v>0</v>
      </c>
      <c r="AD65" s="277">
        <v>0</v>
      </c>
      <c r="AE65" s="277">
        <v>0</v>
      </c>
      <c r="AF65" s="277">
        <v>0</v>
      </c>
      <c r="AG65" s="277">
        <v>0</v>
      </c>
      <c r="AH65" s="277">
        <v>0</v>
      </c>
      <c r="AI65" s="277">
        <v>0</v>
      </c>
      <c r="AJ65" s="277">
        <v>0</v>
      </c>
      <c r="AK65" s="277">
        <v>0</v>
      </c>
      <c r="AL65" s="277">
        <v>0</v>
      </c>
      <c r="AM65" s="277">
        <v>-359317</v>
      </c>
      <c r="AN65" s="277">
        <v>-287453.6</v>
      </c>
      <c r="AO65" s="277">
        <v>-64677.06</v>
      </c>
      <c r="AP65" s="277">
        <v>-7186.34</v>
      </c>
      <c r="AQ65" s="277">
        <v>-718634</v>
      </c>
      <c r="AR65" s="277">
        <v>9995240</v>
      </c>
      <c r="AS65" s="277">
        <v>8112687</v>
      </c>
      <c r="AT65" s="277">
        <v>1799143</v>
      </c>
      <c r="AU65" s="277">
        <v>199905</v>
      </c>
      <c r="AV65" s="277">
        <v>20106975</v>
      </c>
      <c r="AW65" s="277">
        <v>89173</v>
      </c>
      <c r="AX65" s="277">
        <v>19786</v>
      </c>
      <c r="AY65" s="277">
        <v>2198</v>
      </c>
      <c r="AZ65" s="277">
        <v>111157</v>
      </c>
      <c r="BA65" s="277">
        <v>271473</v>
      </c>
      <c r="BB65" s="277">
        <v>61081</v>
      </c>
      <c r="BC65" s="277">
        <v>6787</v>
      </c>
      <c r="BD65" s="277">
        <v>339341</v>
      </c>
      <c r="BE65" s="277">
        <v>0</v>
      </c>
      <c r="BF65" s="277">
        <v>0</v>
      </c>
      <c r="BG65" s="277">
        <v>0</v>
      </c>
      <c r="BH65" s="277">
        <v>0</v>
      </c>
      <c r="BI65" s="277">
        <v>0</v>
      </c>
      <c r="BJ65" s="277">
        <v>0</v>
      </c>
      <c r="BK65" s="277">
        <v>0</v>
      </c>
      <c r="BL65" s="277">
        <v>0</v>
      </c>
      <c r="BM65" s="277">
        <v>0</v>
      </c>
      <c r="BN65" s="277">
        <v>0</v>
      </c>
      <c r="BO65" s="277">
        <v>0</v>
      </c>
      <c r="BP65" s="277">
        <v>0</v>
      </c>
      <c r="BQ65" s="277">
        <v>241740</v>
      </c>
      <c r="BR65" s="277">
        <v>54391</v>
      </c>
      <c r="BS65" s="277">
        <v>6043</v>
      </c>
      <c r="BT65" s="277">
        <v>302174</v>
      </c>
      <c r="BU65" s="277">
        <v>602386</v>
      </c>
      <c r="BV65" s="277">
        <v>135258</v>
      </c>
      <c r="BW65" s="277">
        <v>15028</v>
      </c>
      <c r="BX65" s="277">
        <v>752672</v>
      </c>
      <c r="BY65" s="278" t="s">
        <v>820</v>
      </c>
      <c r="BZ65" s="279" t="s">
        <v>992</v>
      </c>
      <c r="CA65" s="280" t="s">
        <v>993</v>
      </c>
    </row>
    <row r="66" spans="1:79" ht="12.75">
      <c r="A66" s="169">
        <v>59</v>
      </c>
      <c r="B66" s="172" t="s">
        <v>822</v>
      </c>
      <c r="C66" s="258" t="s">
        <v>823</v>
      </c>
      <c r="D66" s="277">
        <v>27070703</v>
      </c>
      <c r="E66" s="277">
        <v>53559</v>
      </c>
      <c r="F66" s="277">
        <v>0</v>
      </c>
      <c r="G66" s="277">
        <v>132564</v>
      </c>
      <c r="H66" s="277">
        <v>0</v>
      </c>
      <c r="I66" s="277">
        <v>132564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277">
        <v>0</v>
      </c>
      <c r="P66" s="277">
        <v>26991698</v>
      </c>
      <c r="Q66" s="277">
        <v>13495849</v>
      </c>
      <c r="R66" s="277">
        <v>10796679</v>
      </c>
      <c r="S66" s="277">
        <v>2429253</v>
      </c>
      <c r="T66" s="277">
        <v>269917</v>
      </c>
      <c r="U66" s="277">
        <v>26991698</v>
      </c>
      <c r="V66" s="277">
        <v>0</v>
      </c>
      <c r="W66" s="277">
        <v>13495849</v>
      </c>
      <c r="X66" s="277">
        <v>132564</v>
      </c>
      <c r="Y66" s="277">
        <v>132564</v>
      </c>
      <c r="Z66" s="277">
        <v>0</v>
      </c>
      <c r="AA66" s="277">
        <v>0</v>
      </c>
      <c r="AB66" s="277">
        <v>0</v>
      </c>
      <c r="AC66" s="277">
        <v>0</v>
      </c>
      <c r="AD66" s="277">
        <v>0</v>
      </c>
      <c r="AE66" s="277">
        <v>0</v>
      </c>
      <c r="AF66" s="277">
        <v>0</v>
      </c>
      <c r="AG66" s="277">
        <v>0</v>
      </c>
      <c r="AH66" s="277">
        <v>0</v>
      </c>
      <c r="AI66" s="277">
        <v>0</v>
      </c>
      <c r="AJ66" s="277">
        <v>0</v>
      </c>
      <c r="AK66" s="277">
        <v>0</v>
      </c>
      <c r="AL66" s="277">
        <v>0</v>
      </c>
      <c r="AM66" s="277">
        <v>-82557.5</v>
      </c>
      <c r="AN66" s="277">
        <v>-66046</v>
      </c>
      <c r="AO66" s="277">
        <v>-14860.35</v>
      </c>
      <c r="AP66" s="277">
        <v>-1651.15</v>
      </c>
      <c r="AQ66" s="277">
        <v>-165115</v>
      </c>
      <c r="AR66" s="277">
        <v>13413292</v>
      </c>
      <c r="AS66" s="277">
        <v>10863197</v>
      </c>
      <c r="AT66" s="277">
        <v>2414393</v>
      </c>
      <c r="AU66" s="277">
        <v>268266</v>
      </c>
      <c r="AV66" s="277">
        <v>26959147</v>
      </c>
      <c r="AW66" s="277">
        <v>116022</v>
      </c>
      <c r="AX66" s="277">
        <v>25788</v>
      </c>
      <c r="AY66" s="277">
        <v>2865</v>
      </c>
      <c r="AZ66" s="277">
        <v>144675</v>
      </c>
      <c r="BA66" s="277">
        <v>478633</v>
      </c>
      <c r="BB66" s="277">
        <v>107693</v>
      </c>
      <c r="BC66" s="277">
        <v>11966</v>
      </c>
      <c r="BD66" s="277">
        <v>598292</v>
      </c>
      <c r="BE66" s="277">
        <v>5595</v>
      </c>
      <c r="BF66" s="277">
        <v>1259</v>
      </c>
      <c r="BG66" s="277">
        <v>140</v>
      </c>
      <c r="BH66" s="277">
        <v>6994</v>
      </c>
      <c r="BI66" s="277">
        <v>20212</v>
      </c>
      <c r="BJ66" s="277">
        <v>4548</v>
      </c>
      <c r="BK66" s="277">
        <v>505</v>
      </c>
      <c r="BL66" s="277">
        <v>25265</v>
      </c>
      <c r="BM66" s="277">
        <v>14792</v>
      </c>
      <c r="BN66" s="277">
        <v>3328</v>
      </c>
      <c r="BO66" s="277">
        <v>370</v>
      </c>
      <c r="BP66" s="277">
        <v>18490</v>
      </c>
      <c r="BQ66" s="277">
        <v>198485</v>
      </c>
      <c r="BR66" s="277">
        <v>44659</v>
      </c>
      <c r="BS66" s="277">
        <v>4962</v>
      </c>
      <c r="BT66" s="277">
        <v>248106</v>
      </c>
      <c r="BU66" s="277">
        <v>833739</v>
      </c>
      <c r="BV66" s="277">
        <v>187275</v>
      </c>
      <c r="BW66" s="277">
        <v>20808</v>
      </c>
      <c r="BX66" s="277">
        <v>1041822</v>
      </c>
      <c r="BY66" s="278" t="s">
        <v>822</v>
      </c>
      <c r="BZ66" s="279" t="s">
        <v>1022</v>
      </c>
      <c r="CA66" s="280" t="s">
        <v>1009</v>
      </c>
    </row>
    <row r="67" spans="1:79" ht="12.75">
      <c r="A67" s="169">
        <v>60</v>
      </c>
      <c r="B67" s="172" t="s">
        <v>824</v>
      </c>
      <c r="C67" s="258" t="s">
        <v>825</v>
      </c>
      <c r="D67" s="277">
        <v>16803864</v>
      </c>
      <c r="E67" s="277">
        <v>21246</v>
      </c>
      <c r="F67" s="277">
        <v>0</v>
      </c>
      <c r="G67" s="277">
        <v>75172</v>
      </c>
      <c r="H67" s="277">
        <v>0</v>
      </c>
      <c r="I67" s="277">
        <v>75172</v>
      </c>
      <c r="J67" s="277">
        <v>0</v>
      </c>
      <c r="K67" s="277">
        <v>0</v>
      </c>
      <c r="L67" s="277">
        <v>0</v>
      </c>
      <c r="M67" s="277">
        <v>0</v>
      </c>
      <c r="N67" s="277">
        <v>0</v>
      </c>
      <c r="O67" s="277">
        <v>0</v>
      </c>
      <c r="P67" s="277">
        <v>16749938</v>
      </c>
      <c r="Q67" s="277">
        <v>8374970</v>
      </c>
      <c r="R67" s="277">
        <v>6699975</v>
      </c>
      <c r="S67" s="277">
        <v>1507494</v>
      </c>
      <c r="T67" s="277">
        <v>167499</v>
      </c>
      <c r="U67" s="277">
        <v>16749938</v>
      </c>
      <c r="V67" s="277">
        <v>0</v>
      </c>
      <c r="W67" s="277">
        <v>8374970</v>
      </c>
      <c r="X67" s="277">
        <v>75172</v>
      </c>
      <c r="Y67" s="277">
        <v>75172</v>
      </c>
      <c r="Z67" s="277">
        <v>0</v>
      </c>
      <c r="AA67" s="277">
        <v>0</v>
      </c>
      <c r="AB67" s="277">
        <v>0</v>
      </c>
      <c r="AC67" s="277">
        <v>0</v>
      </c>
      <c r="AD67" s="277">
        <v>0</v>
      </c>
      <c r="AE67" s="277">
        <v>0</v>
      </c>
      <c r="AF67" s="277">
        <v>0</v>
      </c>
      <c r="AG67" s="277">
        <v>0</v>
      </c>
      <c r="AH67" s="277">
        <v>0</v>
      </c>
      <c r="AI67" s="277">
        <v>0</v>
      </c>
      <c r="AJ67" s="277">
        <v>0</v>
      </c>
      <c r="AK67" s="277">
        <v>0</v>
      </c>
      <c r="AL67" s="277">
        <v>0</v>
      </c>
      <c r="AM67" s="277">
        <v>-863505.5</v>
      </c>
      <c r="AN67" s="277">
        <v>-690804.4</v>
      </c>
      <c r="AO67" s="277">
        <v>-155430.99</v>
      </c>
      <c r="AP67" s="277">
        <v>-17270.11</v>
      </c>
      <c r="AQ67" s="277">
        <v>-1727011</v>
      </c>
      <c r="AR67" s="277">
        <v>7511464</v>
      </c>
      <c r="AS67" s="277">
        <v>6084343</v>
      </c>
      <c r="AT67" s="277">
        <v>1352063</v>
      </c>
      <c r="AU67" s="277">
        <v>150229</v>
      </c>
      <c r="AV67" s="277">
        <v>15098099</v>
      </c>
      <c r="AW67" s="277">
        <v>71923</v>
      </c>
      <c r="AX67" s="277">
        <v>16003</v>
      </c>
      <c r="AY67" s="277">
        <v>1778</v>
      </c>
      <c r="AZ67" s="277">
        <v>89704</v>
      </c>
      <c r="BA67" s="277">
        <v>221483</v>
      </c>
      <c r="BB67" s="277">
        <v>49834</v>
      </c>
      <c r="BC67" s="277">
        <v>5537</v>
      </c>
      <c r="BD67" s="277">
        <v>276854</v>
      </c>
      <c r="BE67" s="277">
        <v>0</v>
      </c>
      <c r="BF67" s="277">
        <v>0</v>
      </c>
      <c r="BG67" s="277">
        <v>0</v>
      </c>
      <c r="BH67" s="277">
        <v>0</v>
      </c>
      <c r="BI67" s="277">
        <v>0</v>
      </c>
      <c r="BJ67" s="277">
        <v>0</v>
      </c>
      <c r="BK67" s="277">
        <v>0</v>
      </c>
      <c r="BL67" s="277">
        <v>0</v>
      </c>
      <c r="BM67" s="277">
        <v>492</v>
      </c>
      <c r="BN67" s="277">
        <v>111</v>
      </c>
      <c r="BO67" s="277">
        <v>12</v>
      </c>
      <c r="BP67" s="277">
        <v>615</v>
      </c>
      <c r="BQ67" s="277">
        <v>134327</v>
      </c>
      <c r="BR67" s="277">
        <v>30223</v>
      </c>
      <c r="BS67" s="277">
        <v>3358</v>
      </c>
      <c r="BT67" s="277">
        <v>167908</v>
      </c>
      <c r="BU67" s="277">
        <v>428225</v>
      </c>
      <c r="BV67" s="277">
        <v>96171</v>
      </c>
      <c r="BW67" s="277">
        <v>10685</v>
      </c>
      <c r="BX67" s="277">
        <v>535081</v>
      </c>
      <c r="BY67" s="278" t="s">
        <v>824</v>
      </c>
      <c r="BZ67" s="279" t="s">
        <v>1030</v>
      </c>
      <c r="CA67" s="280" t="s">
        <v>1012</v>
      </c>
    </row>
    <row r="68" spans="1:79" ht="12.75">
      <c r="A68" s="169">
        <v>61</v>
      </c>
      <c r="B68" s="172" t="s">
        <v>826</v>
      </c>
      <c r="C68" s="258" t="s">
        <v>0</v>
      </c>
      <c r="D68" s="277">
        <v>742680303</v>
      </c>
      <c r="E68" s="277">
        <v>162394</v>
      </c>
      <c r="F68" s="277">
        <v>0</v>
      </c>
      <c r="G68" s="277">
        <v>1680657</v>
      </c>
      <c r="H68" s="277">
        <v>0</v>
      </c>
      <c r="I68" s="277">
        <v>1680657</v>
      </c>
      <c r="J68" s="277">
        <v>10743000</v>
      </c>
      <c r="K68" s="277">
        <v>0</v>
      </c>
      <c r="L68" s="277">
        <v>0</v>
      </c>
      <c r="M68" s="277">
        <v>0</v>
      </c>
      <c r="N68" s="277">
        <v>0</v>
      </c>
      <c r="O68" s="277">
        <v>0</v>
      </c>
      <c r="P68" s="277">
        <v>730419040</v>
      </c>
      <c r="Q68" s="277">
        <v>365209520</v>
      </c>
      <c r="R68" s="277">
        <v>219125712</v>
      </c>
      <c r="S68" s="277">
        <v>146083808</v>
      </c>
      <c r="T68" s="277">
        <v>0</v>
      </c>
      <c r="U68" s="277">
        <v>730419040</v>
      </c>
      <c r="V68" s="277">
        <v>0</v>
      </c>
      <c r="W68" s="277">
        <v>365209520</v>
      </c>
      <c r="X68" s="277">
        <v>1680657</v>
      </c>
      <c r="Y68" s="277">
        <v>1680657</v>
      </c>
      <c r="Z68" s="277">
        <v>0</v>
      </c>
      <c r="AA68" s="277">
        <v>0</v>
      </c>
      <c r="AB68" s="277">
        <v>0</v>
      </c>
      <c r="AC68" s="277">
        <v>0</v>
      </c>
      <c r="AD68" s="277">
        <v>0</v>
      </c>
      <c r="AE68" s="277">
        <v>0</v>
      </c>
      <c r="AF68" s="277">
        <v>0</v>
      </c>
      <c r="AG68" s="277">
        <v>0</v>
      </c>
      <c r="AH68" s="277">
        <v>0</v>
      </c>
      <c r="AI68" s="277">
        <v>0</v>
      </c>
      <c r="AJ68" s="277">
        <v>0</v>
      </c>
      <c r="AK68" s="277">
        <v>10743000</v>
      </c>
      <c r="AL68" s="277">
        <v>10743000</v>
      </c>
      <c r="AM68" s="277">
        <v>146671</v>
      </c>
      <c r="AN68" s="277">
        <v>88002.6</v>
      </c>
      <c r="AO68" s="277">
        <v>58668.4</v>
      </c>
      <c r="AP68" s="277">
        <v>0</v>
      </c>
      <c r="AQ68" s="277">
        <v>293342</v>
      </c>
      <c r="AR68" s="277">
        <v>365356191</v>
      </c>
      <c r="AS68" s="277">
        <v>231637372</v>
      </c>
      <c r="AT68" s="277">
        <v>146142476</v>
      </c>
      <c r="AU68" s="277">
        <v>0</v>
      </c>
      <c r="AV68" s="277">
        <v>743136039</v>
      </c>
      <c r="AW68" s="277">
        <v>2458061</v>
      </c>
      <c r="AX68" s="277">
        <v>1550784</v>
      </c>
      <c r="AY68" s="277">
        <v>0</v>
      </c>
      <c r="AZ68" s="277">
        <v>4008845</v>
      </c>
      <c r="BA68" s="277">
        <v>56656</v>
      </c>
      <c r="BB68" s="277">
        <v>37770</v>
      </c>
      <c r="BC68" s="277">
        <v>0</v>
      </c>
      <c r="BD68" s="277">
        <v>94426</v>
      </c>
      <c r="BE68" s="277">
        <v>0</v>
      </c>
      <c r="BF68" s="277">
        <v>0</v>
      </c>
      <c r="BG68" s="277">
        <v>0</v>
      </c>
      <c r="BH68" s="277">
        <v>0</v>
      </c>
      <c r="BI68" s="277">
        <v>0</v>
      </c>
      <c r="BJ68" s="277">
        <v>0</v>
      </c>
      <c r="BK68" s="277">
        <v>0</v>
      </c>
      <c r="BL68" s="277">
        <v>0</v>
      </c>
      <c r="BM68" s="277">
        <v>45007</v>
      </c>
      <c r="BN68" s="277">
        <v>30004</v>
      </c>
      <c r="BO68" s="277">
        <v>0</v>
      </c>
      <c r="BP68" s="277">
        <v>75011</v>
      </c>
      <c r="BQ68" s="277">
        <v>186155</v>
      </c>
      <c r="BR68" s="277">
        <v>124104</v>
      </c>
      <c r="BS68" s="277">
        <v>0</v>
      </c>
      <c r="BT68" s="277">
        <v>310259</v>
      </c>
      <c r="BU68" s="277">
        <v>2745879</v>
      </c>
      <c r="BV68" s="277">
        <v>1742662</v>
      </c>
      <c r="BW68" s="277">
        <v>0</v>
      </c>
      <c r="BX68" s="277">
        <v>4488541</v>
      </c>
      <c r="BY68" s="278" t="s">
        <v>826</v>
      </c>
      <c r="BZ68" s="279" t="s">
        <v>1031</v>
      </c>
      <c r="CA68" s="279" t="s">
        <v>983</v>
      </c>
    </row>
    <row r="69" spans="1:79" ht="12.75">
      <c r="A69" s="169">
        <v>62</v>
      </c>
      <c r="B69" s="172" t="s">
        <v>1</v>
      </c>
      <c r="C69" s="258" t="s">
        <v>2</v>
      </c>
      <c r="D69" s="277">
        <v>60236203</v>
      </c>
      <c r="E69" s="277">
        <v>16909</v>
      </c>
      <c r="F69" s="277">
        <v>0</v>
      </c>
      <c r="G69" s="277">
        <v>237985</v>
      </c>
      <c r="H69" s="277">
        <v>0</v>
      </c>
      <c r="I69" s="277">
        <v>237985</v>
      </c>
      <c r="J69" s="277">
        <v>0</v>
      </c>
      <c r="K69" s="277">
        <v>0</v>
      </c>
      <c r="L69" s="277">
        <v>0</v>
      </c>
      <c r="M69" s="277">
        <v>0</v>
      </c>
      <c r="N69" s="277">
        <v>0</v>
      </c>
      <c r="O69" s="277">
        <v>0</v>
      </c>
      <c r="P69" s="277">
        <v>60015127</v>
      </c>
      <c r="Q69" s="277">
        <v>30007564</v>
      </c>
      <c r="R69" s="277">
        <v>24006051</v>
      </c>
      <c r="S69" s="277">
        <v>5401361</v>
      </c>
      <c r="T69" s="277">
        <v>600151</v>
      </c>
      <c r="U69" s="277">
        <v>60015127</v>
      </c>
      <c r="V69" s="277">
        <v>0</v>
      </c>
      <c r="W69" s="277">
        <v>30007564</v>
      </c>
      <c r="X69" s="277">
        <v>237985</v>
      </c>
      <c r="Y69" s="277">
        <v>237985</v>
      </c>
      <c r="Z69" s="277">
        <v>0</v>
      </c>
      <c r="AA69" s="277">
        <v>0</v>
      </c>
      <c r="AB69" s="277">
        <v>0</v>
      </c>
      <c r="AC69" s="277">
        <v>0</v>
      </c>
      <c r="AD69" s="277">
        <v>0</v>
      </c>
      <c r="AE69" s="277">
        <v>0</v>
      </c>
      <c r="AF69" s="277">
        <v>0</v>
      </c>
      <c r="AG69" s="277">
        <v>0</v>
      </c>
      <c r="AH69" s="277">
        <v>0</v>
      </c>
      <c r="AI69" s="277">
        <v>0</v>
      </c>
      <c r="AJ69" s="277">
        <v>0</v>
      </c>
      <c r="AK69" s="277">
        <v>0</v>
      </c>
      <c r="AL69" s="277">
        <v>0</v>
      </c>
      <c r="AM69" s="277">
        <v>-103585</v>
      </c>
      <c r="AN69" s="277">
        <v>-82868</v>
      </c>
      <c r="AO69" s="277">
        <v>-18645.3</v>
      </c>
      <c r="AP69" s="277">
        <v>-2071.7</v>
      </c>
      <c r="AQ69" s="277">
        <v>-207170</v>
      </c>
      <c r="AR69" s="277">
        <v>29903979</v>
      </c>
      <c r="AS69" s="277">
        <v>24161168</v>
      </c>
      <c r="AT69" s="277">
        <v>5382716</v>
      </c>
      <c r="AU69" s="277">
        <v>598079</v>
      </c>
      <c r="AV69" s="277">
        <v>60045942</v>
      </c>
      <c r="AW69" s="277">
        <v>257368</v>
      </c>
      <c r="AX69" s="277">
        <v>57339</v>
      </c>
      <c r="AY69" s="277">
        <v>6371</v>
      </c>
      <c r="AZ69" s="277">
        <v>321078</v>
      </c>
      <c r="BA69" s="277">
        <v>531637</v>
      </c>
      <c r="BB69" s="277">
        <v>119618</v>
      </c>
      <c r="BC69" s="277">
        <v>13291</v>
      </c>
      <c r="BD69" s="277">
        <v>664546</v>
      </c>
      <c r="BE69" s="277">
        <v>40424</v>
      </c>
      <c r="BF69" s="277">
        <v>9096</v>
      </c>
      <c r="BG69" s="277">
        <v>1011</v>
      </c>
      <c r="BH69" s="277">
        <v>50531</v>
      </c>
      <c r="BI69" s="277">
        <v>40424</v>
      </c>
      <c r="BJ69" s="277">
        <v>9096</v>
      </c>
      <c r="BK69" s="277">
        <v>1011</v>
      </c>
      <c r="BL69" s="277">
        <v>50531</v>
      </c>
      <c r="BM69" s="277">
        <v>104064</v>
      </c>
      <c r="BN69" s="277">
        <v>23415</v>
      </c>
      <c r="BO69" s="277">
        <v>2602</v>
      </c>
      <c r="BP69" s="277">
        <v>130081</v>
      </c>
      <c r="BQ69" s="277">
        <v>333889</v>
      </c>
      <c r="BR69" s="277">
        <v>75125</v>
      </c>
      <c r="BS69" s="277">
        <v>8347</v>
      </c>
      <c r="BT69" s="277">
        <v>417361</v>
      </c>
      <c r="BU69" s="277">
        <v>1307806</v>
      </c>
      <c r="BV69" s="277">
        <v>293689</v>
      </c>
      <c r="BW69" s="277">
        <v>32633</v>
      </c>
      <c r="BX69" s="277">
        <v>1634128</v>
      </c>
      <c r="BY69" s="278" t="s">
        <v>1</v>
      </c>
      <c r="BZ69" s="279" t="s">
        <v>998</v>
      </c>
      <c r="CA69" s="280" t="s">
        <v>999</v>
      </c>
    </row>
    <row r="70" spans="1:79" ht="12.75">
      <c r="A70" s="169">
        <v>63</v>
      </c>
      <c r="B70" s="172" t="s">
        <v>3</v>
      </c>
      <c r="C70" s="258" t="s">
        <v>4</v>
      </c>
      <c r="D70" s="277">
        <v>40107497</v>
      </c>
      <c r="E70" s="277">
        <v>20052</v>
      </c>
      <c r="F70" s="277">
        <v>0</v>
      </c>
      <c r="G70" s="277">
        <v>112133</v>
      </c>
      <c r="H70" s="277">
        <v>0</v>
      </c>
      <c r="I70" s="277">
        <v>112133</v>
      </c>
      <c r="J70" s="277">
        <v>0</v>
      </c>
      <c r="K70" s="277">
        <v>0</v>
      </c>
      <c r="L70" s="277">
        <v>0</v>
      </c>
      <c r="M70" s="277">
        <v>487</v>
      </c>
      <c r="N70" s="277">
        <v>487</v>
      </c>
      <c r="O70" s="277">
        <v>0</v>
      </c>
      <c r="P70" s="277">
        <v>40014929</v>
      </c>
      <c r="Q70" s="277">
        <v>20007464</v>
      </c>
      <c r="R70" s="277">
        <v>16005972</v>
      </c>
      <c r="S70" s="277">
        <v>4001493</v>
      </c>
      <c r="T70" s="277">
        <v>0</v>
      </c>
      <c r="U70" s="277">
        <v>40014929</v>
      </c>
      <c r="V70" s="277">
        <v>0</v>
      </c>
      <c r="W70" s="277">
        <v>20007464</v>
      </c>
      <c r="X70" s="277">
        <v>112133</v>
      </c>
      <c r="Y70" s="277">
        <v>112133</v>
      </c>
      <c r="Z70" s="277">
        <v>0</v>
      </c>
      <c r="AA70" s="277">
        <v>0</v>
      </c>
      <c r="AB70" s="277">
        <v>0</v>
      </c>
      <c r="AC70" s="277">
        <v>0</v>
      </c>
      <c r="AD70" s="277">
        <v>487</v>
      </c>
      <c r="AE70" s="277">
        <v>0</v>
      </c>
      <c r="AF70" s="277">
        <v>487</v>
      </c>
      <c r="AG70" s="277">
        <v>0</v>
      </c>
      <c r="AH70" s="277">
        <v>0</v>
      </c>
      <c r="AI70" s="277">
        <v>0</v>
      </c>
      <c r="AJ70" s="277">
        <v>0</v>
      </c>
      <c r="AK70" s="277">
        <v>0</v>
      </c>
      <c r="AL70" s="277">
        <v>0</v>
      </c>
      <c r="AM70" s="277">
        <v>-2126663</v>
      </c>
      <c r="AN70" s="277">
        <v>-1701330.4</v>
      </c>
      <c r="AO70" s="277">
        <v>-425332.6</v>
      </c>
      <c r="AP70" s="277">
        <v>0</v>
      </c>
      <c r="AQ70" s="277">
        <v>-4253326</v>
      </c>
      <c r="AR70" s="277">
        <v>17880801</v>
      </c>
      <c r="AS70" s="277">
        <v>14417262</v>
      </c>
      <c r="AT70" s="277">
        <v>3576160</v>
      </c>
      <c r="AU70" s="277">
        <v>0</v>
      </c>
      <c r="AV70" s="277">
        <v>35874223</v>
      </c>
      <c r="AW70" s="277">
        <v>171110</v>
      </c>
      <c r="AX70" s="277">
        <v>42479</v>
      </c>
      <c r="AY70" s="277">
        <v>0</v>
      </c>
      <c r="AZ70" s="277">
        <v>213589</v>
      </c>
      <c r="BA70" s="277">
        <v>268990</v>
      </c>
      <c r="BB70" s="277">
        <v>67247</v>
      </c>
      <c r="BC70" s="277">
        <v>0</v>
      </c>
      <c r="BD70" s="277">
        <v>336237</v>
      </c>
      <c r="BE70" s="277">
        <v>6064</v>
      </c>
      <c r="BF70" s="277">
        <v>1516</v>
      </c>
      <c r="BG70" s="277">
        <v>0</v>
      </c>
      <c r="BH70" s="277">
        <v>7580</v>
      </c>
      <c r="BI70" s="277">
        <v>0</v>
      </c>
      <c r="BJ70" s="277">
        <v>0</v>
      </c>
      <c r="BK70" s="277">
        <v>0</v>
      </c>
      <c r="BL70" s="277">
        <v>0</v>
      </c>
      <c r="BM70" s="277">
        <v>2022</v>
      </c>
      <c r="BN70" s="277">
        <v>505</v>
      </c>
      <c r="BO70" s="277">
        <v>0</v>
      </c>
      <c r="BP70" s="277">
        <v>2527</v>
      </c>
      <c r="BQ70" s="277">
        <v>133886</v>
      </c>
      <c r="BR70" s="277">
        <v>33471</v>
      </c>
      <c r="BS70" s="277">
        <v>0</v>
      </c>
      <c r="BT70" s="277">
        <v>167357</v>
      </c>
      <c r="BU70" s="277">
        <v>582072</v>
      </c>
      <c r="BV70" s="277">
        <v>145218</v>
      </c>
      <c r="BW70" s="277">
        <v>0</v>
      </c>
      <c r="BX70" s="277">
        <v>727290</v>
      </c>
      <c r="BY70" s="278" t="s">
        <v>3</v>
      </c>
      <c r="BZ70" s="279" t="s">
        <v>985</v>
      </c>
      <c r="CA70" s="280" t="s">
        <v>984</v>
      </c>
    </row>
    <row r="71" spans="1:79" ht="12.75">
      <c r="A71" s="169">
        <v>64</v>
      </c>
      <c r="B71" s="172" t="s">
        <v>5</v>
      </c>
      <c r="C71" s="258" t="s">
        <v>6</v>
      </c>
      <c r="D71" s="277">
        <v>35225968.6</v>
      </c>
      <c r="E71" s="277">
        <v>192564.38</v>
      </c>
      <c r="F71" s="277">
        <v>0</v>
      </c>
      <c r="G71" s="277">
        <v>88685</v>
      </c>
      <c r="H71" s="277">
        <v>0</v>
      </c>
      <c r="I71" s="277">
        <v>88685</v>
      </c>
      <c r="J71" s="277">
        <v>0</v>
      </c>
      <c r="K71" s="277">
        <v>0</v>
      </c>
      <c r="L71" s="277">
        <v>0</v>
      </c>
      <c r="M71" s="277">
        <v>0</v>
      </c>
      <c r="N71" s="277">
        <v>0</v>
      </c>
      <c r="O71" s="277">
        <v>0</v>
      </c>
      <c r="P71" s="277">
        <v>35329848</v>
      </c>
      <c r="Q71" s="277">
        <v>17664924</v>
      </c>
      <c r="R71" s="277">
        <v>14131939</v>
      </c>
      <c r="S71" s="277">
        <v>3532985</v>
      </c>
      <c r="T71" s="277">
        <v>0</v>
      </c>
      <c r="U71" s="277">
        <v>35329848</v>
      </c>
      <c r="V71" s="277">
        <v>0</v>
      </c>
      <c r="W71" s="277">
        <v>17664924</v>
      </c>
      <c r="X71" s="277">
        <v>88685</v>
      </c>
      <c r="Y71" s="277">
        <v>88685</v>
      </c>
      <c r="Z71" s="277">
        <v>0</v>
      </c>
      <c r="AA71" s="277">
        <v>0</v>
      </c>
      <c r="AB71" s="277">
        <v>0</v>
      </c>
      <c r="AC71" s="277">
        <v>0</v>
      </c>
      <c r="AD71" s="277">
        <v>0</v>
      </c>
      <c r="AE71" s="277">
        <v>0</v>
      </c>
      <c r="AF71" s="277">
        <v>0</v>
      </c>
      <c r="AG71" s="277">
        <v>0</v>
      </c>
      <c r="AH71" s="277">
        <v>0</v>
      </c>
      <c r="AI71" s="277">
        <v>0</v>
      </c>
      <c r="AJ71" s="277">
        <v>0</v>
      </c>
      <c r="AK71" s="277">
        <v>0</v>
      </c>
      <c r="AL71" s="277">
        <v>0</v>
      </c>
      <c r="AM71" s="277">
        <v>-464883.5</v>
      </c>
      <c r="AN71" s="277">
        <v>-371906.8</v>
      </c>
      <c r="AO71" s="277">
        <v>-92976.7</v>
      </c>
      <c r="AP71" s="277">
        <v>0</v>
      </c>
      <c r="AQ71" s="277">
        <v>-929767</v>
      </c>
      <c r="AR71" s="277">
        <v>17200041</v>
      </c>
      <c r="AS71" s="277">
        <v>13848717</v>
      </c>
      <c r="AT71" s="277">
        <v>3440008</v>
      </c>
      <c r="AU71" s="277">
        <v>0</v>
      </c>
      <c r="AV71" s="277">
        <v>34488766</v>
      </c>
      <c r="AW71" s="277">
        <v>150962</v>
      </c>
      <c r="AX71" s="277">
        <v>37505</v>
      </c>
      <c r="AY71" s="277">
        <v>0</v>
      </c>
      <c r="AZ71" s="277">
        <v>188467</v>
      </c>
      <c r="BA71" s="277">
        <v>96005</v>
      </c>
      <c r="BB71" s="277">
        <v>24001</v>
      </c>
      <c r="BC71" s="277">
        <v>0</v>
      </c>
      <c r="BD71" s="277">
        <v>120006</v>
      </c>
      <c r="BE71" s="277">
        <v>7277</v>
      </c>
      <c r="BF71" s="277">
        <v>1819</v>
      </c>
      <c r="BG71" s="277">
        <v>0</v>
      </c>
      <c r="BH71" s="277">
        <v>9096</v>
      </c>
      <c r="BI71" s="277">
        <v>0</v>
      </c>
      <c r="BJ71" s="277">
        <v>0</v>
      </c>
      <c r="BK71" s="277">
        <v>0</v>
      </c>
      <c r="BL71" s="277">
        <v>0</v>
      </c>
      <c r="BM71" s="277">
        <v>19326</v>
      </c>
      <c r="BN71" s="277">
        <v>4831</v>
      </c>
      <c r="BO71" s="277">
        <v>0</v>
      </c>
      <c r="BP71" s="277">
        <v>24157</v>
      </c>
      <c r="BQ71" s="277">
        <v>2729</v>
      </c>
      <c r="BR71" s="277">
        <v>303</v>
      </c>
      <c r="BS71" s="277">
        <v>0</v>
      </c>
      <c r="BT71" s="277">
        <v>3032</v>
      </c>
      <c r="BU71" s="277">
        <v>276299</v>
      </c>
      <c r="BV71" s="277">
        <v>68459</v>
      </c>
      <c r="BW71" s="277">
        <v>0</v>
      </c>
      <c r="BX71" s="277">
        <v>344758</v>
      </c>
      <c r="BY71" s="278" t="s">
        <v>5</v>
      </c>
      <c r="BZ71" s="279" t="s">
        <v>1032</v>
      </c>
      <c r="CA71" s="280" t="s">
        <v>984</v>
      </c>
    </row>
    <row r="72" spans="1:79" ht="12.75">
      <c r="A72" s="169">
        <v>65</v>
      </c>
      <c r="B72" s="172" t="s">
        <v>7</v>
      </c>
      <c r="C72" s="258" t="s">
        <v>8</v>
      </c>
      <c r="D72" s="277">
        <v>140957090</v>
      </c>
      <c r="E72" s="277">
        <v>842886.47</v>
      </c>
      <c r="F72" s="277">
        <v>0</v>
      </c>
      <c r="G72" s="277">
        <v>1110285</v>
      </c>
      <c r="H72" s="277">
        <v>0</v>
      </c>
      <c r="I72" s="277">
        <v>1110285</v>
      </c>
      <c r="J72" s="277">
        <v>0</v>
      </c>
      <c r="K72" s="277">
        <v>0</v>
      </c>
      <c r="L72" s="277">
        <v>0</v>
      </c>
      <c r="M72" s="277">
        <v>260280</v>
      </c>
      <c r="N72" s="277">
        <v>260280</v>
      </c>
      <c r="O72" s="277">
        <v>0</v>
      </c>
      <c r="P72" s="277">
        <v>140429411</v>
      </c>
      <c r="Q72" s="277">
        <v>70214705.5</v>
      </c>
      <c r="R72" s="277">
        <v>70214706</v>
      </c>
      <c r="S72" s="277">
        <v>0</v>
      </c>
      <c r="T72" s="277">
        <v>0</v>
      </c>
      <c r="U72" s="277">
        <v>140429411</v>
      </c>
      <c r="V72" s="277">
        <v>172053</v>
      </c>
      <c r="W72" s="277">
        <v>70042652.5</v>
      </c>
      <c r="X72" s="277">
        <v>1110285</v>
      </c>
      <c r="Y72" s="277">
        <v>1110285</v>
      </c>
      <c r="Z72" s="277">
        <v>0</v>
      </c>
      <c r="AA72" s="277">
        <v>0</v>
      </c>
      <c r="AB72" s="277">
        <v>0</v>
      </c>
      <c r="AC72" s="277">
        <v>0</v>
      </c>
      <c r="AD72" s="277">
        <v>260280</v>
      </c>
      <c r="AE72" s="277">
        <v>0</v>
      </c>
      <c r="AF72" s="277">
        <v>260280</v>
      </c>
      <c r="AG72" s="277">
        <v>172053</v>
      </c>
      <c r="AH72" s="277">
        <v>0</v>
      </c>
      <c r="AI72" s="277">
        <v>0</v>
      </c>
      <c r="AJ72" s="277">
        <v>172053</v>
      </c>
      <c r="AK72" s="277">
        <v>0</v>
      </c>
      <c r="AL72" s="277">
        <v>0</v>
      </c>
      <c r="AM72" s="277">
        <v>-6475994.5</v>
      </c>
      <c r="AN72" s="277">
        <v>-6475994.5</v>
      </c>
      <c r="AO72" s="277">
        <v>0</v>
      </c>
      <c r="AP72" s="277">
        <v>0</v>
      </c>
      <c r="AQ72" s="277">
        <v>-12951989</v>
      </c>
      <c r="AR72" s="277">
        <v>63566658</v>
      </c>
      <c r="AS72" s="277">
        <v>65281330</v>
      </c>
      <c r="AT72" s="277">
        <v>0</v>
      </c>
      <c r="AU72" s="277">
        <v>0</v>
      </c>
      <c r="AV72" s="277">
        <v>128847987</v>
      </c>
      <c r="AW72" s="277">
        <v>761755</v>
      </c>
      <c r="AX72" s="277">
        <v>0</v>
      </c>
      <c r="AY72" s="277">
        <v>0</v>
      </c>
      <c r="AZ72" s="277">
        <v>761755</v>
      </c>
      <c r="BA72" s="277">
        <v>5309178</v>
      </c>
      <c r="BB72" s="277">
        <v>0</v>
      </c>
      <c r="BC72" s="277">
        <v>0</v>
      </c>
      <c r="BD72" s="277">
        <v>5309178</v>
      </c>
      <c r="BE72" s="277">
        <v>0</v>
      </c>
      <c r="BF72" s="277">
        <v>0</v>
      </c>
      <c r="BG72" s="277">
        <v>0</v>
      </c>
      <c r="BH72" s="277">
        <v>0</v>
      </c>
      <c r="BI72" s="277">
        <v>0</v>
      </c>
      <c r="BJ72" s="277">
        <v>0</v>
      </c>
      <c r="BK72" s="277">
        <v>0</v>
      </c>
      <c r="BL72" s="277">
        <v>0</v>
      </c>
      <c r="BM72" s="277">
        <v>96232</v>
      </c>
      <c r="BN72" s="277">
        <v>0</v>
      </c>
      <c r="BO72" s="277">
        <v>0</v>
      </c>
      <c r="BP72" s="277">
        <v>96232</v>
      </c>
      <c r="BQ72" s="277">
        <v>1977987</v>
      </c>
      <c r="BR72" s="277">
        <v>0</v>
      </c>
      <c r="BS72" s="277">
        <v>0</v>
      </c>
      <c r="BT72" s="277">
        <v>1977987</v>
      </c>
      <c r="BU72" s="277">
        <v>8145152</v>
      </c>
      <c r="BV72" s="277">
        <v>0</v>
      </c>
      <c r="BW72" s="277">
        <v>0</v>
      </c>
      <c r="BX72" s="277">
        <v>8145152</v>
      </c>
      <c r="BY72" s="279" t="s">
        <v>7</v>
      </c>
      <c r="BZ72" s="279" t="s">
        <v>1003</v>
      </c>
      <c r="CA72" s="280" t="s">
        <v>984</v>
      </c>
    </row>
    <row r="73" spans="1:79" ht="12.75">
      <c r="A73" s="169">
        <v>66</v>
      </c>
      <c r="B73" s="172" t="s">
        <v>9</v>
      </c>
      <c r="C73" s="258" t="s">
        <v>10</v>
      </c>
      <c r="D73" s="277">
        <v>29021173</v>
      </c>
      <c r="E73" s="277">
        <v>183908</v>
      </c>
      <c r="F73" s="277">
        <v>0</v>
      </c>
      <c r="G73" s="277">
        <v>180018</v>
      </c>
      <c r="H73" s="277">
        <v>0</v>
      </c>
      <c r="I73" s="277">
        <v>180018</v>
      </c>
      <c r="J73" s="277">
        <v>0</v>
      </c>
      <c r="K73" s="277">
        <v>0</v>
      </c>
      <c r="L73" s="277">
        <v>0</v>
      </c>
      <c r="M73" s="277">
        <v>0</v>
      </c>
      <c r="N73" s="277">
        <v>0</v>
      </c>
      <c r="O73" s="277">
        <v>0</v>
      </c>
      <c r="P73" s="277">
        <v>29025063</v>
      </c>
      <c r="Q73" s="277">
        <v>14512532</v>
      </c>
      <c r="R73" s="277">
        <v>11610025</v>
      </c>
      <c r="S73" s="277">
        <v>2902506</v>
      </c>
      <c r="T73" s="277">
        <v>0</v>
      </c>
      <c r="U73" s="277">
        <v>29025063</v>
      </c>
      <c r="V73" s="277">
        <v>0</v>
      </c>
      <c r="W73" s="277">
        <v>14512532</v>
      </c>
      <c r="X73" s="277">
        <v>180018</v>
      </c>
      <c r="Y73" s="277">
        <v>180018</v>
      </c>
      <c r="Z73" s="277">
        <v>0</v>
      </c>
      <c r="AA73" s="277">
        <v>0</v>
      </c>
      <c r="AB73" s="277">
        <v>0</v>
      </c>
      <c r="AC73" s="277">
        <v>0</v>
      </c>
      <c r="AD73" s="277">
        <v>0</v>
      </c>
      <c r="AE73" s="277">
        <v>0</v>
      </c>
      <c r="AF73" s="277">
        <v>0</v>
      </c>
      <c r="AG73" s="277">
        <v>0</v>
      </c>
      <c r="AH73" s="277">
        <v>0</v>
      </c>
      <c r="AI73" s="277">
        <v>0</v>
      </c>
      <c r="AJ73" s="277">
        <v>0</v>
      </c>
      <c r="AK73" s="277">
        <v>0</v>
      </c>
      <c r="AL73" s="277">
        <v>0</v>
      </c>
      <c r="AM73" s="277">
        <v>-911245</v>
      </c>
      <c r="AN73" s="277">
        <v>-728996</v>
      </c>
      <c r="AO73" s="277">
        <v>-182249</v>
      </c>
      <c r="AP73" s="277">
        <v>0</v>
      </c>
      <c r="AQ73" s="277">
        <v>-1822490</v>
      </c>
      <c r="AR73" s="277">
        <v>13601287</v>
      </c>
      <c r="AS73" s="277">
        <v>11061047</v>
      </c>
      <c r="AT73" s="277">
        <v>2720257</v>
      </c>
      <c r="AU73" s="277">
        <v>0</v>
      </c>
      <c r="AV73" s="277">
        <v>27382591</v>
      </c>
      <c r="AW73" s="277">
        <v>125160</v>
      </c>
      <c r="AX73" s="277">
        <v>30812</v>
      </c>
      <c r="AY73" s="277">
        <v>0</v>
      </c>
      <c r="AZ73" s="277">
        <v>155972</v>
      </c>
      <c r="BA73" s="277">
        <v>510182</v>
      </c>
      <c r="BB73" s="277">
        <v>127545</v>
      </c>
      <c r="BC73" s="277">
        <v>0</v>
      </c>
      <c r="BD73" s="277">
        <v>637727</v>
      </c>
      <c r="BE73" s="277">
        <v>0</v>
      </c>
      <c r="BF73" s="277">
        <v>0</v>
      </c>
      <c r="BG73" s="277">
        <v>0</v>
      </c>
      <c r="BH73" s="277">
        <v>0</v>
      </c>
      <c r="BI73" s="277">
        <v>0</v>
      </c>
      <c r="BJ73" s="277">
        <v>0</v>
      </c>
      <c r="BK73" s="277">
        <v>0</v>
      </c>
      <c r="BL73" s="277">
        <v>0</v>
      </c>
      <c r="BM73" s="277">
        <v>1941</v>
      </c>
      <c r="BN73" s="277">
        <v>485</v>
      </c>
      <c r="BO73" s="277">
        <v>0</v>
      </c>
      <c r="BP73" s="277">
        <v>2426</v>
      </c>
      <c r="BQ73" s="277">
        <v>136706</v>
      </c>
      <c r="BR73" s="277">
        <v>34176</v>
      </c>
      <c r="BS73" s="277">
        <v>0</v>
      </c>
      <c r="BT73" s="277">
        <v>170882</v>
      </c>
      <c r="BU73" s="277">
        <v>773989</v>
      </c>
      <c r="BV73" s="277">
        <v>193018</v>
      </c>
      <c r="BW73" s="277">
        <v>0</v>
      </c>
      <c r="BX73" s="277">
        <v>967007</v>
      </c>
      <c r="BY73" s="278" t="s">
        <v>9</v>
      </c>
      <c r="BZ73" s="279" t="s">
        <v>1027</v>
      </c>
      <c r="CA73" s="280" t="s">
        <v>984</v>
      </c>
    </row>
    <row r="74" spans="1:79" ht="12.75">
      <c r="A74" s="169">
        <v>67</v>
      </c>
      <c r="B74" s="172" t="s">
        <v>11</v>
      </c>
      <c r="C74" s="258" t="s">
        <v>12</v>
      </c>
      <c r="D74" s="277">
        <v>115549478</v>
      </c>
      <c r="E74" s="277">
        <v>8211</v>
      </c>
      <c r="F74" s="277">
        <v>0</v>
      </c>
      <c r="G74" s="277">
        <v>379506</v>
      </c>
      <c r="H74" s="277">
        <v>0</v>
      </c>
      <c r="I74" s="277">
        <v>379506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277">
        <v>115178183</v>
      </c>
      <c r="Q74" s="277">
        <v>57589091</v>
      </c>
      <c r="R74" s="277">
        <v>56437310</v>
      </c>
      <c r="S74" s="277">
        <v>0</v>
      </c>
      <c r="T74" s="277">
        <v>1151782</v>
      </c>
      <c r="U74" s="277">
        <v>115178183</v>
      </c>
      <c r="V74" s="277">
        <v>0</v>
      </c>
      <c r="W74" s="277">
        <v>57589091</v>
      </c>
      <c r="X74" s="277">
        <v>379506</v>
      </c>
      <c r="Y74" s="277">
        <v>379506</v>
      </c>
      <c r="Z74" s="277">
        <v>0</v>
      </c>
      <c r="AA74" s="277">
        <v>0</v>
      </c>
      <c r="AB74" s="277">
        <v>0</v>
      </c>
      <c r="AC74" s="277">
        <v>0</v>
      </c>
      <c r="AD74" s="277">
        <v>0</v>
      </c>
      <c r="AE74" s="277">
        <v>0</v>
      </c>
      <c r="AF74" s="277">
        <v>0</v>
      </c>
      <c r="AG74" s="277">
        <v>0</v>
      </c>
      <c r="AH74" s="277">
        <v>0</v>
      </c>
      <c r="AI74" s="277">
        <v>0</v>
      </c>
      <c r="AJ74" s="277">
        <v>0</v>
      </c>
      <c r="AK74" s="277">
        <v>0</v>
      </c>
      <c r="AL74" s="277">
        <v>0</v>
      </c>
      <c r="AM74" s="277">
        <v>107621.5</v>
      </c>
      <c r="AN74" s="277">
        <v>105469.07</v>
      </c>
      <c r="AO74" s="277">
        <v>0</v>
      </c>
      <c r="AP74" s="277">
        <v>2152.43</v>
      </c>
      <c r="AQ74" s="277">
        <v>215243</v>
      </c>
      <c r="AR74" s="277">
        <v>57696713</v>
      </c>
      <c r="AS74" s="277">
        <v>56922285</v>
      </c>
      <c r="AT74" s="277">
        <v>0</v>
      </c>
      <c r="AU74" s="277">
        <v>1153934</v>
      </c>
      <c r="AV74" s="277">
        <v>115772932</v>
      </c>
      <c r="AW74" s="277">
        <v>603151</v>
      </c>
      <c r="AX74" s="277">
        <v>0</v>
      </c>
      <c r="AY74" s="277">
        <v>12227</v>
      </c>
      <c r="AZ74" s="277">
        <v>615378</v>
      </c>
      <c r="BA74" s="277">
        <v>1216292</v>
      </c>
      <c r="BB74" s="277">
        <v>0</v>
      </c>
      <c r="BC74" s="277">
        <v>24822</v>
      </c>
      <c r="BD74" s="277">
        <v>1241114</v>
      </c>
      <c r="BE74" s="277">
        <v>0</v>
      </c>
      <c r="BF74" s="277">
        <v>0</v>
      </c>
      <c r="BG74" s="277">
        <v>0</v>
      </c>
      <c r="BH74" s="277">
        <v>0</v>
      </c>
      <c r="BI74" s="277">
        <v>0</v>
      </c>
      <c r="BJ74" s="277">
        <v>0</v>
      </c>
      <c r="BK74" s="277">
        <v>0</v>
      </c>
      <c r="BL74" s="277">
        <v>0</v>
      </c>
      <c r="BM74" s="277">
        <v>95079</v>
      </c>
      <c r="BN74" s="277">
        <v>0</v>
      </c>
      <c r="BO74" s="277">
        <v>1940</v>
      </c>
      <c r="BP74" s="277">
        <v>97019</v>
      </c>
      <c r="BQ74" s="277">
        <v>544722</v>
      </c>
      <c r="BR74" s="277">
        <v>0</v>
      </c>
      <c r="BS74" s="277">
        <v>11117</v>
      </c>
      <c r="BT74" s="277">
        <v>555839</v>
      </c>
      <c r="BU74" s="277">
        <v>2459244</v>
      </c>
      <c r="BV74" s="277">
        <v>0</v>
      </c>
      <c r="BW74" s="277">
        <v>50106</v>
      </c>
      <c r="BX74" s="277">
        <v>2509350</v>
      </c>
      <c r="BY74" s="278" t="s">
        <v>11</v>
      </c>
      <c r="BZ74" s="279" t="s">
        <v>996</v>
      </c>
      <c r="CA74" s="280" t="s">
        <v>1006</v>
      </c>
    </row>
    <row r="75" spans="1:79" ht="12.75">
      <c r="A75" s="169">
        <v>68</v>
      </c>
      <c r="B75" s="172" t="s">
        <v>13</v>
      </c>
      <c r="C75" s="258" t="s">
        <v>14</v>
      </c>
      <c r="D75" s="277">
        <v>18321079</v>
      </c>
      <c r="E75" s="277">
        <v>23630</v>
      </c>
      <c r="F75" s="277">
        <v>0</v>
      </c>
      <c r="G75" s="277">
        <v>119174</v>
      </c>
      <c r="H75" s="277">
        <v>0</v>
      </c>
      <c r="I75" s="277">
        <v>119174</v>
      </c>
      <c r="J75" s="277">
        <v>0</v>
      </c>
      <c r="K75" s="277">
        <v>0</v>
      </c>
      <c r="L75" s="277">
        <v>0</v>
      </c>
      <c r="M75" s="277">
        <v>0</v>
      </c>
      <c r="N75" s="277">
        <v>0</v>
      </c>
      <c r="O75" s="277">
        <v>0</v>
      </c>
      <c r="P75" s="277">
        <v>18225535</v>
      </c>
      <c r="Q75" s="277">
        <v>9112768</v>
      </c>
      <c r="R75" s="277">
        <v>7290214</v>
      </c>
      <c r="S75" s="277">
        <v>1640298</v>
      </c>
      <c r="T75" s="277">
        <v>182255</v>
      </c>
      <c r="U75" s="277">
        <v>18225535</v>
      </c>
      <c r="V75" s="277">
        <v>0</v>
      </c>
      <c r="W75" s="277">
        <v>9112768</v>
      </c>
      <c r="X75" s="277">
        <v>119174</v>
      </c>
      <c r="Y75" s="277">
        <v>119174</v>
      </c>
      <c r="Z75" s="277">
        <v>0</v>
      </c>
      <c r="AA75" s="277">
        <v>0</v>
      </c>
      <c r="AB75" s="277">
        <v>0</v>
      </c>
      <c r="AC75" s="277">
        <v>0</v>
      </c>
      <c r="AD75" s="277">
        <v>0</v>
      </c>
      <c r="AE75" s="277">
        <v>0</v>
      </c>
      <c r="AF75" s="277">
        <v>0</v>
      </c>
      <c r="AG75" s="277">
        <v>0</v>
      </c>
      <c r="AH75" s="277">
        <v>0</v>
      </c>
      <c r="AI75" s="277">
        <v>0</v>
      </c>
      <c r="AJ75" s="277">
        <v>0</v>
      </c>
      <c r="AK75" s="277">
        <v>0</v>
      </c>
      <c r="AL75" s="277">
        <v>0</v>
      </c>
      <c r="AM75" s="277">
        <v>0</v>
      </c>
      <c r="AN75" s="277">
        <v>0</v>
      </c>
      <c r="AO75" s="277">
        <v>0</v>
      </c>
      <c r="AP75" s="277">
        <v>0</v>
      </c>
      <c r="AQ75" s="277">
        <v>0</v>
      </c>
      <c r="AR75" s="277">
        <v>9112768</v>
      </c>
      <c r="AS75" s="277">
        <v>7409388</v>
      </c>
      <c r="AT75" s="277">
        <v>1640298</v>
      </c>
      <c r="AU75" s="277">
        <v>182255</v>
      </c>
      <c r="AV75" s="277">
        <v>18344709</v>
      </c>
      <c r="AW75" s="277">
        <v>78656</v>
      </c>
      <c r="AX75" s="277">
        <v>17413</v>
      </c>
      <c r="AY75" s="277">
        <v>1935</v>
      </c>
      <c r="AZ75" s="277">
        <v>98004</v>
      </c>
      <c r="BA75" s="277">
        <v>206224</v>
      </c>
      <c r="BB75" s="277">
        <v>46400</v>
      </c>
      <c r="BC75" s="277">
        <v>5156</v>
      </c>
      <c r="BD75" s="277">
        <v>257780</v>
      </c>
      <c r="BE75" s="277">
        <v>4042</v>
      </c>
      <c r="BF75" s="277">
        <v>910</v>
      </c>
      <c r="BG75" s="277">
        <v>101</v>
      </c>
      <c r="BH75" s="277">
        <v>5053</v>
      </c>
      <c r="BI75" s="277">
        <v>24255</v>
      </c>
      <c r="BJ75" s="277">
        <v>5457</v>
      </c>
      <c r="BK75" s="277">
        <v>606</v>
      </c>
      <c r="BL75" s="277">
        <v>30318</v>
      </c>
      <c r="BM75" s="277">
        <v>12127</v>
      </c>
      <c r="BN75" s="277">
        <v>2729</v>
      </c>
      <c r="BO75" s="277">
        <v>303</v>
      </c>
      <c r="BP75" s="277">
        <v>15159</v>
      </c>
      <c r="BQ75" s="277">
        <v>291058</v>
      </c>
      <c r="BR75" s="277">
        <v>65488</v>
      </c>
      <c r="BS75" s="277">
        <v>7276</v>
      </c>
      <c r="BT75" s="277">
        <v>363822</v>
      </c>
      <c r="BU75" s="277">
        <v>616362</v>
      </c>
      <c r="BV75" s="277">
        <v>138397</v>
      </c>
      <c r="BW75" s="277">
        <v>15377</v>
      </c>
      <c r="BX75" s="277">
        <v>770136</v>
      </c>
      <c r="BY75" s="278" t="s">
        <v>13</v>
      </c>
      <c r="BZ75" s="279" t="s">
        <v>1033</v>
      </c>
      <c r="CA75" s="280" t="s">
        <v>1034</v>
      </c>
    </row>
    <row r="76" spans="1:79" ht="12.75">
      <c r="A76" s="169">
        <v>69</v>
      </c>
      <c r="B76" s="172" t="s">
        <v>15</v>
      </c>
      <c r="C76" s="258" t="s">
        <v>16</v>
      </c>
      <c r="D76" s="277">
        <v>110497008</v>
      </c>
      <c r="E76" s="277">
        <v>20183</v>
      </c>
      <c r="F76" s="277">
        <v>0</v>
      </c>
      <c r="G76" s="277">
        <v>216300</v>
      </c>
      <c r="H76" s="277">
        <v>0</v>
      </c>
      <c r="I76" s="277">
        <v>216300</v>
      </c>
      <c r="J76" s="277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77">
        <v>110300891</v>
      </c>
      <c r="Q76" s="277">
        <v>55150446</v>
      </c>
      <c r="R76" s="277">
        <v>44120356</v>
      </c>
      <c r="S76" s="277">
        <v>11030089</v>
      </c>
      <c r="T76" s="277">
        <v>0</v>
      </c>
      <c r="U76" s="277">
        <v>110300891</v>
      </c>
      <c r="V76" s="277">
        <v>0</v>
      </c>
      <c r="W76" s="277">
        <v>55150446</v>
      </c>
      <c r="X76" s="277">
        <v>216300</v>
      </c>
      <c r="Y76" s="277">
        <v>216300</v>
      </c>
      <c r="Z76" s="277">
        <v>0</v>
      </c>
      <c r="AA76" s="277">
        <v>0</v>
      </c>
      <c r="AB76" s="277">
        <v>0</v>
      </c>
      <c r="AC76" s="277">
        <v>0</v>
      </c>
      <c r="AD76" s="277">
        <v>0</v>
      </c>
      <c r="AE76" s="277">
        <v>0</v>
      </c>
      <c r="AF76" s="277">
        <v>0</v>
      </c>
      <c r="AG76" s="277">
        <v>0</v>
      </c>
      <c r="AH76" s="277">
        <v>0</v>
      </c>
      <c r="AI76" s="277">
        <v>0</v>
      </c>
      <c r="AJ76" s="277">
        <v>0</v>
      </c>
      <c r="AK76" s="277">
        <v>0</v>
      </c>
      <c r="AL76" s="277">
        <v>0</v>
      </c>
      <c r="AM76" s="277">
        <v>-2101714.5</v>
      </c>
      <c r="AN76" s="277">
        <v>-1681371.6</v>
      </c>
      <c r="AO76" s="277">
        <v>-420342.9</v>
      </c>
      <c r="AP76" s="277">
        <v>0</v>
      </c>
      <c r="AQ76" s="277">
        <v>-4203429</v>
      </c>
      <c r="AR76" s="277">
        <v>53048732</v>
      </c>
      <c r="AS76" s="277">
        <v>42655284</v>
      </c>
      <c r="AT76" s="277">
        <v>10609746</v>
      </c>
      <c r="AU76" s="277">
        <v>0</v>
      </c>
      <c r="AV76" s="277">
        <v>106313762</v>
      </c>
      <c r="AW76" s="277">
        <v>470665</v>
      </c>
      <c r="AX76" s="277">
        <v>117092</v>
      </c>
      <c r="AY76" s="277">
        <v>0</v>
      </c>
      <c r="AZ76" s="277">
        <v>587757</v>
      </c>
      <c r="BA76" s="277">
        <v>151449</v>
      </c>
      <c r="BB76" s="277">
        <v>37862</v>
      </c>
      <c r="BC76" s="277">
        <v>0</v>
      </c>
      <c r="BD76" s="277">
        <v>189311</v>
      </c>
      <c r="BE76" s="277">
        <v>2284</v>
      </c>
      <c r="BF76" s="277">
        <v>571</v>
      </c>
      <c r="BG76" s="277">
        <v>0</v>
      </c>
      <c r="BH76" s="277">
        <v>2855</v>
      </c>
      <c r="BI76" s="277">
        <v>12127</v>
      </c>
      <c r="BJ76" s="277">
        <v>3032</v>
      </c>
      <c r="BK76" s="277">
        <v>0</v>
      </c>
      <c r="BL76" s="277">
        <v>15159</v>
      </c>
      <c r="BM76" s="277">
        <v>70210</v>
      </c>
      <c r="BN76" s="277">
        <v>17552</v>
      </c>
      <c r="BO76" s="277">
        <v>0</v>
      </c>
      <c r="BP76" s="277">
        <v>87762</v>
      </c>
      <c r="BQ76" s="277">
        <v>173826</v>
      </c>
      <c r="BR76" s="277">
        <v>43456</v>
      </c>
      <c r="BS76" s="277">
        <v>0</v>
      </c>
      <c r="BT76" s="277">
        <v>217282</v>
      </c>
      <c r="BU76" s="277">
        <v>880561</v>
      </c>
      <c r="BV76" s="277">
        <v>219565</v>
      </c>
      <c r="BW76" s="277">
        <v>0</v>
      </c>
      <c r="BX76" s="277">
        <v>1100126</v>
      </c>
      <c r="BY76" s="278" t="s">
        <v>15</v>
      </c>
      <c r="BZ76" s="279" t="s">
        <v>982</v>
      </c>
      <c r="CA76" s="280" t="s">
        <v>984</v>
      </c>
    </row>
    <row r="77" spans="1:79" ht="12.75">
      <c r="A77" s="169">
        <v>70</v>
      </c>
      <c r="B77" s="172" t="s">
        <v>17</v>
      </c>
      <c r="C77" s="258" t="s">
        <v>18</v>
      </c>
      <c r="D77" s="277">
        <v>110506655</v>
      </c>
      <c r="E77" s="277">
        <v>248544</v>
      </c>
      <c r="F77" s="277">
        <v>0</v>
      </c>
      <c r="G77" s="277">
        <v>437992</v>
      </c>
      <c r="H77" s="277">
        <v>0</v>
      </c>
      <c r="I77" s="277">
        <v>437992</v>
      </c>
      <c r="J77" s="277">
        <v>0</v>
      </c>
      <c r="K77" s="277">
        <v>0</v>
      </c>
      <c r="L77" s="277">
        <v>0</v>
      </c>
      <c r="M77" s="277">
        <v>0</v>
      </c>
      <c r="N77" s="277">
        <v>0</v>
      </c>
      <c r="O77" s="277">
        <v>0</v>
      </c>
      <c r="P77" s="277">
        <v>110317207</v>
      </c>
      <c r="Q77" s="277">
        <v>55158604</v>
      </c>
      <c r="R77" s="277">
        <v>33095162</v>
      </c>
      <c r="S77" s="277">
        <v>22063441</v>
      </c>
      <c r="T77" s="277">
        <v>0</v>
      </c>
      <c r="U77" s="277">
        <v>110317207</v>
      </c>
      <c r="V77" s="277">
        <v>0</v>
      </c>
      <c r="W77" s="277">
        <v>55158604</v>
      </c>
      <c r="X77" s="277">
        <v>437992</v>
      </c>
      <c r="Y77" s="277">
        <v>437992</v>
      </c>
      <c r="Z77" s="277">
        <v>0</v>
      </c>
      <c r="AA77" s="277">
        <v>0</v>
      </c>
      <c r="AB77" s="277">
        <v>0</v>
      </c>
      <c r="AC77" s="277">
        <v>0</v>
      </c>
      <c r="AD77" s="277">
        <v>0</v>
      </c>
      <c r="AE77" s="277">
        <v>0</v>
      </c>
      <c r="AF77" s="277">
        <v>0</v>
      </c>
      <c r="AG77" s="277">
        <v>0</v>
      </c>
      <c r="AH77" s="277">
        <v>0</v>
      </c>
      <c r="AI77" s="277">
        <v>0</v>
      </c>
      <c r="AJ77" s="277">
        <v>0</v>
      </c>
      <c r="AK77" s="277">
        <v>0</v>
      </c>
      <c r="AL77" s="277">
        <v>0</v>
      </c>
      <c r="AM77" s="277">
        <v>166500</v>
      </c>
      <c r="AN77" s="277">
        <v>99900</v>
      </c>
      <c r="AO77" s="277">
        <v>66600</v>
      </c>
      <c r="AP77" s="277">
        <v>0</v>
      </c>
      <c r="AQ77" s="277">
        <v>333000</v>
      </c>
      <c r="AR77" s="277">
        <v>55325104</v>
      </c>
      <c r="AS77" s="277">
        <v>33633054</v>
      </c>
      <c r="AT77" s="277">
        <v>22130041</v>
      </c>
      <c r="AU77" s="277">
        <v>0</v>
      </c>
      <c r="AV77" s="277">
        <v>111088199</v>
      </c>
      <c r="AW77" s="277">
        <v>355978</v>
      </c>
      <c r="AX77" s="277">
        <v>234219</v>
      </c>
      <c r="AY77" s="277">
        <v>0</v>
      </c>
      <c r="AZ77" s="277">
        <v>590197</v>
      </c>
      <c r="BA77" s="277">
        <v>849965</v>
      </c>
      <c r="BB77" s="277">
        <v>566644</v>
      </c>
      <c r="BC77" s="277">
        <v>0</v>
      </c>
      <c r="BD77" s="277">
        <v>1416609</v>
      </c>
      <c r="BE77" s="277">
        <v>29131</v>
      </c>
      <c r="BF77" s="277">
        <v>19421</v>
      </c>
      <c r="BG77" s="277">
        <v>0</v>
      </c>
      <c r="BH77" s="277">
        <v>48552</v>
      </c>
      <c r="BI77" s="277">
        <v>0</v>
      </c>
      <c r="BJ77" s="277">
        <v>0</v>
      </c>
      <c r="BK77" s="277">
        <v>0</v>
      </c>
      <c r="BL77" s="277">
        <v>0</v>
      </c>
      <c r="BM77" s="277">
        <v>101404</v>
      </c>
      <c r="BN77" s="277">
        <v>67603</v>
      </c>
      <c r="BO77" s="277">
        <v>0</v>
      </c>
      <c r="BP77" s="277">
        <v>169007</v>
      </c>
      <c r="BQ77" s="277">
        <v>180698</v>
      </c>
      <c r="BR77" s="277">
        <v>120465</v>
      </c>
      <c r="BS77" s="277">
        <v>0</v>
      </c>
      <c r="BT77" s="277">
        <v>301163</v>
      </c>
      <c r="BU77" s="277">
        <v>1517176</v>
      </c>
      <c r="BV77" s="277">
        <v>1008352</v>
      </c>
      <c r="BW77" s="277">
        <v>0</v>
      </c>
      <c r="BX77" s="277">
        <v>2525528</v>
      </c>
      <c r="BY77" s="278" t="s">
        <v>17</v>
      </c>
      <c r="BZ77" s="279" t="s">
        <v>995</v>
      </c>
      <c r="CA77" s="279" t="s">
        <v>983</v>
      </c>
    </row>
    <row r="78" spans="1:79" ht="12.75">
      <c r="A78" s="169">
        <v>71</v>
      </c>
      <c r="B78" s="172" t="s">
        <v>19</v>
      </c>
      <c r="C78" s="258" t="s">
        <v>37</v>
      </c>
      <c r="D78" s="277">
        <v>58717827.9</v>
      </c>
      <c r="E78" s="277">
        <v>0</v>
      </c>
      <c r="F78" s="277">
        <v>68476.83</v>
      </c>
      <c r="G78" s="277">
        <v>219911</v>
      </c>
      <c r="H78" s="277">
        <v>0</v>
      </c>
      <c r="I78" s="277">
        <v>219911</v>
      </c>
      <c r="J78" s="277">
        <v>0</v>
      </c>
      <c r="K78" s="277">
        <v>0</v>
      </c>
      <c r="L78" s="277">
        <v>0</v>
      </c>
      <c r="M78" s="277">
        <v>0</v>
      </c>
      <c r="N78" s="277">
        <v>0</v>
      </c>
      <c r="O78" s="277">
        <v>0</v>
      </c>
      <c r="P78" s="277">
        <v>58429440.1</v>
      </c>
      <c r="Q78" s="277">
        <v>29214720.1</v>
      </c>
      <c r="R78" s="277">
        <v>23371776</v>
      </c>
      <c r="S78" s="277">
        <v>5842944</v>
      </c>
      <c r="T78" s="277">
        <v>0</v>
      </c>
      <c r="U78" s="277">
        <v>58429440</v>
      </c>
      <c r="V78" s="277">
        <v>0</v>
      </c>
      <c r="W78" s="277">
        <v>29214720.1</v>
      </c>
      <c r="X78" s="277">
        <v>219911</v>
      </c>
      <c r="Y78" s="277">
        <v>219911</v>
      </c>
      <c r="Z78" s="277">
        <v>0</v>
      </c>
      <c r="AA78" s="277">
        <v>0</v>
      </c>
      <c r="AB78" s="277">
        <v>0</v>
      </c>
      <c r="AC78" s="277">
        <v>0</v>
      </c>
      <c r="AD78" s="277">
        <v>0</v>
      </c>
      <c r="AE78" s="277">
        <v>0</v>
      </c>
      <c r="AF78" s="277">
        <v>0</v>
      </c>
      <c r="AG78" s="277">
        <v>0</v>
      </c>
      <c r="AH78" s="277">
        <v>0</v>
      </c>
      <c r="AI78" s="277">
        <v>0</v>
      </c>
      <c r="AJ78" s="277">
        <v>0</v>
      </c>
      <c r="AK78" s="277">
        <v>0</v>
      </c>
      <c r="AL78" s="277">
        <v>0</v>
      </c>
      <c r="AM78" s="277">
        <v>-3659609.6</v>
      </c>
      <c r="AN78" s="277">
        <v>-2927687.7</v>
      </c>
      <c r="AO78" s="277">
        <v>-731921.93</v>
      </c>
      <c r="AP78" s="277">
        <v>0</v>
      </c>
      <c r="AQ78" s="277">
        <v>-7319219.3</v>
      </c>
      <c r="AR78" s="277">
        <v>25555110</v>
      </c>
      <c r="AS78" s="277">
        <v>20663999</v>
      </c>
      <c r="AT78" s="277">
        <v>5111022</v>
      </c>
      <c r="AU78" s="277">
        <v>0</v>
      </c>
      <c r="AV78" s="277">
        <v>51330132</v>
      </c>
      <c r="AW78" s="277">
        <v>250443</v>
      </c>
      <c r="AX78" s="277">
        <v>62027</v>
      </c>
      <c r="AY78" s="277">
        <v>0</v>
      </c>
      <c r="AZ78" s="277">
        <v>312470</v>
      </c>
      <c r="BA78" s="277">
        <v>397641</v>
      </c>
      <c r="BB78" s="277">
        <v>99410</v>
      </c>
      <c r="BC78" s="277">
        <v>0</v>
      </c>
      <c r="BD78" s="277">
        <v>497051</v>
      </c>
      <c r="BE78" s="277">
        <v>19882</v>
      </c>
      <c r="BF78" s="277">
        <v>4971</v>
      </c>
      <c r="BG78" s="277">
        <v>0</v>
      </c>
      <c r="BH78" s="277">
        <v>24853</v>
      </c>
      <c r="BI78" s="277">
        <v>0</v>
      </c>
      <c r="BJ78" s="277">
        <v>0</v>
      </c>
      <c r="BK78" s="277">
        <v>0</v>
      </c>
      <c r="BL78" s="277">
        <v>0</v>
      </c>
      <c r="BM78" s="277">
        <v>3458</v>
      </c>
      <c r="BN78" s="277">
        <v>865</v>
      </c>
      <c r="BO78" s="277">
        <v>0</v>
      </c>
      <c r="BP78" s="277">
        <v>4323</v>
      </c>
      <c r="BQ78" s="277">
        <v>455182</v>
      </c>
      <c r="BR78" s="277">
        <v>113795</v>
      </c>
      <c r="BS78" s="277">
        <v>0</v>
      </c>
      <c r="BT78" s="277">
        <v>568977</v>
      </c>
      <c r="BU78" s="277">
        <v>1126606</v>
      </c>
      <c r="BV78" s="277">
        <v>281068</v>
      </c>
      <c r="BW78" s="277">
        <v>0</v>
      </c>
      <c r="BX78" s="277">
        <v>1407674</v>
      </c>
      <c r="BY78" s="278" t="s">
        <v>19</v>
      </c>
      <c r="BZ78" s="279" t="s">
        <v>1021</v>
      </c>
      <c r="CA78" s="280" t="s">
        <v>984</v>
      </c>
    </row>
    <row r="79" spans="1:79" ht="12.75">
      <c r="A79" s="169">
        <v>72</v>
      </c>
      <c r="B79" s="172" t="s">
        <v>38</v>
      </c>
      <c r="C79" s="258" t="s">
        <v>39</v>
      </c>
      <c r="D79" s="277">
        <v>35154730</v>
      </c>
      <c r="E79" s="277">
        <v>0</v>
      </c>
      <c r="F79" s="277">
        <v>120246</v>
      </c>
      <c r="G79" s="277">
        <v>147527</v>
      </c>
      <c r="H79" s="277">
        <v>0</v>
      </c>
      <c r="I79" s="277">
        <v>147527</v>
      </c>
      <c r="J79" s="277">
        <v>0</v>
      </c>
      <c r="K79" s="277">
        <v>0</v>
      </c>
      <c r="L79" s="277">
        <v>0</v>
      </c>
      <c r="M79" s="277">
        <v>0</v>
      </c>
      <c r="N79" s="277">
        <v>0</v>
      </c>
      <c r="O79" s="277">
        <v>0</v>
      </c>
      <c r="P79" s="277">
        <v>34886957</v>
      </c>
      <c r="Q79" s="277">
        <v>17443478</v>
      </c>
      <c r="R79" s="277">
        <v>17094609</v>
      </c>
      <c r="S79" s="277">
        <v>0</v>
      </c>
      <c r="T79" s="277">
        <v>348870</v>
      </c>
      <c r="U79" s="277">
        <v>34886957</v>
      </c>
      <c r="V79" s="277">
        <v>0</v>
      </c>
      <c r="W79" s="277">
        <v>17443478</v>
      </c>
      <c r="X79" s="277">
        <v>147527</v>
      </c>
      <c r="Y79" s="277">
        <v>147527</v>
      </c>
      <c r="Z79" s="277">
        <v>0</v>
      </c>
      <c r="AA79" s="277">
        <v>0</v>
      </c>
      <c r="AB79" s="277">
        <v>0</v>
      </c>
      <c r="AC79" s="277">
        <v>0</v>
      </c>
      <c r="AD79" s="277">
        <v>0</v>
      </c>
      <c r="AE79" s="277">
        <v>0</v>
      </c>
      <c r="AF79" s="277">
        <v>0</v>
      </c>
      <c r="AG79" s="277">
        <v>0</v>
      </c>
      <c r="AH79" s="277">
        <v>0</v>
      </c>
      <c r="AI79" s="277">
        <v>0</v>
      </c>
      <c r="AJ79" s="277">
        <v>0</v>
      </c>
      <c r="AK79" s="277">
        <v>0</v>
      </c>
      <c r="AL79" s="277">
        <v>0</v>
      </c>
      <c r="AM79" s="277">
        <v>-850584.42</v>
      </c>
      <c r="AN79" s="277">
        <v>-833572.73</v>
      </c>
      <c r="AO79" s="277">
        <v>0</v>
      </c>
      <c r="AP79" s="277">
        <v>-17011.69</v>
      </c>
      <c r="AQ79" s="277">
        <v>-1701168.8</v>
      </c>
      <c r="AR79" s="277">
        <v>16592894</v>
      </c>
      <c r="AS79" s="277">
        <v>16408563</v>
      </c>
      <c r="AT79" s="277">
        <v>0</v>
      </c>
      <c r="AU79" s="277">
        <v>331858</v>
      </c>
      <c r="AV79" s="277">
        <v>33333315</v>
      </c>
      <c r="AW79" s="277">
        <v>183038</v>
      </c>
      <c r="AX79" s="277">
        <v>0</v>
      </c>
      <c r="AY79" s="277">
        <v>3703</v>
      </c>
      <c r="AZ79" s="277">
        <v>186741</v>
      </c>
      <c r="BA79" s="277">
        <v>517562</v>
      </c>
      <c r="BB79" s="277">
        <v>0</v>
      </c>
      <c r="BC79" s="277">
        <v>10562</v>
      </c>
      <c r="BD79" s="277">
        <v>528124</v>
      </c>
      <c r="BE79" s="277">
        <v>0</v>
      </c>
      <c r="BF79" s="277">
        <v>0</v>
      </c>
      <c r="BG79" s="277">
        <v>0</v>
      </c>
      <c r="BH79" s="277">
        <v>0</v>
      </c>
      <c r="BI79" s="277">
        <v>0</v>
      </c>
      <c r="BJ79" s="277">
        <v>0</v>
      </c>
      <c r="BK79" s="277">
        <v>0</v>
      </c>
      <c r="BL79" s="277">
        <v>0</v>
      </c>
      <c r="BM79" s="277">
        <v>0</v>
      </c>
      <c r="BN79" s="277">
        <v>0</v>
      </c>
      <c r="BO79" s="277">
        <v>0</v>
      </c>
      <c r="BP79" s="277">
        <v>0</v>
      </c>
      <c r="BQ79" s="277">
        <v>0</v>
      </c>
      <c r="BR79" s="277">
        <v>0</v>
      </c>
      <c r="BS79" s="277">
        <v>0</v>
      </c>
      <c r="BT79" s="277">
        <v>0</v>
      </c>
      <c r="BU79" s="277">
        <v>700600</v>
      </c>
      <c r="BV79" s="277">
        <v>0</v>
      </c>
      <c r="BW79" s="277">
        <v>14265</v>
      </c>
      <c r="BX79" s="277">
        <v>714865</v>
      </c>
      <c r="BY79" s="278" t="s">
        <v>888</v>
      </c>
      <c r="BZ79" s="279" t="s">
        <v>1003</v>
      </c>
      <c r="CA79" s="280" t="s">
        <v>1035</v>
      </c>
    </row>
    <row r="80" spans="1:79" ht="12.75">
      <c r="A80" s="169">
        <v>73</v>
      </c>
      <c r="B80" s="172" t="s">
        <v>40</v>
      </c>
      <c r="C80" s="258" t="s">
        <v>41</v>
      </c>
      <c r="D80" s="277">
        <v>77384548</v>
      </c>
      <c r="E80" s="277">
        <v>39846</v>
      </c>
      <c r="F80" s="277">
        <v>0</v>
      </c>
      <c r="G80" s="277">
        <v>174373</v>
      </c>
      <c r="H80" s="277">
        <v>0</v>
      </c>
      <c r="I80" s="277">
        <v>174373</v>
      </c>
      <c r="J80" s="277">
        <v>0</v>
      </c>
      <c r="K80" s="277">
        <v>0</v>
      </c>
      <c r="L80" s="277">
        <v>0</v>
      </c>
      <c r="M80" s="277">
        <v>0</v>
      </c>
      <c r="N80" s="277">
        <v>0</v>
      </c>
      <c r="O80" s="277">
        <v>0</v>
      </c>
      <c r="P80" s="277">
        <v>77250021</v>
      </c>
      <c r="Q80" s="277">
        <v>38625011</v>
      </c>
      <c r="R80" s="277">
        <v>30900008</v>
      </c>
      <c r="S80" s="277">
        <v>6952502</v>
      </c>
      <c r="T80" s="277">
        <v>772500</v>
      </c>
      <c r="U80" s="277">
        <v>77250021</v>
      </c>
      <c r="V80" s="277">
        <v>0</v>
      </c>
      <c r="W80" s="277">
        <v>38625011</v>
      </c>
      <c r="X80" s="277">
        <v>174373</v>
      </c>
      <c r="Y80" s="277">
        <v>174373</v>
      </c>
      <c r="Z80" s="277">
        <v>0</v>
      </c>
      <c r="AA80" s="277">
        <v>0</v>
      </c>
      <c r="AB80" s="277">
        <v>0</v>
      </c>
      <c r="AC80" s="277">
        <v>0</v>
      </c>
      <c r="AD80" s="277">
        <v>0</v>
      </c>
      <c r="AE80" s="277">
        <v>0</v>
      </c>
      <c r="AF80" s="277">
        <v>0</v>
      </c>
      <c r="AG80" s="277">
        <v>0</v>
      </c>
      <c r="AH80" s="277">
        <v>0</v>
      </c>
      <c r="AI80" s="277">
        <v>0</v>
      </c>
      <c r="AJ80" s="277">
        <v>0</v>
      </c>
      <c r="AK80" s="277">
        <v>0</v>
      </c>
      <c r="AL80" s="277">
        <v>0</v>
      </c>
      <c r="AM80" s="277">
        <v>-1978851</v>
      </c>
      <c r="AN80" s="277">
        <v>-1583080.8</v>
      </c>
      <c r="AO80" s="277">
        <v>-356193.18</v>
      </c>
      <c r="AP80" s="277">
        <v>-39577.02</v>
      </c>
      <c r="AQ80" s="277">
        <v>-3957702</v>
      </c>
      <c r="AR80" s="277">
        <v>36646160</v>
      </c>
      <c r="AS80" s="277">
        <v>29491300</v>
      </c>
      <c r="AT80" s="277">
        <v>6596309</v>
      </c>
      <c r="AU80" s="277">
        <v>732923</v>
      </c>
      <c r="AV80" s="277">
        <v>73466692</v>
      </c>
      <c r="AW80" s="277">
        <v>329877</v>
      </c>
      <c r="AX80" s="277">
        <v>73806</v>
      </c>
      <c r="AY80" s="277">
        <v>8201</v>
      </c>
      <c r="AZ80" s="277">
        <v>411884</v>
      </c>
      <c r="BA80" s="277">
        <v>271572</v>
      </c>
      <c r="BB80" s="277">
        <v>61104</v>
      </c>
      <c r="BC80" s="277">
        <v>6789</v>
      </c>
      <c r="BD80" s="277">
        <v>339465</v>
      </c>
      <c r="BE80" s="277">
        <v>800</v>
      </c>
      <c r="BF80" s="277">
        <v>180</v>
      </c>
      <c r="BG80" s="277">
        <v>20</v>
      </c>
      <c r="BH80" s="277">
        <v>1000</v>
      </c>
      <c r="BI80" s="277">
        <v>59682</v>
      </c>
      <c r="BJ80" s="277">
        <v>13428</v>
      </c>
      <c r="BK80" s="277">
        <v>1492</v>
      </c>
      <c r="BL80" s="277">
        <v>74602</v>
      </c>
      <c r="BM80" s="277">
        <v>36473</v>
      </c>
      <c r="BN80" s="277">
        <v>8206</v>
      </c>
      <c r="BO80" s="277">
        <v>912</v>
      </c>
      <c r="BP80" s="277">
        <v>45591</v>
      </c>
      <c r="BQ80" s="277">
        <v>168847</v>
      </c>
      <c r="BR80" s="277">
        <v>37991</v>
      </c>
      <c r="BS80" s="277">
        <v>4221</v>
      </c>
      <c r="BT80" s="277">
        <v>211059</v>
      </c>
      <c r="BU80" s="277">
        <v>867251</v>
      </c>
      <c r="BV80" s="277">
        <v>194715</v>
      </c>
      <c r="BW80" s="277">
        <v>21635</v>
      </c>
      <c r="BX80" s="277">
        <v>1083601</v>
      </c>
      <c r="BY80" s="278" t="s">
        <v>40</v>
      </c>
      <c r="BZ80" s="279" t="s">
        <v>990</v>
      </c>
      <c r="CA80" s="280" t="s">
        <v>991</v>
      </c>
    </row>
    <row r="81" spans="1:79" ht="12.75">
      <c r="A81" s="169">
        <v>74</v>
      </c>
      <c r="B81" s="172" t="s">
        <v>42</v>
      </c>
      <c r="C81" s="258" t="s">
        <v>43</v>
      </c>
      <c r="D81" s="277">
        <v>39468367.1</v>
      </c>
      <c r="E81" s="277">
        <v>37590.25</v>
      </c>
      <c r="F81" s="277">
        <v>0</v>
      </c>
      <c r="G81" s="277">
        <v>116893</v>
      </c>
      <c r="H81" s="277">
        <v>0</v>
      </c>
      <c r="I81" s="277">
        <v>116893</v>
      </c>
      <c r="J81" s="277">
        <v>0</v>
      </c>
      <c r="K81" s="277">
        <v>0</v>
      </c>
      <c r="L81" s="277">
        <v>0</v>
      </c>
      <c r="M81" s="277">
        <v>213390</v>
      </c>
      <c r="N81" s="277">
        <v>213390</v>
      </c>
      <c r="O81" s="277">
        <v>0</v>
      </c>
      <c r="P81" s="277">
        <v>39175674.3</v>
      </c>
      <c r="Q81" s="277">
        <v>19587837.3</v>
      </c>
      <c r="R81" s="277">
        <v>15670270</v>
      </c>
      <c r="S81" s="277">
        <v>3917567</v>
      </c>
      <c r="T81" s="277">
        <v>0</v>
      </c>
      <c r="U81" s="277">
        <v>39175674</v>
      </c>
      <c r="V81" s="277">
        <v>0</v>
      </c>
      <c r="W81" s="277">
        <v>19587837.3</v>
      </c>
      <c r="X81" s="277">
        <v>116893</v>
      </c>
      <c r="Y81" s="277">
        <v>116893</v>
      </c>
      <c r="Z81" s="277">
        <v>0</v>
      </c>
      <c r="AA81" s="277">
        <v>0</v>
      </c>
      <c r="AB81" s="277">
        <v>0</v>
      </c>
      <c r="AC81" s="277">
        <v>0</v>
      </c>
      <c r="AD81" s="277">
        <v>213390</v>
      </c>
      <c r="AE81" s="277">
        <v>0</v>
      </c>
      <c r="AF81" s="277">
        <v>213390</v>
      </c>
      <c r="AG81" s="277">
        <v>0</v>
      </c>
      <c r="AH81" s="277">
        <v>0</v>
      </c>
      <c r="AI81" s="277">
        <v>0</v>
      </c>
      <c r="AJ81" s="277">
        <v>0</v>
      </c>
      <c r="AK81" s="277">
        <v>0</v>
      </c>
      <c r="AL81" s="277">
        <v>0</v>
      </c>
      <c r="AM81" s="277">
        <v>-544302.5</v>
      </c>
      <c r="AN81" s="277">
        <v>-435442</v>
      </c>
      <c r="AO81" s="277">
        <v>-108860.5</v>
      </c>
      <c r="AP81" s="277">
        <v>0</v>
      </c>
      <c r="AQ81" s="277">
        <v>-1088605</v>
      </c>
      <c r="AR81" s="277">
        <v>19043535</v>
      </c>
      <c r="AS81" s="277">
        <v>15565111</v>
      </c>
      <c r="AT81" s="277">
        <v>3808707</v>
      </c>
      <c r="AU81" s="277">
        <v>0</v>
      </c>
      <c r="AV81" s="277">
        <v>38417352</v>
      </c>
      <c r="AW81" s="277">
        <v>169857</v>
      </c>
      <c r="AX81" s="277">
        <v>41588</v>
      </c>
      <c r="AY81" s="277">
        <v>0</v>
      </c>
      <c r="AZ81" s="277">
        <v>211445</v>
      </c>
      <c r="BA81" s="277">
        <v>286852</v>
      </c>
      <c r="BB81" s="277">
        <v>71713</v>
      </c>
      <c r="BC81" s="277">
        <v>0</v>
      </c>
      <c r="BD81" s="277">
        <v>358565</v>
      </c>
      <c r="BE81" s="277">
        <v>0</v>
      </c>
      <c r="BF81" s="277">
        <v>0</v>
      </c>
      <c r="BG81" s="277">
        <v>0</v>
      </c>
      <c r="BH81" s="277">
        <v>0</v>
      </c>
      <c r="BI81" s="277">
        <v>0</v>
      </c>
      <c r="BJ81" s="277">
        <v>0</v>
      </c>
      <c r="BK81" s="277">
        <v>0</v>
      </c>
      <c r="BL81" s="277">
        <v>0</v>
      </c>
      <c r="BM81" s="277">
        <v>26680</v>
      </c>
      <c r="BN81" s="277">
        <v>6670</v>
      </c>
      <c r="BO81" s="277">
        <v>0</v>
      </c>
      <c r="BP81" s="277">
        <v>33350</v>
      </c>
      <c r="BQ81" s="277">
        <v>133402</v>
      </c>
      <c r="BR81" s="277">
        <v>33350</v>
      </c>
      <c r="BS81" s="277">
        <v>0</v>
      </c>
      <c r="BT81" s="277">
        <v>166752</v>
      </c>
      <c r="BU81" s="277">
        <v>616791</v>
      </c>
      <c r="BV81" s="277">
        <v>153321</v>
      </c>
      <c r="BW81" s="277">
        <v>0</v>
      </c>
      <c r="BX81" s="277">
        <v>770112</v>
      </c>
      <c r="BY81" s="278" t="s">
        <v>42</v>
      </c>
      <c r="BZ81" s="279" t="s">
        <v>1032</v>
      </c>
      <c r="CA81" s="280" t="s">
        <v>984</v>
      </c>
    </row>
    <row r="82" spans="1:79" ht="12.75">
      <c r="A82" s="169">
        <v>75</v>
      </c>
      <c r="B82" s="172" t="s">
        <v>44</v>
      </c>
      <c r="C82" s="258" t="s">
        <v>45</v>
      </c>
      <c r="D82" s="277">
        <v>84155582</v>
      </c>
      <c r="E82" s="277">
        <v>32453</v>
      </c>
      <c r="F82" s="277">
        <v>0</v>
      </c>
      <c r="G82" s="277">
        <v>314441</v>
      </c>
      <c r="H82" s="277">
        <v>0</v>
      </c>
      <c r="I82" s="277">
        <v>314441</v>
      </c>
      <c r="J82" s="277">
        <v>0</v>
      </c>
      <c r="K82" s="277">
        <v>0</v>
      </c>
      <c r="L82" s="277">
        <v>0</v>
      </c>
      <c r="M82" s="277">
        <v>300000</v>
      </c>
      <c r="N82" s="277">
        <v>300000</v>
      </c>
      <c r="O82" s="277">
        <v>0</v>
      </c>
      <c r="P82" s="277">
        <v>83573594</v>
      </c>
      <c r="Q82" s="277">
        <v>41786797</v>
      </c>
      <c r="R82" s="277">
        <v>40951061</v>
      </c>
      <c r="S82" s="277">
        <v>0</v>
      </c>
      <c r="T82" s="277">
        <v>835736</v>
      </c>
      <c r="U82" s="277">
        <v>83573594</v>
      </c>
      <c r="V82" s="277">
        <v>0</v>
      </c>
      <c r="W82" s="277">
        <v>41786797</v>
      </c>
      <c r="X82" s="277">
        <v>314441</v>
      </c>
      <c r="Y82" s="277">
        <v>314441</v>
      </c>
      <c r="Z82" s="277">
        <v>0</v>
      </c>
      <c r="AA82" s="277">
        <v>0</v>
      </c>
      <c r="AB82" s="277">
        <v>0</v>
      </c>
      <c r="AC82" s="277">
        <v>0</v>
      </c>
      <c r="AD82" s="277">
        <v>300000</v>
      </c>
      <c r="AE82" s="277">
        <v>0</v>
      </c>
      <c r="AF82" s="277">
        <v>300000</v>
      </c>
      <c r="AG82" s="277">
        <v>0</v>
      </c>
      <c r="AH82" s="277">
        <v>0</v>
      </c>
      <c r="AI82" s="277">
        <v>0</v>
      </c>
      <c r="AJ82" s="277">
        <v>0</v>
      </c>
      <c r="AK82" s="277">
        <v>0</v>
      </c>
      <c r="AL82" s="277">
        <v>0</v>
      </c>
      <c r="AM82" s="277">
        <v>-2086287.5</v>
      </c>
      <c r="AN82" s="277">
        <v>-2044561.8</v>
      </c>
      <c r="AO82" s="277">
        <v>0</v>
      </c>
      <c r="AP82" s="277">
        <v>-41725.75</v>
      </c>
      <c r="AQ82" s="277">
        <v>-4172575</v>
      </c>
      <c r="AR82" s="277">
        <v>39700510</v>
      </c>
      <c r="AS82" s="277">
        <v>39520940</v>
      </c>
      <c r="AT82" s="277">
        <v>0</v>
      </c>
      <c r="AU82" s="277">
        <v>794010</v>
      </c>
      <c r="AV82" s="277">
        <v>80015460</v>
      </c>
      <c r="AW82" s="277">
        <v>441247</v>
      </c>
      <c r="AX82" s="277">
        <v>0</v>
      </c>
      <c r="AY82" s="277">
        <v>8872</v>
      </c>
      <c r="AZ82" s="277">
        <v>450119</v>
      </c>
      <c r="BA82" s="277">
        <v>923420</v>
      </c>
      <c r="BB82" s="277">
        <v>0</v>
      </c>
      <c r="BC82" s="277">
        <v>18845</v>
      </c>
      <c r="BD82" s="277">
        <v>942265</v>
      </c>
      <c r="BE82" s="277">
        <v>24760</v>
      </c>
      <c r="BF82" s="277">
        <v>0</v>
      </c>
      <c r="BG82" s="277">
        <v>505</v>
      </c>
      <c r="BH82" s="277">
        <v>25265</v>
      </c>
      <c r="BI82" s="277">
        <v>0</v>
      </c>
      <c r="BJ82" s="277">
        <v>0</v>
      </c>
      <c r="BK82" s="277">
        <v>0</v>
      </c>
      <c r="BL82" s="277">
        <v>0</v>
      </c>
      <c r="BM82" s="277">
        <v>28748</v>
      </c>
      <c r="BN82" s="277">
        <v>0</v>
      </c>
      <c r="BO82" s="277">
        <v>587</v>
      </c>
      <c r="BP82" s="277">
        <v>29335</v>
      </c>
      <c r="BQ82" s="277">
        <v>495310</v>
      </c>
      <c r="BR82" s="277">
        <v>0</v>
      </c>
      <c r="BS82" s="277">
        <v>10108</v>
      </c>
      <c r="BT82" s="277">
        <v>505418</v>
      </c>
      <c r="BU82" s="277">
        <v>1913485</v>
      </c>
      <c r="BV82" s="277">
        <v>0</v>
      </c>
      <c r="BW82" s="277">
        <v>38917</v>
      </c>
      <c r="BX82" s="277">
        <v>1952402</v>
      </c>
      <c r="BY82" s="281" t="s">
        <v>889</v>
      </c>
      <c r="BZ82" s="279" t="s">
        <v>1003</v>
      </c>
      <c r="CA82" s="280" t="s">
        <v>987</v>
      </c>
    </row>
    <row r="83" spans="1:79" ht="12.75">
      <c r="A83" s="169">
        <v>76</v>
      </c>
      <c r="B83" s="172" t="s">
        <v>46</v>
      </c>
      <c r="C83" s="258" t="s">
        <v>47</v>
      </c>
      <c r="D83" s="277">
        <v>16786415</v>
      </c>
      <c r="E83" s="277">
        <v>42055</v>
      </c>
      <c r="F83" s="277">
        <v>0</v>
      </c>
      <c r="G83" s="277">
        <v>146520</v>
      </c>
      <c r="H83" s="277">
        <v>0</v>
      </c>
      <c r="I83" s="277">
        <v>146520</v>
      </c>
      <c r="J83" s="277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77">
        <v>16681950</v>
      </c>
      <c r="Q83" s="277">
        <v>8340974</v>
      </c>
      <c r="R83" s="277">
        <v>6672780</v>
      </c>
      <c r="S83" s="277">
        <v>1501376</v>
      </c>
      <c r="T83" s="277">
        <v>166820</v>
      </c>
      <c r="U83" s="277">
        <v>16681950</v>
      </c>
      <c r="V83" s="277">
        <v>0</v>
      </c>
      <c r="W83" s="277">
        <v>8340974</v>
      </c>
      <c r="X83" s="277">
        <v>146520</v>
      </c>
      <c r="Y83" s="277">
        <v>146520</v>
      </c>
      <c r="Z83" s="277">
        <v>0</v>
      </c>
      <c r="AA83" s="277">
        <v>0</v>
      </c>
      <c r="AB83" s="277">
        <v>0</v>
      </c>
      <c r="AC83" s="277">
        <v>0</v>
      </c>
      <c r="AD83" s="277">
        <v>0</v>
      </c>
      <c r="AE83" s="277">
        <v>0</v>
      </c>
      <c r="AF83" s="277">
        <v>0</v>
      </c>
      <c r="AG83" s="277">
        <v>0</v>
      </c>
      <c r="AH83" s="277">
        <v>0</v>
      </c>
      <c r="AI83" s="277">
        <v>0</v>
      </c>
      <c r="AJ83" s="277">
        <v>0</v>
      </c>
      <c r="AK83" s="277">
        <v>0</v>
      </c>
      <c r="AL83" s="277">
        <v>0</v>
      </c>
      <c r="AM83" s="277">
        <v>-174773</v>
      </c>
      <c r="AN83" s="277">
        <v>-139818.4</v>
      </c>
      <c r="AO83" s="277">
        <v>-31459.14</v>
      </c>
      <c r="AP83" s="277">
        <v>-3495.46</v>
      </c>
      <c r="AQ83" s="277">
        <v>-349546</v>
      </c>
      <c r="AR83" s="277">
        <v>8166201</v>
      </c>
      <c r="AS83" s="277">
        <v>6679482</v>
      </c>
      <c r="AT83" s="277">
        <v>1469917</v>
      </c>
      <c r="AU83" s="277">
        <v>163325</v>
      </c>
      <c r="AV83" s="277">
        <v>16478924</v>
      </c>
      <c r="AW83" s="277">
        <v>72392</v>
      </c>
      <c r="AX83" s="277">
        <v>15938</v>
      </c>
      <c r="AY83" s="277">
        <v>1771</v>
      </c>
      <c r="AZ83" s="277">
        <v>90101</v>
      </c>
      <c r="BA83" s="277">
        <v>503941</v>
      </c>
      <c r="BB83" s="277">
        <v>113387</v>
      </c>
      <c r="BC83" s="277">
        <v>12599</v>
      </c>
      <c r="BD83" s="277">
        <v>629927</v>
      </c>
      <c r="BE83" s="277">
        <v>0</v>
      </c>
      <c r="BF83" s="277">
        <v>0</v>
      </c>
      <c r="BG83" s="277">
        <v>0</v>
      </c>
      <c r="BH83" s="277">
        <v>0</v>
      </c>
      <c r="BI83" s="277">
        <v>0</v>
      </c>
      <c r="BJ83" s="277">
        <v>0</v>
      </c>
      <c r="BK83" s="277">
        <v>0</v>
      </c>
      <c r="BL83" s="277">
        <v>0</v>
      </c>
      <c r="BM83" s="277">
        <v>9748</v>
      </c>
      <c r="BN83" s="277">
        <v>2193</v>
      </c>
      <c r="BO83" s="277">
        <v>244</v>
      </c>
      <c r="BP83" s="277">
        <v>12185</v>
      </c>
      <c r="BQ83" s="277">
        <v>232128</v>
      </c>
      <c r="BR83" s="277">
        <v>52229</v>
      </c>
      <c r="BS83" s="277">
        <v>5803</v>
      </c>
      <c r="BT83" s="277">
        <v>290160</v>
      </c>
      <c r="BU83" s="277">
        <v>818209</v>
      </c>
      <c r="BV83" s="277">
        <v>183747</v>
      </c>
      <c r="BW83" s="277">
        <v>20417</v>
      </c>
      <c r="BX83" s="277">
        <v>1022373</v>
      </c>
      <c r="BY83" s="278" t="s">
        <v>46</v>
      </c>
      <c r="BZ83" s="279" t="s">
        <v>986</v>
      </c>
      <c r="CA83" s="280" t="s">
        <v>987</v>
      </c>
    </row>
    <row r="84" spans="1:79" ht="12.75">
      <c r="A84" s="169">
        <v>77</v>
      </c>
      <c r="B84" s="172" t="s">
        <v>48</v>
      </c>
      <c r="C84" s="258" t="s">
        <v>49</v>
      </c>
      <c r="D84" s="277">
        <v>90641879.3</v>
      </c>
      <c r="E84" s="277">
        <v>76609.69</v>
      </c>
      <c r="F84" s="277">
        <v>0</v>
      </c>
      <c r="G84" s="277">
        <v>369928</v>
      </c>
      <c r="H84" s="277">
        <v>0</v>
      </c>
      <c r="I84" s="277">
        <v>369928</v>
      </c>
      <c r="J84" s="277">
        <v>0</v>
      </c>
      <c r="K84" s="277">
        <v>0</v>
      </c>
      <c r="L84" s="277">
        <v>0</v>
      </c>
      <c r="M84" s="277">
        <v>0</v>
      </c>
      <c r="N84" s="277">
        <v>0</v>
      </c>
      <c r="O84" s="277">
        <v>0</v>
      </c>
      <c r="P84" s="277">
        <v>90348561</v>
      </c>
      <c r="Q84" s="277">
        <v>45174280</v>
      </c>
      <c r="R84" s="277">
        <v>44270795</v>
      </c>
      <c r="S84" s="277">
        <v>0</v>
      </c>
      <c r="T84" s="277">
        <v>903486</v>
      </c>
      <c r="U84" s="277">
        <v>90348561</v>
      </c>
      <c r="V84" s="277">
        <v>0</v>
      </c>
      <c r="W84" s="277">
        <v>45174280</v>
      </c>
      <c r="X84" s="277">
        <v>369928</v>
      </c>
      <c r="Y84" s="277">
        <v>369928</v>
      </c>
      <c r="Z84" s="277">
        <v>0</v>
      </c>
      <c r="AA84" s="277">
        <v>0</v>
      </c>
      <c r="AB84" s="277">
        <v>0</v>
      </c>
      <c r="AC84" s="277">
        <v>0</v>
      </c>
      <c r="AD84" s="277">
        <v>0</v>
      </c>
      <c r="AE84" s="277">
        <v>0</v>
      </c>
      <c r="AF84" s="277">
        <v>0</v>
      </c>
      <c r="AG84" s="277">
        <v>0</v>
      </c>
      <c r="AH84" s="277">
        <v>0</v>
      </c>
      <c r="AI84" s="277">
        <v>0</v>
      </c>
      <c r="AJ84" s="277">
        <v>0</v>
      </c>
      <c r="AK84" s="277">
        <v>0</v>
      </c>
      <c r="AL84" s="277">
        <v>0</v>
      </c>
      <c r="AM84" s="277">
        <v>-1558240</v>
      </c>
      <c r="AN84" s="277">
        <v>-1527075.2</v>
      </c>
      <c r="AO84" s="277">
        <v>0</v>
      </c>
      <c r="AP84" s="277">
        <v>-31164.8</v>
      </c>
      <c r="AQ84" s="277">
        <v>-3116480</v>
      </c>
      <c r="AR84" s="277">
        <v>43616040</v>
      </c>
      <c r="AS84" s="277">
        <v>43113648</v>
      </c>
      <c r="AT84" s="277">
        <v>0</v>
      </c>
      <c r="AU84" s="277">
        <v>872321</v>
      </c>
      <c r="AV84" s="277">
        <v>87602009</v>
      </c>
      <c r="AW84" s="277">
        <v>473893</v>
      </c>
      <c r="AX84" s="277">
        <v>0</v>
      </c>
      <c r="AY84" s="277">
        <v>9591</v>
      </c>
      <c r="AZ84" s="277">
        <v>483484</v>
      </c>
      <c r="BA84" s="277">
        <v>1360646</v>
      </c>
      <c r="BB84" s="277">
        <v>0</v>
      </c>
      <c r="BC84" s="277">
        <v>27768</v>
      </c>
      <c r="BD84" s="277">
        <v>1388414</v>
      </c>
      <c r="BE84" s="277">
        <v>0</v>
      </c>
      <c r="BF84" s="277">
        <v>0</v>
      </c>
      <c r="BG84" s="277">
        <v>0</v>
      </c>
      <c r="BH84" s="277">
        <v>0</v>
      </c>
      <c r="BI84" s="277">
        <v>0</v>
      </c>
      <c r="BJ84" s="277">
        <v>0</v>
      </c>
      <c r="BK84" s="277">
        <v>0</v>
      </c>
      <c r="BL84" s="277">
        <v>0</v>
      </c>
      <c r="BM84" s="277">
        <v>121419</v>
      </c>
      <c r="BN84" s="277">
        <v>0</v>
      </c>
      <c r="BO84" s="277">
        <v>2478</v>
      </c>
      <c r="BP84" s="277">
        <v>123897</v>
      </c>
      <c r="BQ84" s="277">
        <v>568851</v>
      </c>
      <c r="BR84" s="277">
        <v>0</v>
      </c>
      <c r="BS84" s="277">
        <v>11609</v>
      </c>
      <c r="BT84" s="277">
        <v>580460</v>
      </c>
      <c r="BU84" s="277">
        <v>2524809</v>
      </c>
      <c r="BV84" s="277">
        <v>0</v>
      </c>
      <c r="BW84" s="277">
        <v>51446</v>
      </c>
      <c r="BX84" s="277">
        <v>2576255</v>
      </c>
      <c r="BY84" s="278" t="s">
        <v>48</v>
      </c>
      <c r="BZ84" s="279" t="s">
        <v>996</v>
      </c>
      <c r="CA84" s="280" t="s">
        <v>997</v>
      </c>
    </row>
    <row r="85" spans="1:79" ht="12.75">
      <c r="A85" s="169">
        <v>78</v>
      </c>
      <c r="B85" s="172" t="s">
        <v>63</v>
      </c>
      <c r="C85" s="258" t="s">
        <v>64</v>
      </c>
      <c r="D85" s="277">
        <v>32067624</v>
      </c>
      <c r="E85" s="277">
        <v>444847</v>
      </c>
      <c r="F85" s="277">
        <v>0</v>
      </c>
      <c r="G85" s="277">
        <v>153665</v>
      </c>
      <c r="H85" s="277">
        <v>0</v>
      </c>
      <c r="I85" s="277">
        <v>153665</v>
      </c>
      <c r="J85" s="277">
        <v>0</v>
      </c>
      <c r="K85" s="277">
        <v>0</v>
      </c>
      <c r="L85" s="277">
        <v>0</v>
      </c>
      <c r="M85" s="277">
        <v>0</v>
      </c>
      <c r="N85" s="277">
        <v>0</v>
      </c>
      <c r="O85" s="277">
        <v>0</v>
      </c>
      <c r="P85" s="277">
        <v>32358806</v>
      </c>
      <c r="Q85" s="277">
        <v>16179403</v>
      </c>
      <c r="R85" s="277">
        <v>12943522</v>
      </c>
      <c r="S85" s="277">
        <v>2912293</v>
      </c>
      <c r="T85" s="277">
        <v>323588</v>
      </c>
      <c r="U85" s="277">
        <v>32358806</v>
      </c>
      <c r="V85" s="277">
        <v>279688</v>
      </c>
      <c r="W85" s="277">
        <v>15899715</v>
      </c>
      <c r="X85" s="277">
        <v>153665</v>
      </c>
      <c r="Y85" s="277">
        <v>153665</v>
      </c>
      <c r="Z85" s="277">
        <v>0</v>
      </c>
      <c r="AA85" s="277">
        <v>0</v>
      </c>
      <c r="AB85" s="277">
        <v>0</v>
      </c>
      <c r="AC85" s="277">
        <v>0</v>
      </c>
      <c r="AD85" s="277">
        <v>0</v>
      </c>
      <c r="AE85" s="277">
        <v>0</v>
      </c>
      <c r="AF85" s="277">
        <v>0</v>
      </c>
      <c r="AG85" s="277">
        <v>223750</v>
      </c>
      <c r="AH85" s="277">
        <v>50344</v>
      </c>
      <c r="AI85" s="277">
        <v>5594</v>
      </c>
      <c r="AJ85" s="277">
        <v>279688</v>
      </c>
      <c r="AK85" s="277">
        <v>0</v>
      </c>
      <c r="AL85" s="277">
        <v>0</v>
      </c>
      <c r="AM85" s="277">
        <v>-44107.5</v>
      </c>
      <c r="AN85" s="277">
        <v>-35286</v>
      </c>
      <c r="AO85" s="277">
        <v>-7939.35</v>
      </c>
      <c r="AP85" s="277">
        <v>-882.15</v>
      </c>
      <c r="AQ85" s="277">
        <v>-88215</v>
      </c>
      <c r="AR85" s="277">
        <v>15855608</v>
      </c>
      <c r="AS85" s="277">
        <v>13285651</v>
      </c>
      <c r="AT85" s="277">
        <v>2954698</v>
      </c>
      <c r="AU85" s="277">
        <v>328300</v>
      </c>
      <c r="AV85" s="277">
        <v>32424256</v>
      </c>
      <c r="AW85" s="277">
        <v>141411</v>
      </c>
      <c r="AX85" s="277">
        <v>31451</v>
      </c>
      <c r="AY85" s="277">
        <v>3495</v>
      </c>
      <c r="AZ85" s="277">
        <v>176357</v>
      </c>
      <c r="BA85" s="277">
        <v>423272</v>
      </c>
      <c r="BB85" s="277">
        <v>95236</v>
      </c>
      <c r="BC85" s="277">
        <v>10582</v>
      </c>
      <c r="BD85" s="277">
        <v>529090</v>
      </c>
      <c r="BE85" s="277">
        <v>2442</v>
      </c>
      <c r="BF85" s="277">
        <v>550</v>
      </c>
      <c r="BG85" s="277">
        <v>61</v>
      </c>
      <c r="BH85" s="277">
        <v>3053</v>
      </c>
      <c r="BI85" s="277">
        <v>40424</v>
      </c>
      <c r="BJ85" s="277">
        <v>9096</v>
      </c>
      <c r="BK85" s="277">
        <v>1011</v>
      </c>
      <c r="BL85" s="277">
        <v>50531</v>
      </c>
      <c r="BM85" s="277">
        <v>36382</v>
      </c>
      <c r="BN85" s="277">
        <v>8186</v>
      </c>
      <c r="BO85" s="277">
        <v>910</v>
      </c>
      <c r="BP85" s="277">
        <v>45478</v>
      </c>
      <c r="BQ85" s="277">
        <v>235452</v>
      </c>
      <c r="BR85" s="277">
        <v>52977</v>
      </c>
      <c r="BS85" s="277">
        <v>5886</v>
      </c>
      <c r="BT85" s="277">
        <v>294315</v>
      </c>
      <c r="BU85" s="277">
        <v>879383</v>
      </c>
      <c r="BV85" s="277">
        <v>197496</v>
      </c>
      <c r="BW85" s="277">
        <v>21945</v>
      </c>
      <c r="BX85" s="277">
        <v>1098824</v>
      </c>
      <c r="BY85" s="278" t="s">
        <v>63</v>
      </c>
      <c r="BZ85" s="279" t="s">
        <v>990</v>
      </c>
      <c r="CA85" s="280" t="s">
        <v>991</v>
      </c>
    </row>
    <row r="86" spans="1:79" ht="12.75">
      <c r="A86" s="169">
        <v>79</v>
      </c>
      <c r="B86" s="172" t="s">
        <v>65</v>
      </c>
      <c r="C86" s="258" t="s">
        <v>66</v>
      </c>
      <c r="D86" s="277">
        <v>93508778</v>
      </c>
      <c r="E86" s="277">
        <v>350</v>
      </c>
      <c r="F86" s="277">
        <v>0</v>
      </c>
      <c r="G86" s="277">
        <v>432845</v>
      </c>
      <c r="H86" s="277">
        <v>0</v>
      </c>
      <c r="I86" s="277">
        <v>432845</v>
      </c>
      <c r="J86" s="277">
        <v>0</v>
      </c>
      <c r="K86" s="277">
        <v>0</v>
      </c>
      <c r="L86" s="277">
        <v>0</v>
      </c>
      <c r="M86" s="277">
        <v>0</v>
      </c>
      <c r="N86" s="277">
        <v>0</v>
      </c>
      <c r="O86" s="277">
        <v>0</v>
      </c>
      <c r="P86" s="277">
        <v>93076283</v>
      </c>
      <c r="Q86" s="277">
        <v>46538141</v>
      </c>
      <c r="R86" s="277">
        <v>45607379</v>
      </c>
      <c r="S86" s="277">
        <v>0</v>
      </c>
      <c r="T86" s="277">
        <v>930763</v>
      </c>
      <c r="U86" s="277">
        <v>93076283</v>
      </c>
      <c r="V86" s="277">
        <v>0</v>
      </c>
      <c r="W86" s="277">
        <v>46538141</v>
      </c>
      <c r="X86" s="277">
        <v>432845</v>
      </c>
      <c r="Y86" s="277">
        <v>432845</v>
      </c>
      <c r="Z86" s="277">
        <v>0</v>
      </c>
      <c r="AA86" s="277">
        <v>0</v>
      </c>
      <c r="AB86" s="277">
        <v>0</v>
      </c>
      <c r="AC86" s="277">
        <v>0</v>
      </c>
      <c r="AD86" s="277">
        <v>0</v>
      </c>
      <c r="AE86" s="277">
        <v>0</v>
      </c>
      <c r="AF86" s="277">
        <v>0</v>
      </c>
      <c r="AG86" s="277">
        <v>0</v>
      </c>
      <c r="AH86" s="277">
        <v>0</v>
      </c>
      <c r="AI86" s="277">
        <v>0</v>
      </c>
      <c r="AJ86" s="277">
        <v>0</v>
      </c>
      <c r="AK86" s="277">
        <v>0</v>
      </c>
      <c r="AL86" s="277">
        <v>0</v>
      </c>
      <c r="AM86" s="277">
        <v>207083</v>
      </c>
      <c r="AN86" s="277">
        <v>202941.34</v>
      </c>
      <c r="AO86" s="277">
        <v>0</v>
      </c>
      <c r="AP86" s="277">
        <v>4141.66</v>
      </c>
      <c r="AQ86" s="277">
        <v>414166</v>
      </c>
      <c r="AR86" s="277">
        <v>46745224</v>
      </c>
      <c r="AS86" s="277">
        <v>46243165</v>
      </c>
      <c r="AT86" s="277">
        <v>0</v>
      </c>
      <c r="AU86" s="277">
        <v>934905</v>
      </c>
      <c r="AV86" s="277">
        <v>93923294</v>
      </c>
      <c r="AW86" s="277">
        <v>488750</v>
      </c>
      <c r="AX86" s="277">
        <v>0</v>
      </c>
      <c r="AY86" s="277">
        <v>9881</v>
      </c>
      <c r="AZ86" s="277">
        <v>498631</v>
      </c>
      <c r="BA86" s="277">
        <v>1525364</v>
      </c>
      <c r="BB86" s="277">
        <v>0</v>
      </c>
      <c r="BC86" s="277">
        <v>31130</v>
      </c>
      <c r="BD86" s="277">
        <v>1556494</v>
      </c>
      <c r="BE86" s="277">
        <v>24760</v>
      </c>
      <c r="BF86" s="277">
        <v>0</v>
      </c>
      <c r="BG86" s="277">
        <v>505</v>
      </c>
      <c r="BH86" s="277">
        <v>25265</v>
      </c>
      <c r="BI86" s="277">
        <v>49520</v>
      </c>
      <c r="BJ86" s="277">
        <v>0</v>
      </c>
      <c r="BK86" s="277">
        <v>1011</v>
      </c>
      <c r="BL86" s="277">
        <v>50531</v>
      </c>
      <c r="BM86" s="277">
        <v>123800</v>
      </c>
      <c r="BN86" s="277">
        <v>0</v>
      </c>
      <c r="BO86" s="277">
        <v>2527</v>
      </c>
      <c r="BP86" s="277">
        <v>126327</v>
      </c>
      <c r="BQ86" s="277">
        <v>495202</v>
      </c>
      <c r="BR86" s="277">
        <v>0</v>
      </c>
      <c r="BS86" s="277">
        <v>10106</v>
      </c>
      <c r="BT86" s="277">
        <v>505308</v>
      </c>
      <c r="BU86" s="277">
        <v>2707396</v>
      </c>
      <c r="BV86" s="277">
        <v>0</v>
      </c>
      <c r="BW86" s="277">
        <v>55160</v>
      </c>
      <c r="BX86" s="277">
        <v>2762556</v>
      </c>
      <c r="BY86" s="278" t="s">
        <v>65</v>
      </c>
      <c r="BZ86" s="279" t="s">
        <v>996</v>
      </c>
      <c r="CA86" s="280" t="s">
        <v>1006</v>
      </c>
    </row>
    <row r="87" spans="1:79" ht="12.75">
      <c r="A87" s="169">
        <v>80</v>
      </c>
      <c r="B87" s="172" t="s">
        <v>67</v>
      </c>
      <c r="C87" s="258" t="s">
        <v>68</v>
      </c>
      <c r="D87" s="277">
        <v>110536611</v>
      </c>
      <c r="E87" s="277">
        <v>176181</v>
      </c>
      <c r="F87" s="277">
        <v>0</v>
      </c>
      <c r="G87" s="277">
        <v>600349</v>
      </c>
      <c r="H87" s="277">
        <v>0</v>
      </c>
      <c r="I87" s="277">
        <v>600349</v>
      </c>
      <c r="J87" s="277">
        <v>0</v>
      </c>
      <c r="K87" s="277">
        <v>0</v>
      </c>
      <c r="L87" s="277">
        <v>0</v>
      </c>
      <c r="M87" s="277">
        <v>10127</v>
      </c>
      <c r="N87" s="277">
        <v>10127</v>
      </c>
      <c r="O87" s="277">
        <v>0</v>
      </c>
      <c r="P87" s="277">
        <v>110102316</v>
      </c>
      <c r="Q87" s="277">
        <v>55051158</v>
      </c>
      <c r="R87" s="277">
        <v>53950135</v>
      </c>
      <c r="S87" s="277">
        <v>0</v>
      </c>
      <c r="T87" s="277">
        <v>1101023</v>
      </c>
      <c r="U87" s="277">
        <v>110102316</v>
      </c>
      <c r="V87" s="277">
        <v>0</v>
      </c>
      <c r="W87" s="277">
        <v>55051158</v>
      </c>
      <c r="X87" s="277">
        <v>600349</v>
      </c>
      <c r="Y87" s="277">
        <v>600349</v>
      </c>
      <c r="Z87" s="277">
        <v>0</v>
      </c>
      <c r="AA87" s="277">
        <v>0</v>
      </c>
      <c r="AB87" s="277">
        <v>0</v>
      </c>
      <c r="AC87" s="277">
        <v>0</v>
      </c>
      <c r="AD87" s="277">
        <v>10127</v>
      </c>
      <c r="AE87" s="277">
        <v>0</v>
      </c>
      <c r="AF87" s="277">
        <v>10127</v>
      </c>
      <c r="AG87" s="277">
        <v>0</v>
      </c>
      <c r="AH87" s="277">
        <v>0</v>
      </c>
      <c r="AI87" s="277">
        <v>0</v>
      </c>
      <c r="AJ87" s="277">
        <v>0</v>
      </c>
      <c r="AK87" s="277">
        <v>0</v>
      </c>
      <c r="AL87" s="277">
        <v>0</v>
      </c>
      <c r="AM87" s="277">
        <v>-1623726</v>
      </c>
      <c r="AN87" s="277">
        <v>-1591251.5</v>
      </c>
      <c r="AO87" s="277">
        <v>0</v>
      </c>
      <c r="AP87" s="277">
        <v>-32474.52</v>
      </c>
      <c r="AQ87" s="277">
        <v>-3247452</v>
      </c>
      <c r="AR87" s="277">
        <v>53427432</v>
      </c>
      <c r="AS87" s="277">
        <v>52969360</v>
      </c>
      <c r="AT87" s="277">
        <v>0</v>
      </c>
      <c r="AU87" s="277">
        <v>1068548</v>
      </c>
      <c r="AV87" s="277">
        <v>107465340</v>
      </c>
      <c r="AW87" s="277">
        <v>579200</v>
      </c>
      <c r="AX87" s="277">
        <v>0</v>
      </c>
      <c r="AY87" s="277">
        <v>11688</v>
      </c>
      <c r="AZ87" s="277">
        <v>590888</v>
      </c>
      <c r="BA87" s="277">
        <v>2245841</v>
      </c>
      <c r="BB87" s="277">
        <v>0</v>
      </c>
      <c r="BC87" s="277">
        <v>45833</v>
      </c>
      <c r="BD87" s="277">
        <v>2291674</v>
      </c>
      <c r="BE87" s="277">
        <v>4952</v>
      </c>
      <c r="BF87" s="277">
        <v>0</v>
      </c>
      <c r="BG87" s="277">
        <v>101</v>
      </c>
      <c r="BH87" s="277">
        <v>5053</v>
      </c>
      <c r="BI87" s="277">
        <v>97994</v>
      </c>
      <c r="BJ87" s="277">
        <v>0</v>
      </c>
      <c r="BK87" s="277">
        <v>2000</v>
      </c>
      <c r="BL87" s="277">
        <v>99994</v>
      </c>
      <c r="BM87" s="277">
        <v>560449</v>
      </c>
      <c r="BN87" s="277">
        <v>0</v>
      </c>
      <c r="BO87" s="277">
        <v>11438</v>
      </c>
      <c r="BP87" s="277">
        <v>571887</v>
      </c>
      <c r="BQ87" s="277">
        <v>1028785</v>
      </c>
      <c r="BR87" s="277">
        <v>0</v>
      </c>
      <c r="BS87" s="277">
        <v>20996</v>
      </c>
      <c r="BT87" s="277">
        <v>1049781</v>
      </c>
      <c r="BU87" s="277">
        <v>4517221</v>
      </c>
      <c r="BV87" s="277">
        <v>0</v>
      </c>
      <c r="BW87" s="277">
        <v>92056</v>
      </c>
      <c r="BX87" s="277">
        <v>4609277</v>
      </c>
      <c r="BY87" s="281" t="s">
        <v>67</v>
      </c>
      <c r="BZ87" s="279" t="s">
        <v>1003</v>
      </c>
      <c r="CA87" s="280" t="s">
        <v>1035</v>
      </c>
    </row>
    <row r="88" spans="1:79" ht="12.75">
      <c r="A88" s="169">
        <v>81</v>
      </c>
      <c r="B88" s="172" t="s">
        <v>69</v>
      </c>
      <c r="C88" s="258" t="s">
        <v>70</v>
      </c>
      <c r="D88" s="277">
        <v>124330896</v>
      </c>
      <c r="E88" s="277">
        <v>113270</v>
      </c>
      <c r="F88" s="277">
        <v>0</v>
      </c>
      <c r="G88" s="277">
        <v>494217</v>
      </c>
      <c r="H88" s="277">
        <v>0</v>
      </c>
      <c r="I88" s="277">
        <v>494217</v>
      </c>
      <c r="J88" s="277">
        <v>0</v>
      </c>
      <c r="K88" s="277">
        <v>0</v>
      </c>
      <c r="L88" s="277">
        <v>0</v>
      </c>
      <c r="M88" s="277">
        <v>0</v>
      </c>
      <c r="N88" s="277">
        <v>0</v>
      </c>
      <c r="O88" s="277">
        <v>0</v>
      </c>
      <c r="P88" s="277">
        <v>123949949</v>
      </c>
      <c r="Q88" s="277">
        <v>61974974</v>
      </c>
      <c r="R88" s="277">
        <v>37184985</v>
      </c>
      <c r="S88" s="277">
        <v>24789990</v>
      </c>
      <c r="T88" s="277">
        <v>0</v>
      </c>
      <c r="U88" s="277">
        <v>123949949</v>
      </c>
      <c r="V88" s="277">
        <v>0</v>
      </c>
      <c r="W88" s="277">
        <v>61974974</v>
      </c>
      <c r="X88" s="277">
        <v>494217</v>
      </c>
      <c r="Y88" s="277">
        <v>494217</v>
      </c>
      <c r="Z88" s="277">
        <v>0</v>
      </c>
      <c r="AA88" s="277">
        <v>0</v>
      </c>
      <c r="AB88" s="277">
        <v>0</v>
      </c>
      <c r="AC88" s="277">
        <v>0</v>
      </c>
      <c r="AD88" s="277">
        <v>0</v>
      </c>
      <c r="AE88" s="277">
        <v>0</v>
      </c>
      <c r="AF88" s="277">
        <v>0</v>
      </c>
      <c r="AG88" s="277">
        <v>0</v>
      </c>
      <c r="AH88" s="277">
        <v>0</v>
      </c>
      <c r="AI88" s="277">
        <v>0</v>
      </c>
      <c r="AJ88" s="277">
        <v>0</v>
      </c>
      <c r="AK88" s="277">
        <v>0</v>
      </c>
      <c r="AL88" s="277">
        <v>0</v>
      </c>
      <c r="AM88" s="277">
        <v>0</v>
      </c>
      <c r="AN88" s="277">
        <v>0</v>
      </c>
      <c r="AO88" s="277">
        <v>0</v>
      </c>
      <c r="AP88" s="277">
        <v>0</v>
      </c>
      <c r="AQ88" s="277">
        <v>0</v>
      </c>
      <c r="AR88" s="277">
        <v>61974974</v>
      </c>
      <c r="AS88" s="277">
        <v>37679202</v>
      </c>
      <c r="AT88" s="277">
        <v>24789990</v>
      </c>
      <c r="AU88" s="277">
        <v>0</v>
      </c>
      <c r="AV88" s="277">
        <v>124444166</v>
      </c>
      <c r="AW88" s="277">
        <v>399992</v>
      </c>
      <c r="AX88" s="277">
        <v>263163</v>
      </c>
      <c r="AY88" s="277">
        <v>0</v>
      </c>
      <c r="AZ88" s="277">
        <v>663155</v>
      </c>
      <c r="BA88" s="277">
        <v>612230</v>
      </c>
      <c r="BB88" s="277">
        <v>408153</v>
      </c>
      <c r="BC88" s="277">
        <v>0</v>
      </c>
      <c r="BD88" s="277">
        <v>1020383</v>
      </c>
      <c r="BE88" s="277">
        <v>30319</v>
      </c>
      <c r="BF88" s="277">
        <v>20212</v>
      </c>
      <c r="BG88" s="277">
        <v>0</v>
      </c>
      <c r="BH88" s="277">
        <v>50531</v>
      </c>
      <c r="BI88" s="277">
        <v>1428000</v>
      </c>
      <c r="BJ88" s="277">
        <v>952000</v>
      </c>
      <c r="BK88" s="277">
        <v>0</v>
      </c>
      <c r="BL88" s="277">
        <v>2380000</v>
      </c>
      <c r="BM88" s="277">
        <v>765257</v>
      </c>
      <c r="BN88" s="277">
        <v>510172</v>
      </c>
      <c r="BO88" s="277">
        <v>0</v>
      </c>
      <c r="BP88" s="277">
        <v>1275429</v>
      </c>
      <c r="BQ88" s="277">
        <v>740256</v>
      </c>
      <c r="BR88" s="277">
        <v>493504</v>
      </c>
      <c r="BS88" s="277">
        <v>0</v>
      </c>
      <c r="BT88" s="277">
        <v>1233760</v>
      </c>
      <c r="BU88" s="277">
        <v>3976054</v>
      </c>
      <c r="BV88" s="277">
        <v>2647204</v>
      </c>
      <c r="BW88" s="277">
        <v>0</v>
      </c>
      <c r="BX88" s="277">
        <v>6623258</v>
      </c>
      <c r="BY88" s="278" t="s">
        <v>69</v>
      </c>
      <c r="BZ88" s="279" t="s">
        <v>995</v>
      </c>
      <c r="CA88" s="279" t="s">
        <v>983</v>
      </c>
    </row>
    <row r="89" spans="1:79" ht="12.75">
      <c r="A89" s="169">
        <v>82</v>
      </c>
      <c r="B89" s="172" t="s">
        <v>71</v>
      </c>
      <c r="C89" s="258" t="s">
        <v>72</v>
      </c>
      <c r="D89" s="277">
        <v>17450202</v>
      </c>
      <c r="E89" s="277">
        <v>19953</v>
      </c>
      <c r="F89" s="277">
        <v>0</v>
      </c>
      <c r="G89" s="277">
        <v>91787</v>
      </c>
      <c r="H89" s="277">
        <v>0</v>
      </c>
      <c r="I89" s="277">
        <v>91787</v>
      </c>
      <c r="J89" s="277">
        <v>0</v>
      </c>
      <c r="K89" s="277">
        <v>0</v>
      </c>
      <c r="L89" s="277">
        <v>0</v>
      </c>
      <c r="M89" s="277">
        <v>30000</v>
      </c>
      <c r="N89" s="277">
        <v>30000</v>
      </c>
      <c r="O89" s="277">
        <v>0</v>
      </c>
      <c r="P89" s="277">
        <v>17348368</v>
      </c>
      <c r="Q89" s="277">
        <v>8674184</v>
      </c>
      <c r="R89" s="277">
        <v>6939347</v>
      </c>
      <c r="S89" s="277">
        <v>1561353</v>
      </c>
      <c r="T89" s="277">
        <v>173484</v>
      </c>
      <c r="U89" s="277">
        <v>17348368</v>
      </c>
      <c r="V89" s="277">
        <v>0</v>
      </c>
      <c r="W89" s="277">
        <v>8674184</v>
      </c>
      <c r="X89" s="277">
        <v>91787</v>
      </c>
      <c r="Y89" s="277">
        <v>91787</v>
      </c>
      <c r="Z89" s="277">
        <v>0</v>
      </c>
      <c r="AA89" s="277">
        <v>0</v>
      </c>
      <c r="AB89" s="277">
        <v>0</v>
      </c>
      <c r="AC89" s="277">
        <v>0</v>
      </c>
      <c r="AD89" s="277">
        <v>30000</v>
      </c>
      <c r="AE89" s="277">
        <v>0</v>
      </c>
      <c r="AF89" s="277">
        <v>30000</v>
      </c>
      <c r="AG89" s="277">
        <v>0</v>
      </c>
      <c r="AH89" s="277">
        <v>0</v>
      </c>
      <c r="AI89" s="277">
        <v>0</v>
      </c>
      <c r="AJ89" s="277">
        <v>0</v>
      </c>
      <c r="AK89" s="277">
        <v>0</v>
      </c>
      <c r="AL89" s="277">
        <v>0</v>
      </c>
      <c r="AM89" s="277">
        <v>-487910</v>
      </c>
      <c r="AN89" s="277">
        <v>-390328</v>
      </c>
      <c r="AO89" s="277">
        <v>-87823.8</v>
      </c>
      <c r="AP89" s="277">
        <v>-9758.2</v>
      </c>
      <c r="AQ89" s="277">
        <v>-975820</v>
      </c>
      <c r="AR89" s="277">
        <v>8186274</v>
      </c>
      <c r="AS89" s="277">
        <v>6670806</v>
      </c>
      <c r="AT89" s="277">
        <v>1473529</v>
      </c>
      <c r="AU89" s="277">
        <v>163726</v>
      </c>
      <c r="AV89" s="277">
        <v>16494335</v>
      </c>
      <c r="AW89" s="277">
        <v>74959</v>
      </c>
      <c r="AX89" s="277">
        <v>16575</v>
      </c>
      <c r="AY89" s="277">
        <v>1842</v>
      </c>
      <c r="AZ89" s="277">
        <v>93376</v>
      </c>
      <c r="BA89" s="277">
        <v>304743</v>
      </c>
      <c r="BB89" s="277">
        <v>68567</v>
      </c>
      <c r="BC89" s="277">
        <v>7619</v>
      </c>
      <c r="BD89" s="277">
        <v>380929</v>
      </c>
      <c r="BE89" s="277">
        <v>0</v>
      </c>
      <c r="BF89" s="277">
        <v>0</v>
      </c>
      <c r="BG89" s="277">
        <v>0</v>
      </c>
      <c r="BH89" s="277">
        <v>0</v>
      </c>
      <c r="BI89" s="277">
        <v>0</v>
      </c>
      <c r="BJ89" s="277">
        <v>0</v>
      </c>
      <c r="BK89" s="277">
        <v>0</v>
      </c>
      <c r="BL89" s="277">
        <v>0</v>
      </c>
      <c r="BM89" s="277">
        <v>8085</v>
      </c>
      <c r="BN89" s="277">
        <v>1819</v>
      </c>
      <c r="BO89" s="277">
        <v>202</v>
      </c>
      <c r="BP89" s="277">
        <v>10106</v>
      </c>
      <c r="BQ89" s="277">
        <v>111168</v>
      </c>
      <c r="BR89" s="277">
        <v>25013</v>
      </c>
      <c r="BS89" s="277">
        <v>2779</v>
      </c>
      <c r="BT89" s="277">
        <v>138960</v>
      </c>
      <c r="BU89" s="277">
        <v>498955</v>
      </c>
      <c r="BV89" s="277">
        <v>111974</v>
      </c>
      <c r="BW89" s="277">
        <v>12442</v>
      </c>
      <c r="BX89" s="277">
        <v>623371</v>
      </c>
      <c r="BY89" s="278" t="s">
        <v>71</v>
      </c>
      <c r="BZ89" s="279" t="s">
        <v>1023</v>
      </c>
      <c r="CA89" s="280" t="s">
        <v>1024</v>
      </c>
    </row>
    <row r="90" spans="1:79" ht="12.75">
      <c r="A90" s="169">
        <v>83</v>
      </c>
      <c r="B90" s="172" t="s">
        <v>73</v>
      </c>
      <c r="C90" s="258" t="s">
        <v>74</v>
      </c>
      <c r="D90" s="277">
        <v>31628848</v>
      </c>
      <c r="E90" s="277">
        <v>271954</v>
      </c>
      <c r="F90" s="277">
        <v>0</v>
      </c>
      <c r="G90" s="277">
        <v>227568</v>
      </c>
      <c r="H90" s="277">
        <v>0</v>
      </c>
      <c r="I90" s="277">
        <v>227568</v>
      </c>
      <c r="J90" s="277">
        <v>0</v>
      </c>
      <c r="K90" s="277">
        <v>0</v>
      </c>
      <c r="L90" s="277">
        <v>0</v>
      </c>
      <c r="M90" s="277">
        <v>58800</v>
      </c>
      <c r="N90" s="277">
        <v>58800</v>
      </c>
      <c r="O90" s="277">
        <v>0</v>
      </c>
      <c r="P90" s="277">
        <v>31614434</v>
      </c>
      <c r="Q90" s="277">
        <v>15807217</v>
      </c>
      <c r="R90" s="277">
        <v>12645774</v>
      </c>
      <c r="S90" s="277">
        <v>2845299</v>
      </c>
      <c r="T90" s="277">
        <v>316144</v>
      </c>
      <c r="U90" s="277">
        <v>31614434</v>
      </c>
      <c r="V90" s="277">
        <v>0</v>
      </c>
      <c r="W90" s="277">
        <v>15807217</v>
      </c>
      <c r="X90" s="277">
        <v>227568</v>
      </c>
      <c r="Y90" s="277">
        <v>227568</v>
      </c>
      <c r="Z90" s="277">
        <v>0</v>
      </c>
      <c r="AA90" s="277">
        <v>0</v>
      </c>
      <c r="AB90" s="277">
        <v>0</v>
      </c>
      <c r="AC90" s="277">
        <v>0</v>
      </c>
      <c r="AD90" s="277">
        <v>58800</v>
      </c>
      <c r="AE90" s="277">
        <v>0</v>
      </c>
      <c r="AF90" s="277">
        <v>58800</v>
      </c>
      <c r="AG90" s="277">
        <v>0</v>
      </c>
      <c r="AH90" s="277">
        <v>0</v>
      </c>
      <c r="AI90" s="277">
        <v>0</v>
      </c>
      <c r="AJ90" s="277">
        <v>0</v>
      </c>
      <c r="AK90" s="277">
        <v>0</v>
      </c>
      <c r="AL90" s="277">
        <v>0</v>
      </c>
      <c r="AM90" s="277">
        <v>-678055</v>
      </c>
      <c r="AN90" s="277">
        <v>-542444</v>
      </c>
      <c r="AO90" s="277">
        <v>-122049.9</v>
      </c>
      <c r="AP90" s="277">
        <v>-13561.1</v>
      </c>
      <c r="AQ90" s="277">
        <v>-1356110</v>
      </c>
      <c r="AR90" s="277">
        <v>15129162</v>
      </c>
      <c r="AS90" s="277">
        <v>12389698</v>
      </c>
      <c r="AT90" s="277">
        <v>2723249</v>
      </c>
      <c r="AU90" s="277">
        <v>302583</v>
      </c>
      <c r="AV90" s="277">
        <v>30544692</v>
      </c>
      <c r="AW90" s="277">
        <v>137284</v>
      </c>
      <c r="AX90" s="277">
        <v>30205</v>
      </c>
      <c r="AY90" s="277">
        <v>3356</v>
      </c>
      <c r="AZ90" s="277">
        <v>170845</v>
      </c>
      <c r="BA90" s="277">
        <v>793677</v>
      </c>
      <c r="BB90" s="277">
        <v>178577</v>
      </c>
      <c r="BC90" s="277">
        <v>19842</v>
      </c>
      <c r="BD90" s="277">
        <v>992096</v>
      </c>
      <c r="BE90" s="277">
        <v>13211</v>
      </c>
      <c r="BF90" s="277">
        <v>2972</v>
      </c>
      <c r="BG90" s="277">
        <v>330</v>
      </c>
      <c r="BH90" s="277">
        <v>16513</v>
      </c>
      <c r="BI90" s="277">
        <v>0</v>
      </c>
      <c r="BJ90" s="277">
        <v>0</v>
      </c>
      <c r="BK90" s="277">
        <v>0</v>
      </c>
      <c r="BL90" s="277">
        <v>0</v>
      </c>
      <c r="BM90" s="277">
        <v>0</v>
      </c>
      <c r="BN90" s="277">
        <v>0</v>
      </c>
      <c r="BO90" s="277">
        <v>0</v>
      </c>
      <c r="BP90" s="277">
        <v>0</v>
      </c>
      <c r="BQ90" s="277">
        <v>346035</v>
      </c>
      <c r="BR90" s="277">
        <v>77858</v>
      </c>
      <c r="BS90" s="277">
        <v>8651</v>
      </c>
      <c r="BT90" s="277">
        <v>432544</v>
      </c>
      <c r="BU90" s="277">
        <v>1290207</v>
      </c>
      <c r="BV90" s="277">
        <v>289612</v>
      </c>
      <c r="BW90" s="277">
        <v>32179</v>
      </c>
      <c r="BX90" s="277">
        <v>1611998</v>
      </c>
      <c r="BY90" s="278" t="s">
        <v>73</v>
      </c>
      <c r="BZ90" s="279" t="s">
        <v>1036</v>
      </c>
      <c r="CA90" s="282" t="s">
        <v>1037</v>
      </c>
    </row>
    <row r="91" spans="1:79" ht="12.75">
      <c r="A91" s="169">
        <v>84</v>
      </c>
      <c r="B91" s="172" t="s">
        <v>75</v>
      </c>
      <c r="C91" s="258" t="s">
        <v>76</v>
      </c>
      <c r="D91" s="277">
        <v>20028674</v>
      </c>
      <c r="E91" s="277">
        <v>18224</v>
      </c>
      <c r="F91" s="277">
        <v>0</v>
      </c>
      <c r="G91" s="277">
        <v>109348</v>
      </c>
      <c r="H91" s="277">
        <v>0</v>
      </c>
      <c r="I91" s="277">
        <v>109348</v>
      </c>
      <c r="J91" s="277">
        <v>0</v>
      </c>
      <c r="K91" s="277">
        <v>0</v>
      </c>
      <c r="L91" s="277">
        <v>0</v>
      </c>
      <c r="M91" s="277">
        <v>0</v>
      </c>
      <c r="N91" s="277">
        <v>0</v>
      </c>
      <c r="O91" s="277">
        <v>0</v>
      </c>
      <c r="P91" s="277">
        <v>19937550</v>
      </c>
      <c r="Q91" s="277">
        <v>9968774</v>
      </c>
      <c r="R91" s="277">
        <v>7975020</v>
      </c>
      <c r="S91" s="277">
        <v>1794380</v>
      </c>
      <c r="T91" s="277">
        <v>199376</v>
      </c>
      <c r="U91" s="277">
        <v>19937550</v>
      </c>
      <c r="V91" s="277">
        <v>0</v>
      </c>
      <c r="W91" s="277">
        <v>9968774</v>
      </c>
      <c r="X91" s="277">
        <v>109348</v>
      </c>
      <c r="Y91" s="277">
        <v>109348</v>
      </c>
      <c r="Z91" s="277">
        <v>0</v>
      </c>
      <c r="AA91" s="277">
        <v>0</v>
      </c>
      <c r="AB91" s="277">
        <v>0</v>
      </c>
      <c r="AC91" s="277">
        <v>0</v>
      </c>
      <c r="AD91" s="277">
        <v>0</v>
      </c>
      <c r="AE91" s="277">
        <v>0</v>
      </c>
      <c r="AF91" s="277">
        <v>0</v>
      </c>
      <c r="AG91" s="277">
        <v>0</v>
      </c>
      <c r="AH91" s="277">
        <v>0</v>
      </c>
      <c r="AI91" s="277">
        <v>0</v>
      </c>
      <c r="AJ91" s="277">
        <v>0</v>
      </c>
      <c r="AK91" s="277">
        <v>0</v>
      </c>
      <c r="AL91" s="277">
        <v>0</v>
      </c>
      <c r="AM91" s="277">
        <v>-584412</v>
      </c>
      <c r="AN91" s="277">
        <v>-467529.6</v>
      </c>
      <c r="AO91" s="277">
        <v>-105194.16</v>
      </c>
      <c r="AP91" s="277">
        <v>-11688.24</v>
      </c>
      <c r="AQ91" s="277">
        <v>-1168824</v>
      </c>
      <c r="AR91" s="277">
        <v>9384362</v>
      </c>
      <c r="AS91" s="277">
        <v>7616838</v>
      </c>
      <c r="AT91" s="277">
        <v>1689186</v>
      </c>
      <c r="AU91" s="277">
        <v>187688</v>
      </c>
      <c r="AV91" s="277">
        <v>18878074</v>
      </c>
      <c r="AW91" s="277">
        <v>85821</v>
      </c>
      <c r="AX91" s="277">
        <v>19049</v>
      </c>
      <c r="AY91" s="277">
        <v>2117</v>
      </c>
      <c r="AZ91" s="277">
        <v>106987</v>
      </c>
      <c r="BA91" s="277">
        <v>381804</v>
      </c>
      <c r="BB91" s="277">
        <v>85906</v>
      </c>
      <c r="BC91" s="277">
        <v>9545</v>
      </c>
      <c r="BD91" s="277">
        <v>477255</v>
      </c>
      <c r="BE91" s="277">
        <v>0</v>
      </c>
      <c r="BF91" s="277">
        <v>0</v>
      </c>
      <c r="BG91" s="277">
        <v>0</v>
      </c>
      <c r="BH91" s="277">
        <v>0</v>
      </c>
      <c r="BI91" s="277">
        <v>0</v>
      </c>
      <c r="BJ91" s="277">
        <v>0</v>
      </c>
      <c r="BK91" s="277">
        <v>0</v>
      </c>
      <c r="BL91" s="277">
        <v>0</v>
      </c>
      <c r="BM91" s="277">
        <v>5992</v>
      </c>
      <c r="BN91" s="277">
        <v>1348</v>
      </c>
      <c r="BO91" s="277">
        <v>150</v>
      </c>
      <c r="BP91" s="277">
        <v>7490</v>
      </c>
      <c r="BQ91" s="277">
        <v>162919</v>
      </c>
      <c r="BR91" s="277">
        <v>36657</v>
      </c>
      <c r="BS91" s="277">
        <v>4073</v>
      </c>
      <c r="BT91" s="277">
        <v>203649</v>
      </c>
      <c r="BU91" s="277">
        <v>636536</v>
      </c>
      <c r="BV91" s="277">
        <v>142960</v>
      </c>
      <c r="BW91" s="277">
        <v>15885</v>
      </c>
      <c r="BX91" s="277">
        <v>795381</v>
      </c>
      <c r="BY91" s="278" t="s">
        <v>75</v>
      </c>
      <c r="BZ91" s="279" t="s">
        <v>1030</v>
      </c>
      <c r="CA91" s="280" t="s">
        <v>1012</v>
      </c>
    </row>
    <row r="92" spans="1:79" ht="12.75">
      <c r="A92" s="169">
        <v>85</v>
      </c>
      <c r="B92" s="172" t="s">
        <v>77</v>
      </c>
      <c r="C92" s="258" t="s">
        <v>78</v>
      </c>
      <c r="D92" s="277">
        <v>27195596</v>
      </c>
      <c r="E92" s="277">
        <v>24313</v>
      </c>
      <c r="F92" s="277">
        <v>0</v>
      </c>
      <c r="G92" s="277">
        <v>151081</v>
      </c>
      <c r="H92" s="277">
        <v>0</v>
      </c>
      <c r="I92" s="277">
        <v>151081</v>
      </c>
      <c r="J92" s="277">
        <v>0</v>
      </c>
      <c r="K92" s="277">
        <v>0</v>
      </c>
      <c r="L92" s="277">
        <v>0</v>
      </c>
      <c r="M92" s="277">
        <v>0</v>
      </c>
      <c r="N92" s="277">
        <v>0</v>
      </c>
      <c r="O92" s="277">
        <v>0</v>
      </c>
      <c r="P92" s="277">
        <v>27068828</v>
      </c>
      <c r="Q92" s="277">
        <v>13534414</v>
      </c>
      <c r="R92" s="277">
        <v>10827531</v>
      </c>
      <c r="S92" s="277">
        <v>2436195</v>
      </c>
      <c r="T92" s="277">
        <v>270688</v>
      </c>
      <c r="U92" s="277">
        <v>27068828</v>
      </c>
      <c r="V92" s="277">
        <v>0</v>
      </c>
      <c r="W92" s="277">
        <v>13534414</v>
      </c>
      <c r="X92" s="277">
        <v>151081</v>
      </c>
      <c r="Y92" s="277">
        <v>151081</v>
      </c>
      <c r="Z92" s="277">
        <v>0</v>
      </c>
      <c r="AA92" s="277">
        <v>0</v>
      </c>
      <c r="AB92" s="277">
        <v>0</v>
      </c>
      <c r="AC92" s="277">
        <v>0</v>
      </c>
      <c r="AD92" s="277">
        <v>0</v>
      </c>
      <c r="AE92" s="277">
        <v>0</v>
      </c>
      <c r="AF92" s="277">
        <v>0</v>
      </c>
      <c r="AG92" s="277">
        <v>0</v>
      </c>
      <c r="AH92" s="277">
        <v>0</v>
      </c>
      <c r="AI92" s="277">
        <v>0</v>
      </c>
      <c r="AJ92" s="277">
        <v>0</v>
      </c>
      <c r="AK92" s="277">
        <v>0</v>
      </c>
      <c r="AL92" s="277">
        <v>0</v>
      </c>
      <c r="AM92" s="277">
        <v>137357</v>
      </c>
      <c r="AN92" s="277">
        <v>109885.6</v>
      </c>
      <c r="AO92" s="277">
        <v>24724.26</v>
      </c>
      <c r="AP92" s="277">
        <v>2747.14</v>
      </c>
      <c r="AQ92" s="277">
        <v>274714</v>
      </c>
      <c r="AR92" s="277">
        <v>13671771</v>
      </c>
      <c r="AS92" s="277">
        <v>11088498</v>
      </c>
      <c r="AT92" s="277">
        <v>2460919</v>
      </c>
      <c r="AU92" s="277">
        <v>273435</v>
      </c>
      <c r="AV92" s="277">
        <v>27494623</v>
      </c>
      <c r="AW92" s="277">
        <v>116546</v>
      </c>
      <c r="AX92" s="277">
        <v>25862</v>
      </c>
      <c r="AY92" s="277">
        <v>2874</v>
      </c>
      <c r="AZ92" s="277">
        <v>145282</v>
      </c>
      <c r="BA92" s="277">
        <v>470780</v>
      </c>
      <c r="BB92" s="277">
        <v>105925</v>
      </c>
      <c r="BC92" s="277">
        <v>11769</v>
      </c>
      <c r="BD92" s="277">
        <v>588474</v>
      </c>
      <c r="BE92" s="277">
        <v>8085</v>
      </c>
      <c r="BF92" s="277">
        <v>1819</v>
      </c>
      <c r="BG92" s="277">
        <v>202</v>
      </c>
      <c r="BH92" s="277">
        <v>10106</v>
      </c>
      <c r="BI92" s="277">
        <v>20212</v>
      </c>
      <c r="BJ92" s="277">
        <v>4548</v>
      </c>
      <c r="BK92" s="277">
        <v>505</v>
      </c>
      <c r="BL92" s="277">
        <v>25265</v>
      </c>
      <c r="BM92" s="277">
        <v>30318</v>
      </c>
      <c r="BN92" s="277">
        <v>6822</v>
      </c>
      <c r="BO92" s="277">
        <v>758</v>
      </c>
      <c r="BP92" s="277">
        <v>37898</v>
      </c>
      <c r="BQ92" s="277">
        <v>202123</v>
      </c>
      <c r="BR92" s="277">
        <v>45478</v>
      </c>
      <c r="BS92" s="277">
        <v>5053</v>
      </c>
      <c r="BT92" s="277">
        <v>252654</v>
      </c>
      <c r="BU92" s="277">
        <v>848064</v>
      </c>
      <c r="BV92" s="277">
        <v>190454</v>
      </c>
      <c r="BW92" s="277">
        <v>21161</v>
      </c>
      <c r="BX92" s="277">
        <v>1059679</v>
      </c>
      <c r="BY92" s="278" t="s">
        <v>77</v>
      </c>
      <c r="BZ92" s="279" t="s">
        <v>1000</v>
      </c>
      <c r="CA92" s="280" t="s">
        <v>1001</v>
      </c>
    </row>
    <row r="93" spans="1:79" ht="12.75">
      <c r="A93" s="169">
        <v>86</v>
      </c>
      <c r="B93" s="172" t="s">
        <v>79</v>
      </c>
      <c r="C93" s="258" t="s">
        <v>80</v>
      </c>
      <c r="D93" s="277">
        <v>43155472</v>
      </c>
      <c r="E93" s="277">
        <v>73152</v>
      </c>
      <c r="F93" s="277">
        <v>0</v>
      </c>
      <c r="G93" s="277">
        <v>197093</v>
      </c>
      <c r="H93" s="277">
        <v>0</v>
      </c>
      <c r="I93" s="277">
        <v>197093</v>
      </c>
      <c r="J93" s="277">
        <v>0</v>
      </c>
      <c r="K93" s="277">
        <v>0</v>
      </c>
      <c r="L93" s="277">
        <v>0</v>
      </c>
      <c r="M93" s="277">
        <v>0</v>
      </c>
      <c r="N93" s="277">
        <v>0</v>
      </c>
      <c r="O93" s="277">
        <v>0</v>
      </c>
      <c r="P93" s="277">
        <v>43031531</v>
      </c>
      <c r="Q93" s="277">
        <v>21515766</v>
      </c>
      <c r="R93" s="277">
        <v>17212612</v>
      </c>
      <c r="S93" s="277">
        <v>4303153</v>
      </c>
      <c r="T93" s="277">
        <v>0</v>
      </c>
      <c r="U93" s="277">
        <v>43031531</v>
      </c>
      <c r="V93" s="277">
        <v>0</v>
      </c>
      <c r="W93" s="277">
        <v>21515766</v>
      </c>
      <c r="X93" s="277">
        <v>197093</v>
      </c>
      <c r="Y93" s="277">
        <v>197093</v>
      </c>
      <c r="Z93" s="277">
        <v>0</v>
      </c>
      <c r="AA93" s="277">
        <v>0</v>
      </c>
      <c r="AB93" s="277">
        <v>0</v>
      </c>
      <c r="AC93" s="277">
        <v>0</v>
      </c>
      <c r="AD93" s="277">
        <v>0</v>
      </c>
      <c r="AE93" s="277">
        <v>0</v>
      </c>
      <c r="AF93" s="277">
        <v>0</v>
      </c>
      <c r="AG93" s="277">
        <v>0</v>
      </c>
      <c r="AH93" s="277">
        <v>0</v>
      </c>
      <c r="AI93" s="277">
        <v>0</v>
      </c>
      <c r="AJ93" s="277">
        <v>0</v>
      </c>
      <c r="AK93" s="277">
        <v>0</v>
      </c>
      <c r="AL93" s="277">
        <v>0</v>
      </c>
      <c r="AM93" s="277">
        <v>390221</v>
      </c>
      <c r="AN93" s="277">
        <v>312176.8</v>
      </c>
      <c r="AO93" s="277">
        <v>78044.2</v>
      </c>
      <c r="AP93" s="277">
        <v>0</v>
      </c>
      <c r="AQ93" s="277">
        <v>780442</v>
      </c>
      <c r="AR93" s="277">
        <v>21905987</v>
      </c>
      <c r="AS93" s="277">
        <v>17721882</v>
      </c>
      <c r="AT93" s="277">
        <v>4381197</v>
      </c>
      <c r="AU93" s="277">
        <v>0</v>
      </c>
      <c r="AV93" s="277">
        <v>44009066</v>
      </c>
      <c r="AW93" s="277">
        <v>184816</v>
      </c>
      <c r="AX93" s="277">
        <v>45681</v>
      </c>
      <c r="AY93" s="277">
        <v>0</v>
      </c>
      <c r="AZ93" s="277">
        <v>230497</v>
      </c>
      <c r="BA93" s="277">
        <v>491152</v>
      </c>
      <c r="BB93" s="277">
        <v>122788</v>
      </c>
      <c r="BC93" s="277">
        <v>0</v>
      </c>
      <c r="BD93" s="277">
        <v>613940</v>
      </c>
      <c r="BE93" s="277">
        <v>0</v>
      </c>
      <c r="BF93" s="277">
        <v>0</v>
      </c>
      <c r="BG93" s="277">
        <v>0</v>
      </c>
      <c r="BH93" s="277">
        <v>0</v>
      </c>
      <c r="BI93" s="277">
        <v>154348</v>
      </c>
      <c r="BJ93" s="277">
        <v>38587</v>
      </c>
      <c r="BK93" s="277">
        <v>0</v>
      </c>
      <c r="BL93" s="277">
        <v>192935</v>
      </c>
      <c r="BM93" s="277">
        <v>191232</v>
      </c>
      <c r="BN93" s="277">
        <v>47808</v>
      </c>
      <c r="BO93" s="277">
        <v>0</v>
      </c>
      <c r="BP93" s="277">
        <v>239040</v>
      </c>
      <c r="BQ93" s="277">
        <v>331569</v>
      </c>
      <c r="BR93" s="277">
        <v>82892</v>
      </c>
      <c r="BS93" s="277">
        <v>0</v>
      </c>
      <c r="BT93" s="277">
        <v>414461</v>
      </c>
      <c r="BU93" s="277">
        <v>1353117</v>
      </c>
      <c r="BV93" s="277">
        <v>337756</v>
      </c>
      <c r="BW93" s="277">
        <v>0</v>
      </c>
      <c r="BX93" s="277">
        <v>1690873</v>
      </c>
      <c r="BY93" s="278" t="s">
        <v>79</v>
      </c>
      <c r="BZ93" s="279" t="s">
        <v>1021</v>
      </c>
      <c r="CA93" s="280" t="s">
        <v>984</v>
      </c>
    </row>
    <row r="94" spans="1:79" ht="12.75">
      <c r="A94" s="169">
        <v>87</v>
      </c>
      <c r="B94" s="172" t="s">
        <v>81</v>
      </c>
      <c r="C94" s="258" t="s">
        <v>82</v>
      </c>
      <c r="D94" s="277">
        <v>32253501</v>
      </c>
      <c r="E94" s="277">
        <v>74442</v>
      </c>
      <c r="F94" s="277">
        <v>0</v>
      </c>
      <c r="G94" s="277">
        <v>269433</v>
      </c>
      <c r="H94" s="277">
        <v>0</v>
      </c>
      <c r="I94" s="277">
        <v>269433</v>
      </c>
      <c r="J94" s="277">
        <v>0</v>
      </c>
      <c r="K94" s="277">
        <v>0</v>
      </c>
      <c r="L94" s="277">
        <v>0</v>
      </c>
      <c r="M94" s="277">
        <v>2355</v>
      </c>
      <c r="N94" s="277">
        <v>2355</v>
      </c>
      <c r="O94" s="277">
        <v>0</v>
      </c>
      <c r="P94" s="277">
        <v>32056155</v>
      </c>
      <c r="Q94" s="277">
        <v>16028077</v>
      </c>
      <c r="R94" s="277">
        <v>12822462</v>
      </c>
      <c r="S94" s="277">
        <v>3205616</v>
      </c>
      <c r="T94" s="277">
        <v>0</v>
      </c>
      <c r="U94" s="277">
        <v>32056155</v>
      </c>
      <c r="V94" s="277">
        <v>0</v>
      </c>
      <c r="W94" s="277">
        <v>16028077</v>
      </c>
      <c r="X94" s="277">
        <v>269433</v>
      </c>
      <c r="Y94" s="277">
        <v>269433</v>
      </c>
      <c r="Z94" s="277">
        <v>0</v>
      </c>
      <c r="AA94" s="277">
        <v>0</v>
      </c>
      <c r="AB94" s="277">
        <v>0</v>
      </c>
      <c r="AC94" s="277">
        <v>0</v>
      </c>
      <c r="AD94" s="277">
        <v>2355</v>
      </c>
      <c r="AE94" s="277">
        <v>0</v>
      </c>
      <c r="AF94" s="277">
        <v>2355</v>
      </c>
      <c r="AG94" s="277">
        <v>0</v>
      </c>
      <c r="AH94" s="277">
        <v>0</v>
      </c>
      <c r="AI94" s="277">
        <v>0</v>
      </c>
      <c r="AJ94" s="277">
        <v>0</v>
      </c>
      <c r="AK94" s="277">
        <v>0</v>
      </c>
      <c r="AL94" s="277">
        <v>0</v>
      </c>
      <c r="AM94" s="277">
        <v>-520835.5</v>
      </c>
      <c r="AN94" s="277">
        <v>-416668.4</v>
      </c>
      <c r="AO94" s="277">
        <v>-104167.1</v>
      </c>
      <c r="AP94" s="277">
        <v>0</v>
      </c>
      <c r="AQ94" s="277">
        <v>-1041671</v>
      </c>
      <c r="AR94" s="277">
        <v>15507242</v>
      </c>
      <c r="AS94" s="277">
        <v>12677582</v>
      </c>
      <c r="AT94" s="277">
        <v>3101449</v>
      </c>
      <c r="AU94" s="277">
        <v>0</v>
      </c>
      <c r="AV94" s="277">
        <v>31286272</v>
      </c>
      <c r="AW94" s="277">
        <v>139005</v>
      </c>
      <c r="AX94" s="277">
        <v>34030</v>
      </c>
      <c r="AY94" s="277">
        <v>0</v>
      </c>
      <c r="AZ94" s="277">
        <v>173035</v>
      </c>
      <c r="BA94" s="277">
        <v>863698</v>
      </c>
      <c r="BB94" s="277">
        <v>215925</v>
      </c>
      <c r="BC94" s="277">
        <v>0</v>
      </c>
      <c r="BD94" s="277">
        <v>1079623</v>
      </c>
      <c r="BE94" s="277">
        <v>35253</v>
      </c>
      <c r="BF94" s="277">
        <v>8813</v>
      </c>
      <c r="BG94" s="277">
        <v>0</v>
      </c>
      <c r="BH94" s="277">
        <v>44066</v>
      </c>
      <c r="BI94" s="277">
        <v>0</v>
      </c>
      <c r="BJ94" s="277">
        <v>0</v>
      </c>
      <c r="BK94" s="277">
        <v>0</v>
      </c>
      <c r="BL94" s="277">
        <v>0</v>
      </c>
      <c r="BM94" s="277">
        <v>3404</v>
      </c>
      <c r="BN94" s="277">
        <v>851</v>
      </c>
      <c r="BO94" s="277">
        <v>0</v>
      </c>
      <c r="BP94" s="277">
        <v>4255</v>
      </c>
      <c r="BQ94" s="277">
        <v>380538</v>
      </c>
      <c r="BR94" s="277">
        <v>95134</v>
      </c>
      <c r="BS94" s="277">
        <v>0</v>
      </c>
      <c r="BT94" s="277">
        <v>475672</v>
      </c>
      <c r="BU94" s="277">
        <v>1421898</v>
      </c>
      <c r="BV94" s="277">
        <v>354753</v>
      </c>
      <c r="BW94" s="277">
        <v>0</v>
      </c>
      <c r="BX94" s="277">
        <v>1776651</v>
      </c>
      <c r="BY94" s="278" t="s">
        <v>81</v>
      </c>
      <c r="BZ94" s="279" t="s">
        <v>1011</v>
      </c>
      <c r="CA94" s="280" t="s">
        <v>984</v>
      </c>
    </row>
    <row r="95" spans="1:79" ht="12.75">
      <c r="A95" s="169">
        <v>88</v>
      </c>
      <c r="B95" s="172" t="s">
        <v>83</v>
      </c>
      <c r="C95" s="258" t="s">
        <v>84</v>
      </c>
      <c r="D95" s="277">
        <v>21654654</v>
      </c>
      <c r="E95" s="277">
        <v>4833</v>
      </c>
      <c r="F95" s="277">
        <v>0</v>
      </c>
      <c r="G95" s="277">
        <v>99677</v>
      </c>
      <c r="H95" s="277">
        <v>0</v>
      </c>
      <c r="I95" s="277">
        <v>99677</v>
      </c>
      <c r="J95" s="277">
        <v>0</v>
      </c>
      <c r="K95" s="277">
        <v>0</v>
      </c>
      <c r="L95" s="277">
        <v>0</v>
      </c>
      <c r="M95" s="277">
        <v>25000</v>
      </c>
      <c r="N95" s="277">
        <v>25000</v>
      </c>
      <c r="O95" s="277">
        <v>0</v>
      </c>
      <c r="P95" s="277">
        <v>21534810</v>
      </c>
      <c r="Q95" s="277">
        <v>10767405</v>
      </c>
      <c r="R95" s="277">
        <v>8613924</v>
      </c>
      <c r="S95" s="277">
        <v>2153481</v>
      </c>
      <c r="T95" s="277">
        <v>0</v>
      </c>
      <c r="U95" s="277">
        <v>21534810</v>
      </c>
      <c r="V95" s="277">
        <v>0</v>
      </c>
      <c r="W95" s="277">
        <v>10767405</v>
      </c>
      <c r="X95" s="277">
        <v>99677</v>
      </c>
      <c r="Y95" s="277">
        <v>99677</v>
      </c>
      <c r="Z95" s="277">
        <v>0</v>
      </c>
      <c r="AA95" s="277">
        <v>0</v>
      </c>
      <c r="AB95" s="277">
        <v>0</v>
      </c>
      <c r="AC95" s="277">
        <v>0</v>
      </c>
      <c r="AD95" s="277">
        <v>25000</v>
      </c>
      <c r="AE95" s="277">
        <v>0</v>
      </c>
      <c r="AF95" s="277">
        <v>25000</v>
      </c>
      <c r="AG95" s="277">
        <v>0</v>
      </c>
      <c r="AH95" s="277">
        <v>0</v>
      </c>
      <c r="AI95" s="277">
        <v>0</v>
      </c>
      <c r="AJ95" s="277">
        <v>0</v>
      </c>
      <c r="AK95" s="277">
        <v>0</v>
      </c>
      <c r="AL95" s="277">
        <v>0</v>
      </c>
      <c r="AM95" s="277">
        <v>96691.5</v>
      </c>
      <c r="AN95" s="277">
        <v>77353.2</v>
      </c>
      <c r="AO95" s="277">
        <v>19338.3</v>
      </c>
      <c r="AP95" s="277">
        <v>0</v>
      </c>
      <c r="AQ95" s="277">
        <v>193383</v>
      </c>
      <c r="AR95" s="277">
        <v>10864097</v>
      </c>
      <c r="AS95" s="277">
        <v>8815954</v>
      </c>
      <c r="AT95" s="277">
        <v>2172819</v>
      </c>
      <c r="AU95" s="277">
        <v>0</v>
      </c>
      <c r="AV95" s="277">
        <v>21852870</v>
      </c>
      <c r="AW95" s="277">
        <v>92766</v>
      </c>
      <c r="AX95" s="277">
        <v>22861</v>
      </c>
      <c r="AY95" s="277">
        <v>0</v>
      </c>
      <c r="AZ95" s="277">
        <v>115627</v>
      </c>
      <c r="BA95" s="277">
        <v>356195</v>
      </c>
      <c r="BB95" s="277">
        <v>89049</v>
      </c>
      <c r="BC95" s="277">
        <v>0</v>
      </c>
      <c r="BD95" s="277">
        <v>445244</v>
      </c>
      <c r="BE95" s="277">
        <v>4042</v>
      </c>
      <c r="BF95" s="277">
        <v>1011</v>
      </c>
      <c r="BG95" s="277">
        <v>0</v>
      </c>
      <c r="BH95" s="277">
        <v>5053</v>
      </c>
      <c r="BI95" s="277">
        <v>10106</v>
      </c>
      <c r="BJ95" s="277">
        <v>2527</v>
      </c>
      <c r="BK95" s="277">
        <v>0</v>
      </c>
      <c r="BL95" s="277">
        <v>12633</v>
      </c>
      <c r="BM95" s="277">
        <v>1213</v>
      </c>
      <c r="BN95" s="277">
        <v>303</v>
      </c>
      <c r="BO95" s="277">
        <v>0</v>
      </c>
      <c r="BP95" s="277">
        <v>1516</v>
      </c>
      <c r="BQ95" s="277">
        <v>103083</v>
      </c>
      <c r="BR95" s="277">
        <v>25771</v>
      </c>
      <c r="BS95" s="277">
        <v>0</v>
      </c>
      <c r="BT95" s="277">
        <v>128854</v>
      </c>
      <c r="BU95" s="277">
        <v>567405</v>
      </c>
      <c r="BV95" s="277">
        <v>141522</v>
      </c>
      <c r="BW95" s="277">
        <v>0</v>
      </c>
      <c r="BX95" s="277">
        <v>708927</v>
      </c>
      <c r="BY95" s="278" t="s">
        <v>83</v>
      </c>
      <c r="BZ95" s="279" t="s">
        <v>1032</v>
      </c>
      <c r="CA95" s="280" t="s">
        <v>984</v>
      </c>
    </row>
    <row r="96" spans="1:79" ht="12.75">
      <c r="A96" s="169">
        <v>89</v>
      </c>
      <c r="B96" s="172" t="s">
        <v>85</v>
      </c>
      <c r="C96" s="258" t="s">
        <v>86</v>
      </c>
      <c r="D96" s="277">
        <v>96140110</v>
      </c>
      <c r="E96" s="277">
        <v>239328</v>
      </c>
      <c r="F96" s="277">
        <v>0</v>
      </c>
      <c r="G96" s="277">
        <v>435614</v>
      </c>
      <c r="H96" s="277">
        <v>0</v>
      </c>
      <c r="I96" s="277">
        <v>435614</v>
      </c>
      <c r="J96" s="277">
        <v>0</v>
      </c>
      <c r="K96" s="277">
        <v>530</v>
      </c>
      <c r="L96" s="277">
        <v>0</v>
      </c>
      <c r="M96" s="277">
        <v>1332261</v>
      </c>
      <c r="N96" s="277">
        <v>1332261</v>
      </c>
      <c r="O96" s="277">
        <v>0</v>
      </c>
      <c r="P96" s="277">
        <v>94611033</v>
      </c>
      <c r="Q96" s="277">
        <v>47305517</v>
      </c>
      <c r="R96" s="277">
        <v>46359406</v>
      </c>
      <c r="S96" s="277">
        <v>0</v>
      </c>
      <c r="T96" s="277">
        <v>946110</v>
      </c>
      <c r="U96" s="277">
        <v>94611033</v>
      </c>
      <c r="V96" s="277">
        <v>123745.5</v>
      </c>
      <c r="W96" s="277">
        <v>47181771.5</v>
      </c>
      <c r="X96" s="277">
        <v>435614</v>
      </c>
      <c r="Y96" s="277">
        <v>435614</v>
      </c>
      <c r="Z96" s="277">
        <v>530</v>
      </c>
      <c r="AA96" s="277">
        <v>530</v>
      </c>
      <c r="AB96" s="277">
        <v>0</v>
      </c>
      <c r="AC96" s="277">
        <v>0</v>
      </c>
      <c r="AD96" s="277">
        <v>1332261</v>
      </c>
      <c r="AE96" s="277">
        <v>0</v>
      </c>
      <c r="AF96" s="277">
        <v>1332261</v>
      </c>
      <c r="AG96" s="277">
        <v>122527.5</v>
      </c>
      <c r="AH96" s="277">
        <v>0</v>
      </c>
      <c r="AI96" s="277">
        <v>1218</v>
      </c>
      <c r="AJ96" s="277">
        <v>123745.5</v>
      </c>
      <c r="AK96" s="277">
        <v>0</v>
      </c>
      <c r="AL96" s="277">
        <v>0</v>
      </c>
      <c r="AM96" s="277">
        <v>-1132098</v>
      </c>
      <c r="AN96" s="277">
        <v>-1109456</v>
      </c>
      <c r="AO96" s="277">
        <v>0</v>
      </c>
      <c r="AP96" s="277">
        <v>-22641.96</v>
      </c>
      <c r="AQ96" s="277">
        <v>-2264196</v>
      </c>
      <c r="AR96" s="277">
        <v>46049674</v>
      </c>
      <c r="AS96" s="277">
        <v>47140882</v>
      </c>
      <c r="AT96" s="277">
        <v>0</v>
      </c>
      <c r="AU96" s="277">
        <v>924686</v>
      </c>
      <c r="AV96" s="277">
        <v>94115242</v>
      </c>
      <c r="AW96" s="277">
        <v>512212</v>
      </c>
      <c r="AX96" s="277">
        <v>0</v>
      </c>
      <c r="AY96" s="277">
        <v>10057</v>
      </c>
      <c r="AZ96" s="277">
        <v>522269</v>
      </c>
      <c r="BA96" s="277">
        <v>1784165</v>
      </c>
      <c r="BB96" s="277">
        <v>0</v>
      </c>
      <c r="BC96" s="277">
        <v>36412</v>
      </c>
      <c r="BD96" s="277">
        <v>1820577</v>
      </c>
      <c r="BE96" s="277">
        <v>2169</v>
      </c>
      <c r="BF96" s="277">
        <v>0</v>
      </c>
      <c r="BG96" s="277">
        <v>44</v>
      </c>
      <c r="BH96" s="277">
        <v>2213</v>
      </c>
      <c r="BI96" s="277">
        <v>0</v>
      </c>
      <c r="BJ96" s="277">
        <v>0</v>
      </c>
      <c r="BK96" s="277">
        <v>0</v>
      </c>
      <c r="BL96" s="277">
        <v>0</v>
      </c>
      <c r="BM96" s="277">
        <v>43791</v>
      </c>
      <c r="BN96" s="277">
        <v>0</v>
      </c>
      <c r="BO96" s="277">
        <v>894</v>
      </c>
      <c r="BP96" s="277">
        <v>44685</v>
      </c>
      <c r="BQ96" s="277">
        <v>846636</v>
      </c>
      <c r="BR96" s="277">
        <v>0</v>
      </c>
      <c r="BS96" s="277">
        <v>17278</v>
      </c>
      <c r="BT96" s="277">
        <v>863914</v>
      </c>
      <c r="BU96" s="277">
        <v>3188973</v>
      </c>
      <c r="BV96" s="277">
        <v>0</v>
      </c>
      <c r="BW96" s="277">
        <v>64685</v>
      </c>
      <c r="BX96" s="277">
        <v>3253658</v>
      </c>
      <c r="BY96" s="278" t="s">
        <v>890</v>
      </c>
      <c r="BZ96" s="279" t="s">
        <v>1003</v>
      </c>
      <c r="CA96" s="280" t="s">
        <v>1038</v>
      </c>
    </row>
    <row r="97" spans="1:79" ht="12.75">
      <c r="A97" s="169">
        <v>90</v>
      </c>
      <c r="B97" s="172" t="s">
        <v>87</v>
      </c>
      <c r="C97" s="258" t="s">
        <v>88</v>
      </c>
      <c r="D97" s="277">
        <v>53475492.1</v>
      </c>
      <c r="E97" s="277">
        <v>40650.77</v>
      </c>
      <c r="F97" s="277">
        <v>0</v>
      </c>
      <c r="G97" s="277">
        <v>180196</v>
      </c>
      <c r="H97" s="277">
        <v>0</v>
      </c>
      <c r="I97" s="277">
        <v>180196</v>
      </c>
      <c r="J97" s="277">
        <v>0</v>
      </c>
      <c r="K97" s="277">
        <v>0</v>
      </c>
      <c r="L97" s="277">
        <v>0</v>
      </c>
      <c r="M97" s="277">
        <v>0</v>
      </c>
      <c r="N97" s="277">
        <v>0</v>
      </c>
      <c r="O97" s="277">
        <v>0</v>
      </c>
      <c r="P97" s="277">
        <v>53335946.9</v>
      </c>
      <c r="Q97" s="277">
        <v>26667973.9</v>
      </c>
      <c r="R97" s="277">
        <v>21334379</v>
      </c>
      <c r="S97" s="277">
        <v>4800235</v>
      </c>
      <c r="T97" s="277">
        <v>533359</v>
      </c>
      <c r="U97" s="277">
        <v>53335947</v>
      </c>
      <c r="V97" s="277">
        <v>0</v>
      </c>
      <c r="W97" s="277">
        <v>26667973.9</v>
      </c>
      <c r="X97" s="277">
        <v>180196</v>
      </c>
      <c r="Y97" s="277">
        <v>180196</v>
      </c>
      <c r="Z97" s="277">
        <v>0</v>
      </c>
      <c r="AA97" s="277">
        <v>0</v>
      </c>
      <c r="AB97" s="277">
        <v>0</v>
      </c>
      <c r="AC97" s="277">
        <v>0</v>
      </c>
      <c r="AD97" s="277">
        <v>0</v>
      </c>
      <c r="AE97" s="277">
        <v>0</v>
      </c>
      <c r="AF97" s="277">
        <v>0</v>
      </c>
      <c r="AG97" s="277">
        <v>0</v>
      </c>
      <c r="AH97" s="277">
        <v>0</v>
      </c>
      <c r="AI97" s="277">
        <v>0</v>
      </c>
      <c r="AJ97" s="277">
        <v>0</v>
      </c>
      <c r="AK97" s="277">
        <v>0</v>
      </c>
      <c r="AL97" s="277">
        <v>0</v>
      </c>
      <c r="AM97" s="277">
        <v>-1081016.4</v>
      </c>
      <c r="AN97" s="277">
        <v>-864813.13</v>
      </c>
      <c r="AO97" s="277">
        <v>-194582.95</v>
      </c>
      <c r="AP97" s="277">
        <v>-21620.33</v>
      </c>
      <c r="AQ97" s="277">
        <v>-2162032.8</v>
      </c>
      <c r="AR97" s="277">
        <v>25586957</v>
      </c>
      <c r="AS97" s="277">
        <v>20649762</v>
      </c>
      <c r="AT97" s="277">
        <v>4605652</v>
      </c>
      <c r="AU97" s="277">
        <v>511739</v>
      </c>
      <c r="AV97" s="277">
        <v>51354110</v>
      </c>
      <c r="AW97" s="277">
        <v>228393</v>
      </c>
      <c r="AX97" s="277">
        <v>50958</v>
      </c>
      <c r="AY97" s="277">
        <v>5662</v>
      </c>
      <c r="AZ97" s="277">
        <v>285013</v>
      </c>
      <c r="BA97" s="277">
        <v>233459</v>
      </c>
      <c r="BB97" s="277">
        <v>52528</v>
      </c>
      <c r="BC97" s="277">
        <v>5836</v>
      </c>
      <c r="BD97" s="277">
        <v>291823</v>
      </c>
      <c r="BE97" s="277">
        <v>0</v>
      </c>
      <c r="BF97" s="277">
        <v>0</v>
      </c>
      <c r="BG97" s="277">
        <v>0</v>
      </c>
      <c r="BH97" s="277">
        <v>0</v>
      </c>
      <c r="BI97" s="277">
        <v>10007</v>
      </c>
      <c r="BJ97" s="277">
        <v>2252</v>
      </c>
      <c r="BK97" s="277">
        <v>250</v>
      </c>
      <c r="BL97" s="277">
        <v>12509</v>
      </c>
      <c r="BM97" s="277">
        <v>65855</v>
      </c>
      <c r="BN97" s="277">
        <v>14817</v>
      </c>
      <c r="BO97" s="277">
        <v>1646</v>
      </c>
      <c r="BP97" s="277">
        <v>82318</v>
      </c>
      <c r="BQ97" s="277">
        <v>270845</v>
      </c>
      <c r="BR97" s="277">
        <v>60940</v>
      </c>
      <c r="BS97" s="277">
        <v>6771</v>
      </c>
      <c r="BT97" s="277">
        <v>338556</v>
      </c>
      <c r="BU97" s="277">
        <v>808559</v>
      </c>
      <c r="BV97" s="277">
        <v>181495</v>
      </c>
      <c r="BW97" s="277">
        <v>20165</v>
      </c>
      <c r="BX97" s="277">
        <v>1010219</v>
      </c>
      <c r="BY97" s="278" t="s">
        <v>87</v>
      </c>
      <c r="BZ97" s="279" t="s">
        <v>1025</v>
      </c>
      <c r="CA97" s="280" t="s">
        <v>1026</v>
      </c>
    </row>
    <row r="98" spans="1:79" ht="12.75">
      <c r="A98" s="169">
        <v>91</v>
      </c>
      <c r="B98" s="172" t="s">
        <v>89</v>
      </c>
      <c r="C98" s="258" t="s">
        <v>90</v>
      </c>
      <c r="D98" s="277">
        <v>33244302</v>
      </c>
      <c r="E98" s="277">
        <v>37995</v>
      </c>
      <c r="F98" s="277">
        <v>0</v>
      </c>
      <c r="G98" s="277">
        <v>127045</v>
      </c>
      <c r="H98" s="277">
        <v>0</v>
      </c>
      <c r="I98" s="277">
        <v>127045</v>
      </c>
      <c r="J98" s="277">
        <v>0</v>
      </c>
      <c r="K98" s="277">
        <v>0</v>
      </c>
      <c r="L98" s="277">
        <v>0</v>
      </c>
      <c r="M98" s="277">
        <v>0</v>
      </c>
      <c r="N98" s="277">
        <v>0</v>
      </c>
      <c r="O98" s="277">
        <v>0</v>
      </c>
      <c r="P98" s="277">
        <v>33155252</v>
      </c>
      <c r="Q98" s="277">
        <v>16577625</v>
      </c>
      <c r="R98" s="277">
        <v>13262101</v>
      </c>
      <c r="S98" s="277">
        <v>2983973</v>
      </c>
      <c r="T98" s="277">
        <v>331553</v>
      </c>
      <c r="U98" s="277">
        <v>33155252</v>
      </c>
      <c r="V98" s="277">
        <v>0</v>
      </c>
      <c r="W98" s="277">
        <v>16577625</v>
      </c>
      <c r="X98" s="277">
        <v>127045</v>
      </c>
      <c r="Y98" s="277">
        <v>127045</v>
      </c>
      <c r="Z98" s="277">
        <v>0</v>
      </c>
      <c r="AA98" s="277">
        <v>0</v>
      </c>
      <c r="AB98" s="277">
        <v>0</v>
      </c>
      <c r="AC98" s="277">
        <v>0</v>
      </c>
      <c r="AD98" s="277">
        <v>0</v>
      </c>
      <c r="AE98" s="277">
        <v>0</v>
      </c>
      <c r="AF98" s="277">
        <v>0</v>
      </c>
      <c r="AG98" s="277">
        <v>0</v>
      </c>
      <c r="AH98" s="277">
        <v>0</v>
      </c>
      <c r="AI98" s="277">
        <v>0</v>
      </c>
      <c r="AJ98" s="277">
        <v>0</v>
      </c>
      <c r="AK98" s="277">
        <v>0</v>
      </c>
      <c r="AL98" s="277">
        <v>0</v>
      </c>
      <c r="AM98" s="277">
        <v>-1032527</v>
      </c>
      <c r="AN98" s="277">
        <v>-826021.6</v>
      </c>
      <c r="AO98" s="277">
        <v>-185854.86</v>
      </c>
      <c r="AP98" s="277">
        <v>-20650.54</v>
      </c>
      <c r="AQ98" s="277">
        <v>-2065054</v>
      </c>
      <c r="AR98" s="277">
        <v>15545098</v>
      </c>
      <c r="AS98" s="277">
        <v>12563124</v>
      </c>
      <c r="AT98" s="277">
        <v>2798118</v>
      </c>
      <c r="AU98" s="277">
        <v>310902</v>
      </c>
      <c r="AV98" s="277">
        <v>31217243</v>
      </c>
      <c r="AW98" s="277">
        <v>142135</v>
      </c>
      <c r="AX98" s="277">
        <v>31677</v>
      </c>
      <c r="AY98" s="277">
        <v>3520</v>
      </c>
      <c r="AZ98" s="277">
        <v>177332</v>
      </c>
      <c r="BA98" s="277">
        <v>383907</v>
      </c>
      <c r="BB98" s="277">
        <v>86379</v>
      </c>
      <c r="BC98" s="277">
        <v>9598</v>
      </c>
      <c r="BD98" s="277">
        <v>479884</v>
      </c>
      <c r="BE98" s="277">
        <v>14213</v>
      </c>
      <c r="BF98" s="277">
        <v>3198</v>
      </c>
      <c r="BG98" s="277">
        <v>355</v>
      </c>
      <c r="BH98" s="277">
        <v>17766</v>
      </c>
      <c r="BI98" s="277">
        <v>0</v>
      </c>
      <c r="BJ98" s="277">
        <v>0</v>
      </c>
      <c r="BK98" s="277">
        <v>0</v>
      </c>
      <c r="BL98" s="277">
        <v>0</v>
      </c>
      <c r="BM98" s="277">
        <v>33547</v>
      </c>
      <c r="BN98" s="277">
        <v>7548</v>
      </c>
      <c r="BO98" s="277">
        <v>839</v>
      </c>
      <c r="BP98" s="277">
        <v>41934</v>
      </c>
      <c r="BQ98" s="277">
        <v>291702</v>
      </c>
      <c r="BR98" s="277">
        <v>65633</v>
      </c>
      <c r="BS98" s="277">
        <v>7293</v>
      </c>
      <c r="BT98" s="277">
        <v>364628</v>
      </c>
      <c r="BU98" s="277">
        <v>865504</v>
      </c>
      <c r="BV98" s="277">
        <v>194435</v>
      </c>
      <c r="BW98" s="277">
        <v>21605</v>
      </c>
      <c r="BX98" s="277">
        <v>1081544</v>
      </c>
      <c r="BY98" s="278" t="s">
        <v>89</v>
      </c>
      <c r="BZ98" s="279" t="s">
        <v>1039</v>
      </c>
      <c r="CA98" s="280" t="s">
        <v>1017</v>
      </c>
    </row>
    <row r="99" spans="1:79" ht="12.75">
      <c r="A99" s="169">
        <v>92</v>
      </c>
      <c r="B99" s="172" t="s">
        <v>91</v>
      </c>
      <c r="C99" s="258" t="s">
        <v>92</v>
      </c>
      <c r="D99" s="277">
        <v>54662899</v>
      </c>
      <c r="E99" s="277">
        <v>0</v>
      </c>
      <c r="F99" s="277">
        <v>77000</v>
      </c>
      <c r="G99" s="277">
        <v>151459</v>
      </c>
      <c r="H99" s="277">
        <v>0</v>
      </c>
      <c r="I99" s="277">
        <v>151459</v>
      </c>
      <c r="J99" s="277">
        <v>0</v>
      </c>
      <c r="K99" s="277">
        <v>0</v>
      </c>
      <c r="L99" s="277">
        <v>0</v>
      </c>
      <c r="M99" s="277">
        <v>0</v>
      </c>
      <c r="N99" s="277">
        <v>0</v>
      </c>
      <c r="O99" s="277">
        <v>0</v>
      </c>
      <c r="P99" s="277">
        <v>54434440</v>
      </c>
      <c r="Q99" s="277">
        <v>27217220</v>
      </c>
      <c r="R99" s="277">
        <v>21773776</v>
      </c>
      <c r="S99" s="277">
        <v>4899100</v>
      </c>
      <c r="T99" s="277">
        <v>544344</v>
      </c>
      <c r="U99" s="277">
        <v>54434440</v>
      </c>
      <c r="V99" s="277">
        <v>0</v>
      </c>
      <c r="W99" s="277">
        <v>27217220</v>
      </c>
      <c r="X99" s="277">
        <v>151459</v>
      </c>
      <c r="Y99" s="277">
        <v>151459</v>
      </c>
      <c r="Z99" s="277">
        <v>0</v>
      </c>
      <c r="AA99" s="277">
        <v>0</v>
      </c>
      <c r="AB99" s="277">
        <v>0</v>
      </c>
      <c r="AC99" s="277">
        <v>0</v>
      </c>
      <c r="AD99" s="277">
        <v>0</v>
      </c>
      <c r="AE99" s="277">
        <v>0</v>
      </c>
      <c r="AF99" s="277">
        <v>0</v>
      </c>
      <c r="AG99" s="277">
        <v>0</v>
      </c>
      <c r="AH99" s="277">
        <v>0</v>
      </c>
      <c r="AI99" s="277">
        <v>0</v>
      </c>
      <c r="AJ99" s="277">
        <v>0</v>
      </c>
      <c r="AK99" s="277">
        <v>0</v>
      </c>
      <c r="AL99" s="277">
        <v>0</v>
      </c>
      <c r="AM99" s="277">
        <v>-1491206.5</v>
      </c>
      <c r="AN99" s="277">
        <v>-1192965.2</v>
      </c>
      <c r="AO99" s="277">
        <v>-268417.17</v>
      </c>
      <c r="AP99" s="277">
        <v>-29824.13</v>
      </c>
      <c r="AQ99" s="277">
        <v>-2982413</v>
      </c>
      <c r="AR99" s="277">
        <v>25726014</v>
      </c>
      <c r="AS99" s="277">
        <v>20732270</v>
      </c>
      <c r="AT99" s="277">
        <v>4630683</v>
      </c>
      <c r="AU99" s="277">
        <v>514520</v>
      </c>
      <c r="AV99" s="277">
        <v>51603486</v>
      </c>
      <c r="AW99" s="277">
        <v>232752</v>
      </c>
      <c r="AX99" s="277">
        <v>52007</v>
      </c>
      <c r="AY99" s="277">
        <v>5779</v>
      </c>
      <c r="AZ99" s="277">
        <v>290538</v>
      </c>
      <c r="BA99" s="277">
        <v>310513</v>
      </c>
      <c r="BB99" s="277">
        <v>69865</v>
      </c>
      <c r="BC99" s="277">
        <v>7763</v>
      </c>
      <c r="BD99" s="277">
        <v>388141</v>
      </c>
      <c r="BE99" s="277">
        <v>0</v>
      </c>
      <c r="BF99" s="277">
        <v>0</v>
      </c>
      <c r="BG99" s="277">
        <v>0</v>
      </c>
      <c r="BH99" s="277">
        <v>0</v>
      </c>
      <c r="BI99" s="277">
        <v>0</v>
      </c>
      <c r="BJ99" s="277">
        <v>0</v>
      </c>
      <c r="BK99" s="277">
        <v>0</v>
      </c>
      <c r="BL99" s="277">
        <v>0</v>
      </c>
      <c r="BM99" s="277">
        <v>40424</v>
      </c>
      <c r="BN99" s="277">
        <v>9096</v>
      </c>
      <c r="BO99" s="277">
        <v>1011</v>
      </c>
      <c r="BP99" s="277">
        <v>50531</v>
      </c>
      <c r="BQ99" s="277">
        <v>242548</v>
      </c>
      <c r="BR99" s="277">
        <v>54573</v>
      </c>
      <c r="BS99" s="277">
        <v>6064</v>
      </c>
      <c r="BT99" s="277">
        <v>303185</v>
      </c>
      <c r="BU99" s="277">
        <v>826237</v>
      </c>
      <c r="BV99" s="277">
        <v>185541</v>
      </c>
      <c r="BW99" s="277">
        <v>20617</v>
      </c>
      <c r="BX99" s="277">
        <v>1032395</v>
      </c>
      <c r="BY99" s="278" t="s">
        <v>91</v>
      </c>
      <c r="BZ99" s="279" t="s">
        <v>1000</v>
      </c>
      <c r="CA99" s="280" t="s">
        <v>1001</v>
      </c>
    </row>
    <row r="100" spans="1:79" ht="12.75">
      <c r="A100" s="169">
        <v>93</v>
      </c>
      <c r="B100" s="172" t="s">
        <v>93</v>
      </c>
      <c r="C100" s="258" t="s">
        <v>94</v>
      </c>
      <c r="D100" s="277">
        <v>20687884.3</v>
      </c>
      <c r="E100" s="277">
        <v>94175.79</v>
      </c>
      <c r="F100" s="277">
        <v>0</v>
      </c>
      <c r="G100" s="277">
        <v>128447</v>
      </c>
      <c r="H100" s="277">
        <v>0</v>
      </c>
      <c r="I100" s="277">
        <v>128447</v>
      </c>
      <c r="J100" s="277">
        <v>0</v>
      </c>
      <c r="K100" s="277">
        <v>0</v>
      </c>
      <c r="L100" s="277">
        <v>0</v>
      </c>
      <c r="M100" s="277">
        <v>0</v>
      </c>
      <c r="N100" s="277">
        <v>0</v>
      </c>
      <c r="O100" s="277">
        <v>0</v>
      </c>
      <c r="P100" s="277">
        <v>20653613.1</v>
      </c>
      <c r="Q100" s="277">
        <v>10326807.1</v>
      </c>
      <c r="R100" s="277">
        <v>8261445</v>
      </c>
      <c r="S100" s="277">
        <v>2065361</v>
      </c>
      <c r="T100" s="277">
        <v>0</v>
      </c>
      <c r="U100" s="277">
        <v>20653613</v>
      </c>
      <c r="V100" s="277">
        <v>0</v>
      </c>
      <c r="W100" s="277">
        <v>10326807.1</v>
      </c>
      <c r="X100" s="277">
        <v>128447</v>
      </c>
      <c r="Y100" s="277">
        <v>128447</v>
      </c>
      <c r="Z100" s="277">
        <v>0</v>
      </c>
      <c r="AA100" s="277">
        <v>0</v>
      </c>
      <c r="AB100" s="277">
        <v>0</v>
      </c>
      <c r="AC100" s="277">
        <v>0</v>
      </c>
      <c r="AD100" s="277">
        <v>0</v>
      </c>
      <c r="AE100" s="277">
        <v>0</v>
      </c>
      <c r="AF100" s="277">
        <v>0</v>
      </c>
      <c r="AG100" s="277">
        <v>0</v>
      </c>
      <c r="AH100" s="277">
        <v>0</v>
      </c>
      <c r="AI100" s="277">
        <v>0</v>
      </c>
      <c r="AJ100" s="277">
        <v>0</v>
      </c>
      <c r="AK100" s="277">
        <v>0</v>
      </c>
      <c r="AL100" s="277">
        <v>0</v>
      </c>
      <c r="AM100" s="277">
        <v>-8849.68</v>
      </c>
      <c r="AN100" s="277">
        <v>-7079.74</v>
      </c>
      <c r="AO100" s="277">
        <v>-1769.94</v>
      </c>
      <c r="AP100" s="277">
        <v>0</v>
      </c>
      <c r="AQ100" s="277">
        <v>-17699.35</v>
      </c>
      <c r="AR100" s="277">
        <v>10317957</v>
      </c>
      <c r="AS100" s="277">
        <v>8382812</v>
      </c>
      <c r="AT100" s="277">
        <v>2063591</v>
      </c>
      <c r="AU100" s="277">
        <v>0</v>
      </c>
      <c r="AV100" s="277">
        <v>20764361</v>
      </c>
      <c r="AW100" s="277">
        <v>89065</v>
      </c>
      <c r="AX100" s="277">
        <v>21925</v>
      </c>
      <c r="AY100" s="277">
        <v>0</v>
      </c>
      <c r="AZ100" s="277">
        <v>110990</v>
      </c>
      <c r="BA100" s="277">
        <v>406274</v>
      </c>
      <c r="BB100" s="277">
        <v>101568</v>
      </c>
      <c r="BC100" s="277">
        <v>0</v>
      </c>
      <c r="BD100" s="277">
        <v>507842</v>
      </c>
      <c r="BE100" s="277">
        <v>3774</v>
      </c>
      <c r="BF100" s="277">
        <v>943</v>
      </c>
      <c r="BG100" s="277">
        <v>0</v>
      </c>
      <c r="BH100" s="277">
        <v>4717</v>
      </c>
      <c r="BI100" s="277">
        <v>0</v>
      </c>
      <c r="BJ100" s="277">
        <v>0</v>
      </c>
      <c r="BK100" s="277">
        <v>0</v>
      </c>
      <c r="BL100" s="277">
        <v>0</v>
      </c>
      <c r="BM100" s="277">
        <v>28581</v>
      </c>
      <c r="BN100" s="277">
        <v>7145</v>
      </c>
      <c r="BO100" s="277">
        <v>0</v>
      </c>
      <c r="BP100" s="277">
        <v>35726</v>
      </c>
      <c r="BQ100" s="277">
        <v>139214</v>
      </c>
      <c r="BR100" s="277">
        <v>34804</v>
      </c>
      <c r="BS100" s="277">
        <v>0</v>
      </c>
      <c r="BT100" s="277">
        <v>174018</v>
      </c>
      <c r="BU100" s="277">
        <v>666908</v>
      </c>
      <c r="BV100" s="277">
        <v>166385</v>
      </c>
      <c r="BW100" s="277">
        <v>0</v>
      </c>
      <c r="BX100" s="277">
        <v>833293</v>
      </c>
      <c r="BY100" s="278" t="s">
        <v>93</v>
      </c>
      <c r="BZ100" s="279" t="s">
        <v>985</v>
      </c>
      <c r="CA100" s="280" t="s">
        <v>984</v>
      </c>
    </row>
    <row r="101" spans="1:79" ht="12.75">
      <c r="A101" s="169">
        <v>94</v>
      </c>
      <c r="B101" s="172" t="s">
        <v>95</v>
      </c>
      <c r="C101" s="258" t="s">
        <v>96</v>
      </c>
      <c r="D101" s="277">
        <v>53257899</v>
      </c>
      <c r="E101" s="277">
        <v>15795</v>
      </c>
      <c r="F101" s="277">
        <v>0</v>
      </c>
      <c r="G101" s="277">
        <v>183832</v>
      </c>
      <c r="H101" s="277">
        <v>0</v>
      </c>
      <c r="I101" s="277">
        <v>183832</v>
      </c>
      <c r="J101" s="277">
        <v>0</v>
      </c>
      <c r="K101" s="277">
        <v>0</v>
      </c>
      <c r="L101" s="277">
        <v>0</v>
      </c>
      <c r="M101" s="277">
        <v>0</v>
      </c>
      <c r="N101" s="277">
        <v>0</v>
      </c>
      <c r="O101" s="277">
        <v>0</v>
      </c>
      <c r="P101" s="277">
        <v>53089862</v>
      </c>
      <c r="Q101" s="277">
        <v>26544931</v>
      </c>
      <c r="R101" s="277">
        <v>21235945</v>
      </c>
      <c r="S101" s="277">
        <v>5308986</v>
      </c>
      <c r="T101" s="277">
        <v>0</v>
      </c>
      <c r="U101" s="277">
        <v>53089862</v>
      </c>
      <c r="V101" s="277">
        <v>0</v>
      </c>
      <c r="W101" s="277">
        <v>26544931</v>
      </c>
      <c r="X101" s="277">
        <v>183832</v>
      </c>
      <c r="Y101" s="277">
        <v>183832</v>
      </c>
      <c r="Z101" s="277">
        <v>0</v>
      </c>
      <c r="AA101" s="277">
        <v>0</v>
      </c>
      <c r="AB101" s="277">
        <v>0</v>
      </c>
      <c r="AC101" s="277">
        <v>0</v>
      </c>
      <c r="AD101" s="277">
        <v>0</v>
      </c>
      <c r="AE101" s="277">
        <v>0</v>
      </c>
      <c r="AF101" s="277">
        <v>0</v>
      </c>
      <c r="AG101" s="277">
        <v>0</v>
      </c>
      <c r="AH101" s="277">
        <v>0</v>
      </c>
      <c r="AI101" s="277">
        <v>0</v>
      </c>
      <c r="AJ101" s="277">
        <v>0</v>
      </c>
      <c r="AK101" s="277">
        <v>0</v>
      </c>
      <c r="AL101" s="277">
        <v>0</v>
      </c>
      <c r="AM101" s="277">
        <v>276013</v>
      </c>
      <c r="AN101" s="277">
        <v>220810.4</v>
      </c>
      <c r="AO101" s="277">
        <v>55202.6</v>
      </c>
      <c r="AP101" s="277">
        <v>0</v>
      </c>
      <c r="AQ101" s="277">
        <v>552026</v>
      </c>
      <c r="AR101" s="277">
        <v>26820944</v>
      </c>
      <c r="AS101" s="277">
        <v>21640587</v>
      </c>
      <c r="AT101" s="277">
        <v>5364189</v>
      </c>
      <c r="AU101" s="277">
        <v>0</v>
      </c>
      <c r="AV101" s="277">
        <v>53825720</v>
      </c>
      <c r="AW101" s="277">
        <v>227386</v>
      </c>
      <c r="AX101" s="277">
        <v>56359</v>
      </c>
      <c r="AY101" s="277">
        <v>0</v>
      </c>
      <c r="AZ101" s="277">
        <v>283745</v>
      </c>
      <c r="BA101" s="277">
        <v>359865</v>
      </c>
      <c r="BB101" s="277">
        <v>89966</v>
      </c>
      <c r="BC101" s="277">
        <v>0</v>
      </c>
      <c r="BD101" s="277">
        <v>449831</v>
      </c>
      <c r="BE101" s="277">
        <v>0</v>
      </c>
      <c r="BF101" s="277">
        <v>0</v>
      </c>
      <c r="BG101" s="277">
        <v>0</v>
      </c>
      <c r="BH101" s="277">
        <v>0</v>
      </c>
      <c r="BI101" s="277">
        <v>0</v>
      </c>
      <c r="BJ101" s="277">
        <v>0</v>
      </c>
      <c r="BK101" s="277">
        <v>0</v>
      </c>
      <c r="BL101" s="277">
        <v>0</v>
      </c>
      <c r="BM101" s="277">
        <v>12342</v>
      </c>
      <c r="BN101" s="277">
        <v>3085</v>
      </c>
      <c r="BO101" s="277">
        <v>0</v>
      </c>
      <c r="BP101" s="277">
        <v>15427</v>
      </c>
      <c r="BQ101" s="277">
        <v>369737</v>
      </c>
      <c r="BR101" s="277">
        <v>92434</v>
      </c>
      <c r="BS101" s="277">
        <v>0</v>
      </c>
      <c r="BT101" s="277">
        <v>462171</v>
      </c>
      <c r="BU101" s="277">
        <v>969330</v>
      </c>
      <c r="BV101" s="277">
        <v>241844</v>
      </c>
      <c r="BW101" s="277">
        <v>0</v>
      </c>
      <c r="BX101" s="277">
        <v>1211174</v>
      </c>
      <c r="BY101" s="278" t="s">
        <v>95</v>
      </c>
      <c r="BZ101" s="279" t="s">
        <v>1040</v>
      </c>
      <c r="CA101" s="280" t="s">
        <v>984</v>
      </c>
    </row>
    <row r="102" spans="1:79" ht="12.75">
      <c r="A102" s="169">
        <v>95</v>
      </c>
      <c r="B102" s="172" t="s">
        <v>97</v>
      </c>
      <c r="C102" s="258" t="s">
        <v>98</v>
      </c>
      <c r="D102" s="277">
        <v>105388481</v>
      </c>
      <c r="E102" s="277">
        <v>433655</v>
      </c>
      <c r="F102" s="277">
        <v>0</v>
      </c>
      <c r="G102" s="277">
        <v>350845</v>
      </c>
      <c r="H102" s="277">
        <v>0</v>
      </c>
      <c r="I102" s="277">
        <v>350845</v>
      </c>
      <c r="J102" s="277">
        <v>0</v>
      </c>
      <c r="K102" s="277">
        <v>0</v>
      </c>
      <c r="L102" s="277">
        <v>0</v>
      </c>
      <c r="M102" s="277">
        <v>0</v>
      </c>
      <c r="N102" s="277">
        <v>0</v>
      </c>
      <c r="O102" s="277">
        <v>0</v>
      </c>
      <c r="P102" s="277">
        <v>105471291</v>
      </c>
      <c r="Q102" s="277">
        <v>52735646.4</v>
      </c>
      <c r="R102" s="277">
        <v>31641387</v>
      </c>
      <c r="S102" s="277">
        <v>21094258</v>
      </c>
      <c r="T102" s="277">
        <v>0</v>
      </c>
      <c r="U102" s="277">
        <v>105471291</v>
      </c>
      <c r="V102" s="277">
        <v>0</v>
      </c>
      <c r="W102" s="277">
        <v>52735646.4</v>
      </c>
      <c r="X102" s="277">
        <v>350845</v>
      </c>
      <c r="Y102" s="277">
        <v>350845</v>
      </c>
      <c r="Z102" s="277">
        <v>0</v>
      </c>
      <c r="AA102" s="277">
        <v>0</v>
      </c>
      <c r="AB102" s="277">
        <v>0</v>
      </c>
      <c r="AC102" s="277">
        <v>0</v>
      </c>
      <c r="AD102" s="277">
        <v>0</v>
      </c>
      <c r="AE102" s="277">
        <v>0</v>
      </c>
      <c r="AF102" s="277">
        <v>0</v>
      </c>
      <c r="AG102" s="277">
        <v>0</v>
      </c>
      <c r="AH102" s="277">
        <v>0</v>
      </c>
      <c r="AI102" s="277">
        <v>0</v>
      </c>
      <c r="AJ102" s="277">
        <v>0</v>
      </c>
      <c r="AK102" s="277">
        <v>0</v>
      </c>
      <c r="AL102" s="277">
        <v>0</v>
      </c>
      <c r="AM102" s="277">
        <v>-531774</v>
      </c>
      <c r="AN102" s="277">
        <v>-319064.4</v>
      </c>
      <c r="AO102" s="277">
        <v>-212709.6</v>
      </c>
      <c r="AP102" s="277">
        <v>0</v>
      </c>
      <c r="AQ102" s="277">
        <v>-1063548</v>
      </c>
      <c r="AR102" s="277">
        <v>52203872</v>
      </c>
      <c r="AS102" s="277">
        <v>31673168</v>
      </c>
      <c r="AT102" s="277">
        <v>20881548</v>
      </c>
      <c r="AU102" s="277">
        <v>0</v>
      </c>
      <c r="AV102" s="277">
        <v>104758588</v>
      </c>
      <c r="AW102" s="277">
        <v>339620</v>
      </c>
      <c r="AX102" s="277">
        <v>223931</v>
      </c>
      <c r="AY102" s="277">
        <v>0</v>
      </c>
      <c r="AZ102" s="277">
        <v>563551</v>
      </c>
      <c r="BA102" s="277">
        <v>564604</v>
      </c>
      <c r="BB102" s="277">
        <v>376402</v>
      </c>
      <c r="BC102" s="277">
        <v>0</v>
      </c>
      <c r="BD102" s="277">
        <v>941006</v>
      </c>
      <c r="BE102" s="277">
        <v>0</v>
      </c>
      <c r="BF102" s="277">
        <v>0</v>
      </c>
      <c r="BG102" s="277">
        <v>0</v>
      </c>
      <c r="BH102" s="277">
        <v>0</v>
      </c>
      <c r="BI102" s="277">
        <v>0</v>
      </c>
      <c r="BJ102" s="277">
        <v>0</v>
      </c>
      <c r="BK102" s="277">
        <v>0</v>
      </c>
      <c r="BL102" s="277">
        <v>0</v>
      </c>
      <c r="BM102" s="277">
        <v>39610</v>
      </c>
      <c r="BN102" s="277">
        <v>26406</v>
      </c>
      <c r="BO102" s="277">
        <v>0</v>
      </c>
      <c r="BP102" s="277">
        <v>66016</v>
      </c>
      <c r="BQ102" s="277">
        <v>625773</v>
      </c>
      <c r="BR102" s="277">
        <v>417182</v>
      </c>
      <c r="BS102" s="277">
        <v>0</v>
      </c>
      <c r="BT102" s="277">
        <v>1042955</v>
      </c>
      <c r="BU102" s="277">
        <v>1569607</v>
      </c>
      <c r="BV102" s="277">
        <v>1043921</v>
      </c>
      <c r="BW102" s="277">
        <v>0</v>
      </c>
      <c r="BX102" s="277">
        <v>2613528</v>
      </c>
      <c r="BY102" s="278" t="s">
        <v>97</v>
      </c>
      <c r="BZ102" s="279" t="s">
        <v>995</v>
      </c>
      <c r="CA102" s="279" t="s">
        <v>983</v>
      </c>
    </row>
    <row r="103" spans="1:79" ht="12.75">
      <c r="A103" s="169">
        <v>96</v>
      </c>
      <c r="B103" s="172" t="s">
        <v>99</v>
      </c>
      <c r="C103" s="258" t="s">
        <v>100</v>
      </c>
      <c r="D103" s="277">
        <v>33793831.8</v>
      </c>
      <c r="E103" s="277">
        <v>145465</v>
      </c>
      <c r="F103" s="277">
        <v>0</v>
      </c>
      <c r="G103" s="277">
        <v>172663</v>
      </c>
      <c r="H103" s="277">
        <v>0</v>
      </c>
      <c r="I103" s="277">
        <v>172663</v>
      </c>
      <c r="J103" s="277">
        <v>0</v>
      </c>
      <c r="K103" s="277">
        <v>0</v>
      </c>
      <c r="L103" s="277">
        <v>0</v>
      </c>
      <c r="M103" s="277">
        <v>0</v>
      </c>
      <c r="N103" s="277">
        <v>0</v>
      </c>
      <c r="O103" s="277">
        <v>0</v>
      </c>
      <c r="P103" s="277">
        <v>33766633.8</v>
      </c>
      <c r="Q103" s="277">
        <v>16883316.8</v>
      </c>
      <c r="R103" s="277">
        <v>13506654</v>
      </c>
      <c r="S103" s="277">
        <v>3038997</v>
      </c>
      <c r="T103" s="277">
        <v>337666</v>
      </c>
      <c r="U103" s="277">
        <v>33766634</v>
      </c>
      <c r="V103" s="277">
        <v>0</v>
      </c>
      <c r="W103" s="277">
        <v>16883316.8</v>
      </c>
      <c r="X103" s="277">
        <v>172663</v>
      </c>
      <c r="Y103" s="277">
        <v>172663</v>
      </c>
      <c r="Z103" s="277">
        <v>0</v>
      </c>
      <c r="AA103" s="277">
        <v>0</v>
      </c>
      <c r="AB103" s="277">
        <v>0</v>
      </c>
      <c r="AC103" s="277">
        <v>0</v>
      </c>
      <c r="AD103" s="277">
        <v>0</v>
      </c>
      <c r="AE103" s="277">
        <v>0</v>
      </c>
      <c r="AF103" s="277">
        <v>0</v>
      </c>
      <c r="AG103" s="277">
        <v>0</v>
      </c>
      <c r="AH103" s="277">
        <v>0</v>
      </c>
      <c r="AI103" s="277">
        <v>0</v>
      </c>
      <c r="AJ103" s="277">
        <v>0</v>
      </c>
      <c r="AK103" s="277">
        <v>0</v>
      </c>
      <c r="AL103" s="277">
        <v>0</v>
      </c>
      <c r="AM103" s="277">
        <v>-715436</v>
      </c>
      <c r="AN103" s="277">
        <v>-572348.8</v>
      </c>
      <c r="AO103" s="277">
        <v>-128778.48</v>
      </c>
      <c r="AP103" s="277">
        <v>-14308.72</v>
      </c>
      <c r="AQ103" s="277">
        <v>-1430872</v>
      </c>
      <c r="AR103" s="277">
        <v>16167881</v>
      </c>
      <c r="AS103" s="277">
        <v>13106968</v>
      </c>
      <c r="AT103" s="277">
        <v>2910219</v>
      </c>
      <c r="AU103" s="277">
        <v>323357</v>
      </c>
      <c r="AV103" s="277">
        <v>32508425</v>
      </c>
      <c r="AW103" s="277">
        <v>145216</v>
      </c>
      <c r="AX103" s="277">
        <v>32261</v>
      </c>
      <c r="AY103" s="277">
        <v>3585</v>
      </c>
      <c r="AZ103" s="277">
        <v>181062</v>
      </c>
      <c r="BA103" s="277">
        <v>437074</v>
      </c>
      <c r="BB103" s="277">
        <v>98342</v>
      </c>
      <c r="BC103" s="277">
        <v>10927</v>
      </c>
      <c r="BD103" s="277">
        <v>546343</v>
      </c>
      <c r="BE103" s="277">
        <v>40424</v>
      </c>
      <c r="BF103" s="277">
        <v>9096</v>
      </c>
      <c r="BG103" s="277">
        <v>1011</v>
      </c>
      <c r="BH103" s="277">
        <v>50531</v>
      </c>
      <c r="BI103" s="277">
        <v>40424</v>
      </c>
      <c r="BJ103" s="277">
        <v>9096</v>
      </c>
      <c r="BK103" s="277">
        <v>1011</v>
      </c>
      <c r="BL103" s="277">
        <v>50531</v>
      </c>
      <c r="BM103" s="277">
        <v>14006</v>
      </c>
      <c r="BN103" s="277">
        <v>3151</v>
      </c>
      <c r="BO103" s="277">
        <v>350</v>
      </c>
      <c r="BP103" s="277">
        <v>17507</v>
      </c>
      <c r="BQ103" s="277">
        <v>303007</v>
      </c>
      <c r="BR103" s="277">
        <v>68176</v>
      </c>
      <c r="BS103" s="277">
        <v>7575</v>
      </c>
      <c r="BT103" s="277">
        <v>378758</v>
      </c>
      <c r="BU103" s="277">
        <v>980151</v>
      </c>
      <c r="BV103" s="277">
        <v>220122</v>
      </c>
      <c r="BW103" s="277">
        <v>24459</v>
      </c>
      <c r="BX103" s="277">
        <v>1224732</v>
      </c>
      <c r="BY103" s="278" t="s">
        <v>99</v>
      </c>
      <c r="BZ103" s="279" t="s">
        <v>998</v>
      </c>
      <c r="CA103" s="280" t="s">
        <v>999</v>
      </c>
    </row>
    <row r="104" spans="1:79" ht="12.75">
      <c r="A104" s="169">
        <v>97</v>
      </c>
      <c r="B104" s="172" t="s">
        <v>101</v>
      </c>
      <c r="C104" s="258" t="s">
        <v>102</v>
      </c>
      <c r="D104" s="277">
        <v>22857668</v>
      </c>
      <c r="E104" s="277">
        <v>0</v>
      </c>
      <c r="F104" s="277">
        <v>368886</v>
      </c>
      <c r="G104" s="277">
        <v>87279</v>
      </c>
      <c r="H104" s="277">
        <v>0</v>
      </c>
      <c r="I104" s="277">
        <v>87279</v>
      </c>
      <c r="J104" s="277">
        <v>0</v>
      </c>
      <c r="K104" s="277">
        <v>0</v>
      </c>
      <c r="L104" s="277">
        <v>0</v>
      </c>
      <c r="M104" s="277">
        <v>0</v>
      </c>
      <c r="N104" s="277">
        <v>0</v>
      </c>
      <c r="O104" s="277">
        <v>0</v>
      </c>
      <c r="P104" s="277">
        <v>22401503</v>
      </c>
      <c r="Q104" s="277">
        <v>11200752</v>
      </c>
      <c r="R104" s="277">
        <v>8960601</v>
      </c>
      <c r="S104" s="277">
        <v>2240150</v>
      </c>
      <c r="T104" s="277">
        <v>0</v>
      </c>
      <c r="U104" s="277">
        <v>22401503</v>
      </c>
      <c r="V104" s="277">
        <v>0</v>
      </c>
      <c r="W104" s="277">
        <v>11200752</v>
      </c>
      <c r="X104" s="277">
        <v>87279</v>
      </c>
      <c r="Y104" s="277">
        <v>87279</v>
      </c>
      <c r="Z104" s="277">
        <v>0</v>
      </c>
      <c r="AA104" s="277">
        <v>0</v>
      </c>
      <c r="AB104" s="277">
        <v>0</v>
      </c>
      <c r="AC104" s="277">
        <v>0</v>
      </c>
      <c r="AD104" s="277">
        <v>0</v>
      </c>
      <c r="AE104" s="277">
        <v>0</v>
      </c>
      <c r="AF104" s="277">
        <v>0</v>
      </c>
      <c r="AG104" s="277">
        <v>0</v>
      </c>
      <c r="AH104" s="277">
        <v>0</v>
      </c>
      <c r="AI104" s="277">
        <v>0</v>
      </c>
      <c r="AJ104" s="277">
        <v>0</v>
      </c>
      <c r="AK104" s="277">
        <v>0</v>
      </c>
      <c r="AL104" s="277">
        <v>0</v>
      </c>
      <c r="AM104" s="277">
        <v>-228356.5</v>
      </c>
      <c r="AN104" s="277">
        <v>-182685.2</v>
      </c>
      <c r="AO104" s="277">
        <v>-45671.3</v>
      </c>
      <c r="AP104" s="277">
        <v>0</v>
      </c>
      <c r="AQ104" s="277">
        <v>-456713</v>
      </c>
      <c r="AR104" s="277">
        <v>10972395</v>
      </c>
      <c r="AS104" s="277">
        <v>8865195</v>
      </c>
      <c r="AT104" s="277">
        <v>2194479</v>
      </c>
      <c r="AU104" s="277">
        <v>0</v>
      </c>
      <c r="AV104" s="277">
        <v>22032069</v>
      </c>
      <c r="AW104" s="277">
        <v>96050</v>
      </c>
      <c r="AX104" s="277">
        <v>23781</v>
      </c>
      <c r="AY104" s="277">
        <v>0</v>
      </c>
      <c r="AZ104" s="277">
        <v>119831</v>
      </c>
      <c r="BA104" s="277">
        <v>193130</v>
      </c>
      <c r="BB104" s="277">
        <v>48282</v>
      </c>
      <c r="BC104" s="277">
        <v>0</v>
      </c>
      <c r="BD104" s="277">
        <v>241412</v>
      </c>
      <c r="BE104" s="277">
        <v>0</v>
      </c>
      <c r="BF104" s="277">
        <v>0</v>
      </c>
      <c r="BG104" s="277">
        <v>0</v>
      </c>
      <c r="BH104" s="277">
        <v>0</v>
      </c>
      <c r="BI104" s="277">
        <v>0</v>
      </c>
      <c r="BJ104" s="277">
        <v>0</v>
      </c>
      <c r="BK104" s="277">
        <v>0</v>
      </c>
      <c r="BL104" s="277">
        <v>0</v>
      </c>
      <c r="BM104" s="277">
        <v>6468</v>
      </c>
      <c r="BN104" s="277">
        <v>1617</v>
      </c>
      <c r="BO104" s="277">
        <v>0</v>
      </c>
      <c r="BP104" s="277">
        <v>8085</v>
      </c>
      <c r="BQ104" s="277">
        <v>177868</v>
      </c>
      <c r="BR104" s="277">
        <v>44467</v>
      </c>
      <c r="BS104" s="277">
        <v>0</v>
      </c>
      <c r="BT104" s="277">
        <v>222335</v>
      </c>
      <c r="BU104" s="277">
        <v>473516</v>
      </c>
      <c r="BV104" s="277">
        <v>118147</v>
      </c>
      <c r="BW104" s="277">
        <v>0</v>
      </c>
      <c r="BX104" s="277">
        <v>591663</v>
      </c>
      <c r="BY104" s="278" t="s">
        <v>101</v>
      </c>
      <c r="BZ104" s="279" t="s">
        <v>1040</v>
      </c>
      <c r="CA104" s="280" t="s">
        <v>984</v>
      </c>
    </row>
    <row r="105" spans="1:79" ht="12.75">
      <c r="A105" s="169">
        <v>98</v>
      </c>
      <c r="B105" s="172" t="s">
        <v>103</v>
      </c>
      <c r="C105" s="258" t="s">
        <v>104</v>
      </c>
      <c r="D105" s="277">
        <v>23821350.6</v>
      </c>
      <c r="E105" s="277">
        <v>0</v>
      </c>
      <c r="F105" s="277">
        <v>4347.6</v>
      </c>
      <c r="G105" s="277">
        <v>136145</v>
      </c>
      <c r="H105" s="277">
        <v>0</v>
      </c>
      <c r="I105" s="277">
        <v>136145</v>
      </c>
      <c r="J105" s="277">
        <v>0</v>
      </c>
      <c r="K105" s="277">
        <v>0</v>
      </c>
      <c r="L105" s="277">
        <v>0</v>
      </c>
      <c r="M105" s="277">
        <v>0</v>
      </c>
      <c r="N105" s="277">
        <v>0</v>
      </c>
      <c r="O105" s="277">
        <v>0</v>
      </c>
      <c r="P105" s="277">
        <v>23680858</v>
      </c>
      <c r="Q105" s="277">
        <v>11840429</v>
      </c>
      <c r="R105" s="277">
        <v>9472343</v>
      </c>
      <c r="S105" s="277">
        <v>2131277</v>
      </c>
      <c r="T105" s="277">
        <v>236809</v>
      </c>
      <c r="U105" s="277">
        <v>23680858</v>
      </c>
      <c r="V105" s="277">
        <v>0</v>
      </c>
      <c r="W105" s="277">
        <v>11840429</v>
      </c>
      <c r="X105" s="277">
        <v>136145</v>
      </c>
      <c r="Y105" s="277">
        <v>136145</v>
      </c>
      <c r="Z105" s="277">
        <v>0</v>
      </c>
      <c r="AA105" s="277">
        <v>0</v>
      </c>
      <c r="AB105" s="277">
        <v>0</v>
      </c>
      <c r="AC105" s="277">
        <v>0</v>
      </c>
      <c r="AD105" s="277">
        <v>0</v>
      </c>
      <c r="AE105" s="277">
        <v>0</v>
      </c>
      <c r="AF105" s="277">
        <v>0</v>
      </c>
      <c r="AG105" s="277">
        <v>0</v>
      </c>
      <c r="AH105" s="277">
        <v>0</v>
      </c>
      <c r="AI105" s="277">
        <v>0</v>
      </c>
      <c r="AJ105" s="277">
        <v>0</v>
      </c>
      <c r="AK105" s="277">
        <v>0</v>
      </c>
      <c r="AL105" s="277">
        <v>0</v>
      </c>
      <c r="AM105" s="277">
        <v>-667604</v>
      </c>
      <c r="AN105" s="277">
        <v>-534083.2</v>
      </c>
      <c r="AO105" s="277">
        <v>-120168.72</v>
      </c>
      <c r="AP105" s="277">
        <v>-13352.08</v>
      </c>
      <c r="AQ105" s="277">
        <v>-1335208</v>
      </c>
      <c r="AR105" s="277">
        <v>11172825</v>
      </c>
      <c r="AS105" s="277">
        <v>9074405</v>
      </c>
      <c r="AT105" s="277">
        <v>2011108</v>
      </c>
      <c r="AU105" s="277">
        <v>223457</v>
      </c>
      <c r="AV105" s="277">
        <v>22481795</v>
      </c>
      <c r="AW105" s="277">
        <v>102001</v>
      </c>
      <c r="AX105" s="277">
        <v>22625</v>
      </c>
      <c r="AY105" s="277">
        <v>2514</v>
      </c>
      <c r="AZ105" s="277">
        <v>127140</v>
      </c>
      <c r="BA105" s="277">
        <v>475504</v>
      </c>
      <c r="BB105" s="277">
        <v>106989</v>
      </c>
      <c r="BC105" s="277">
        <v>11888</v>
      </c>
      <c r="BD105" s="277">
        <v>594381</v>
      </c>
      <c r="BE105" s="277">
        <v>4042</v>
      </c>
      <c r="BF105" s="277">
        <v>910</v>
      </c>
      <c r="BG105" s="277">
        <v>101</v>
      </c>
      <c r="BH105" s="277">
        <v>5053</v>
      </c>
      <c r="BI105" s="277">
        <v>4042</v>
      </c>
      <c r="BJ105" s="277">
        <v>910</v>
      </c>
      <c r="BK105" s="277">
        <v>101</v>
      </c>
      <c r="BL105" s="277">
        <v>5053</v>
      </c>
      <c r="BM105" s="277">
        <v>20212</v>
      </c>
      <c r="BN105" s="277">
        <v>4548</v>
      </c>
      <c r="BO105" s="277">
        <v>505</v>
      </c>
      <c r="BP105" s="277">
        <v>25265</v>
      </c>
      <c r="BQ105" s="277">
        <v>323397</v>
      </c>
      <c r="BR105" s="277">
        <v>72764</v>
      </c>
      <c r="BS105" s="277">
        <v>8085</v>
      </c>
      <c r="BT105" s="277">
        <v>404246</v>
      </c>
      <c r="BU105" s="277">
        <v>929198</v>
      </c>
      <c r="BV105" s="277">
        <v>208746</v>
      </c>
      <c r="BW105" s="277">
        <v>23194</v>
      </c>
      <c r="BX105" s="277">
        <v>1161138</v>
      </c>
      <c r="BY105" s="278" t="s">
        <v>103</v>
      </c>
      <c r="BZ105" s="279" t="s">
        <v>986</v>
      </c>
      <c r="CA105" s="280" t="s">
        <v>987</v>
      </c>
    </row>
    <row r="106" spans="1:79" ht="12.75">
      <c r="A106" s="169">
        <v>99</v>
      </c>
      <c r="B106" s="172" t="s">
        <v>105</v>
      </c>
      <c r="C106" s="258" t="s">
        <v>106</v>
      </c>
      <c r="D106" s="277">
        <v>76542848</v>
      </c>
      <c r="E106" s="277">
        <v>92080</v>
      </c>
      <c r="F106" s="277">
        <v>0</v>
      </c>
      <c r="G106" s="277">
        <v>224010</v>
      </c>
      <c r="H106" s="277">
        <v>0</v>
      </c>
      <c r="I106" s="277">
        <v>224010</v>
      </c>
      <c r="J106" s="277">
        <v>0</v>
      </c>
      <c r="K106" s="277">
        <v>0</v>
      </c>
      <c r="L106" s="277">
        <v>0</v>
      </c>
      <c r="M106" s="277">
        <v>0</v>
      </c>
      <c r="N106" s="277">
        <v>0</v>
      </c>
      <c r="O106" s="277">
        <v>0</v>
      </c>
      <c r="P106" s="277">
        <v>76410918</v>
      </c>
      <c r="Q106" s="277">
        <v>38205459</v>
      </c>
      <c r="R106" s="277">
        <v>30564367</v>
      </c>
      <c r="S106" s="277">
        <v>6876983</v>
      </c>
      <c r="T106" s="277">
        <v>764109</v>
      </c>
      <c r="U106" s="277">
        <v>76410918</v>
      </c>
      <c r="V106" s="277">
        <v>0</v>
      </c>
      <c r="W106" s="277">
        <v>38205459</v>
      </c>
      <c r="X106" s="277">
        <v>224010</v>
      </c>
      <c r="Y106" s="277">
        <v>224010</v>
      </c>
      <c r="Z106" s="277">
        <v>0</v>
      </c>
      <c r="AA106" s="277">
        <v>0</v>
      </c>
      <c r="AB106" s="277">
        <v>0</v>
      </c>
      <c r="AC106" s="277">
        <v>0</v>
      </c>
      <c r="AD106" s="277">
        <v>0</v>
      </c>
      <c r="AE106" s="277">
        <v>0</v>
      </c>
      <c r="AF106" s="277">
        <v>0</v>
      </c>
      <c r="AG106" s="277">
        <v>0</v>
      </c>
      <c r="AH106" s="277">
        <v>0</v>
      </c>
      <c r="AI106" s="277">
        <v>0</v>
      </c>
      <c r="AJ106" s="277">
        <v>0</v>
      </c>
      <c r="AK106" s="277">
        <v>0</v>
      </c>
      <c r="AL106" s="277">
        <v>0</v>
      </c>
      <c r="AM106" s="277">
        <v>-1519331.5</v>
      </c>
      <c r="AN106" s="277">
        <v>-1215465.2</v>
      </c>
      <c r="AO106" s="277">
        <v>-273479.67</v>
      </c>
      <c r="AP106" s="277">
        <v>-30386.63</v>
      </c>
      <c r="AQ106" s="277">
        <v>-3038663</v>
      </c>
      <c r="AR106" s="277">
        <v>36686128</v>
      </c>
      <c r="AS106" s="277">
        <v>29572912</v>
      </c>
      <c r="AT106" s="277">
        <v>6603503</v>
      </c>
      <c r="AU106" s="277">
        <v>733722</v>
      </c>
      <c r="AV106" s="277">
        <v>73596265</v>
      </c>
      <c r="AW106" s="277">
        <v>326841</v>
      </c>
      <c r="AX106" s="277">
        <v>73004</v>
      </c>
      <c r="AY106" s="277">
        <v>8112</v>
      </c>
      <c r="AZ106" s="277">
        <v>407957</v>
      </c>
      <c r="BA106" s="277">
        <v>403308</v>
      </c>
      <c r="BB106" s="277">
        <v>90744</v>
      </c>
      <c r="BC106" s="277">
        <v>10083</v>
      </c>
      <c r="BD106" s="277">
        <v>504135</v>
      </c>
      <c r="BE106" s="277">
        <v>0</v>
      </c>
      <c r="BF106" s="277">
        <v>0</v>
      </c>
      <c r="BG106" s="277">
        <v>0</v>
      </c>
      <c r="BH106" s="277">
        <v>0</v>
      </c>
      <c r="BI106" s="277">
        <v>30318</v>
      </c>
      <c r="BJ106" s="277">
        <v>6822</v>
      </c>
      <c r="BK106" s="277">
        <v>758</v>
      </c>
      <c r="BL106" s="277">
        <v>37898</v>
      </c>
      <c r="BM106" s="277">
        <v>68722</v>
      </c>
      <c r="BN106" s="277">
        <v>15462</v>
      </c>
      <c r="BO106" s="277">
        <v>1718</v>
      </c>
      <c r="BP106" s="277">
        <v>85902</v>
      </c>
      <c r="BQ106" s="277">
        <v>498840</v>
      </c>
      <c r="BR106" s="277">
        <v>112239</v>
      </c>
      <c r="BS106" s="277">
        <v>12471</v>
      </c>
      <c r="BT106" s="277">
        <v>623550</v>
      </c>
      <c r="BU106" s="277">
        <v>1328029</v>
      </c>
      <c r="BV106" s="277">
        <v>298271</v>
      </c>
      <c r="BW106" s="277">
        <v>33142</v>
      </c>
      <c r="BX106" s="277">
        <v>1659442</v>
      </c>
      <c r="BY106" s="278" t="s">
        <v>105</v>
      </c>
      <c r="BZ106" s="279" t="s">
        <v>1036</v>
      </c>
      <c r="CA106" s="280" t="s">
        <v>1037</v>
      </c>
    </row>
    <row r="107" spans="1:79" ht="12.75">
      <c r="A107" s="169">
        <v>100</v>
      </c>
      <c r="B107" s="172" t="s">
        <v>107</v>
      </c>
      <c r="C107" s="258" t="s">
        <v>108</v>
      </c>
      <c r="D107" s="277">
        <v>41667068.8</v>
      </c>
      <c r="E107" s="277">
        <v>0</v>
      </c>
      <c r="F107" s="277">
        <v>168239</v>
      </c>
      <c r="G107" s="277">
        <v>142074</v>
      </c>
      <c r="H107" s="277">
        <v>0</v>
      </c>
      <c r="I107" s="277">
        <v>142074</v>
      </c>
      <c r="J107" s="277">
        <v>0</v>
      </c>
      <c r="K107" s="277">
        <v>0</v>
      </c>
      <c r="L107" s="277">
        <v>0</v>
      </c>
      <c r="M107" s="277">
        <v>63585</v>
      </c>
      <c r="N107" s="277">
        <v>63585</v>
      </c>
      <c r="O107" s="277">
        <v>0</v>
      </c>
      <c r="P107" s="277">
        <v>41293170.8</v>
      </c>
      <c r="Q107" s="277">
        <v>20646585.8</v>
      </c>
      <c r="R107" s="277">
        <v>16517268</v>
      </c>
      <c r="S107" s="277">
        <v>3716385</v>
      </c>
      <c r="T107" s="277">
        <v>412932</v>
      </c>
      <c r="U107" s="277">
        <v>41293171</v>
      </c>
      <c r="V107" s="277">
        <v>171250</v>
      </c>
      <c r="W107" s="277">
        <v>20475335.8</v>
      </c>
      <c r="X107" s="277">
        <v>142074</v>
      </c>
      <c r="Y107" s="277">
        <v>142074</v>
      </c>
      <c r="Z107" s="277">
        <v>0</v>
      </c>
      <c r="AA107" s="277">
        <v>0</v>
      </c>
      <c r="AB107" s="277">
        <v>0</v>
      </c>
      <c r="AC107" s="277">
        <v>0</v>
      </c>
      <c r="AD107" s="277">
        <v>63585</v>
      </c>
      <c r="AE107" s="277">
        <v>0</v>
      </c>
      <c r="AF107" s="277">
        <v>63585</v>
      </c>
      <c r="AG107" s="277">
        <v>171250</v>
      </c>
      <c r="AH107" s="277">
        <v>0</v>
      </c>
      <c r="AI107" s="277">
        <v>0</v>
      </c>
      <c r="AJ107" s="277">
        <v>171250</v>
      </c>
      <c r="AK107" s="277">
        <v>0</v>
      </c>
      <c r="AL107" s="277">
        <v>0</v>
      </c>
      <c r="AM107" s="277">
        <v>-1783775</v>
      </c>
      <c r="AN107" s="277">
        <v>-1427020</v>
      </c>
      <c r="AO107" s="277">
        <v>-321079.51</v>
      </c>
      <c r="AP107" s="277">
        <v>-35675.5</v>
      </c>
      <c r="AQ107" s="277">
        <v>-3567550.1</v>
      </c>
      <c r="AR107" s="277">
        <v>18691561</v>
      </c>
      <c r="AS107" s="277">
        <v>15467157</v>
      </c>
      <c r="AT107" s="277">
        <v>3395305</v>
      </c>
      <c r="AU107" s="277">
        <v>377256</v>
      </c>
      <c r="AV107" s="277">
        <v>37931280</v>
      </c>
      <c r="AW107" s="277">
        <v>179344</v>
      </c>
      <c r="AX107" s="277">
        <v>39452</v>
      </c>
      <c r="AY107" s="277">
        <v>4384</v>
      </c>
      <c r="AZ107" s="277">
        <v>223180</v>
      </c>
      <c r="BA107" s="277">
        <v>307362</v>
      </c>
      <c r="BB107" s="277">
        <v>69156</v>
      </c>
      <c r="BC107" s="277">
        <v>7684</v>
      </c>
      <c r="BD107" s="277">
        <v>384202</v>
      </c>
      <c r="BE107" s="277">
        <v>8085</v>
      </c>
      <c r="BF107" s="277">
        <v>1819</v>
      </c>
      <c r="BG107" s="277">
        <v>202</v>
      </c>
      <c r="BH107" s="277">
        <v>10106</v>
      </c>
      <c r="BI107" s="277">
        <v>10567</v>
      </c>
      <c r="BJ107" s="277">
        <v>2378</v>
      </c>
      <c r="BK107" s="277">
        <v>264</v>
      </c>
      <c r="BL107" s="277">
        <v>13209</v>
      </c>
      <c r="BM107" s="277">
        <v>12099</v>
      </c>
      <c r="BN107" s="277">
        <v>2723</v>
      </c>
      <c r="BO107" s="277">
        <v>303</v>
      </c>
      <c r="BP107" s="277">
        <v>15125</v>
      </c>
      <c r="BQ107" s="277">
        <v>216676</v>
      </c>
      <c r="BR107" s="277">
        <v>48752</v>
      </c>
      <c r="BS107" s="277">
        <v>5417</v>
      </c>
      <c r="BT107" s="277">
        <v>270845</v>
      </c>
      <c r="BU107" s="277">
        <v>734133</v>
      </c>
      <c r="BV107" s="277">
        <v>164280</v>
      </c>
      <c r="BW107" s="277">
        <v>18254</v>
      </c>
      <c r="BX107" s="277">
        <v>916667</v>
      </c>
      <c r="BY107" s="278" t="s">
        <v>107</v>
      </c>
      <c r="BZ107" s="279" t="s">
        <v>1000</v>
      </c>
      <c r="CA107" s="280" t="s">
        <v>1001</v>
      </c>
    </row>
    <row r="108" spans="1:79" ht="12.75">
      <c r="A108" s="169">
        <v>101</v>
      </c>
      <c r="B108" s="172" t="s">
        <v>109</v>
      </c>
      <c r="C108" s="258" t="s">
        <v>110</v>
      </c>
      <c r="D108" s="277">
        <v>23126717.1</v>
      </c>
      <c r="E108" s="277">
        <v>243270</v>
      </c>
      <c r="F108" s="277">
        <v>0</v>
      </c>
      <c r="G108" s="277">
        <v>127291</v>
      </c>
      <c r="H108" s="277">
        <v>0</v>
      </c>
      <c r="I108" s="277">
        <v>127291</v>
      </c>
      <c r="J108" s="277">
        <v>0</v>
      </c>
      <c r="K108" s="277">
        <v>0</v>
      </c>
      <c r="L108" s="277">
        <v>0</v>
      </c>
      <c r="M108" s="277">
        <v>0</v>
      </c>
      <c r="N108" s="277">
        <v>0</v>
      </c>
      <c r="O108" s="277">
        <v>0</v>
      </c>
      <c r="P108" s="277">
        <v>23242696.1</v>
      </c>
      <c r="Q108" s="277">
        <v>11621348.1</v>
      </c>
      <c r="R108" s="277">
        <v>9297078</v>
      </c>
      <c r="S108" s="277">
        <v>2091843</v>
      </c>
      <c r="T108" s="277">
        <v>232427</v>
      </c>
      <c r="U108" s="277">
        <v>23242696</v>
      </c>
      <c r="V108" s="277">
        <v>0</v>
      </c>
      <c r="W108" s="277">
        <v>11621348.1</v>
      </c>
      <c r="X108" s="277">
        <v>127291</v>
      </c>
      <c r="Y108" s="277">
        <v>127291</v>
      </c>
      <c r="Z108" s="277">
        <v>0</v>
      </c>
      <c r="AA108" s="277">
        <v>0</v>
      </c>
      <c r="AB108" s="277">
        <v>0</v>
      </c>
      <c r="AC108" s="277">
        <v>0</v>
      </c>
      <c r="AD108" s="277">
        <v>0</v>
      </c>
      <c r="AE108" s="277">
        <v>0</v>
      </c>
      <c r="AF108" s="277">
        <v>0</v>
      </c>
      <c r="AG108" s="277">
        <v>0</v>
      </c>
      <c r="AH108" s="277">
        <v>0</v>
      </c>
      <c r="AI108" s="277">
        <v>0</v>
      </c>
      <c r="AJ108" s="277">
        <v>0</v>
      </c>
      <c r="AK108" s="277">
        <v>0</v>
      </c>
      <c r="AL108" s="277">
        <v>0</v>
      </c>
      <c r="AM108" s="277">
        <v>0</v>
      </c>
      <c r="AN108" s="277">
        <v>0</v>
      </c>
      <c r="AO108" s="277">
        <v>0</v>
      </c>
      <c r="AP108" s="277">
        <v>0</v>
      </c>
      <c r="AQ108" s="277">
        <v>0</v>
      </c>
      <c r="AR108" s="277">
        <v>11621348</v>
      </c>
      <c r="AS108" s="277">
        <v>9424369</v>
      </c>
      <c r="AT108" s="277">
        <v>2091843</v>
      </c>
      <c r="AU108" s="277">
        <v>232427</v>
      </c>
      <c r="AV108" s="277">
        <v>23369987</v>
      </c>
      <c r="AW108" s="277">
        <v>100046</v>
      </c>
      <c r="AX108" s="277">
        <v>22206</v>
      </c>
      <c r="AY108" s="277">
        <v>2467</v>
      </c>
      <c r="AZ108" s="277">
        <v>124719</v>
      </c>
      <c r="BA108" s="277">
        <v>427850</v>
      </c>
      <c r="BB108" s="277">
        <v>96266</v>
      </c>
      <c r="BC108" s="277">
        <v>10696</v>
      </c>
      <c r="BD108" s="277">
        <v>534812</v>
      </c>
      <c r="BE108" s="277">
        <v>0</v>
      </c>
      <c r="BF108" s="277">
        <v>0</v>
      </c>
      <c r="BG108" s="277">
        <v>0</v>
      </c>
      <c r="BH108" s="277">
        <v>0</v>
      </c>
      <c r="BI108" s="277">
        <v>12127</v>
      </c>
      <c r="BJ108" s="277">
        <v>2729</v>
      </c>
      <c r="BK108" s="277">
        <v>303</v>
      </c>
      <c r="BL108" s="277">
        <v>15159</v>
      </c>
      <c r="BM108" s="277">
        <v>3477</v>
      </c>
      <c r="BN108" s="277">
        <v>782</v>
      </c>
      <c r="BO108" s="277">
        <v>87</v>
      </c>
      <c r="BP108" s="277">
        <v>4346</v>
      </c>
      <c r="BQ108" s="277">
        <v>190771</v>
      </c>
      <c r="BR108" s="277">
        <v>42924</v>
      </c>
      <c r="BS108" s="277">
        <v>4769</v>
      </c>
      <c r="BT108" s="277">
        <v>238464</v>
      </c>
      <c r="BU108" s="277">
        <v>734271</v>
      </c>
      <c r="BV108" s="277">
        <v>164907</v>
      </c>
      <c r="BW108" s="277">
        <v>18322</v>
      </c>
      <c r="BX108" s="277">
        <v>917500</v>
      </c>
      <c r="BY108" s="278" t="s">
        <v>109</v>
      </c>
      <c r="BZ108" s="279" t="s">
        <v>1023</v>
      </c>
      <c r="CA108" s="280" t="s">
        <v>1024</v>
      </c>
    </row>
    <row r="109" spans="1:79" ht="12.75">
      <c r="A109" s="169">
        <v>102</v>
      </c>
      <c r="B109" s="172" t="s">
        <v>111</v>
      </c>
      <c r="C109" s="258" t="s">
        <v>112</v>
      </c>
      <c r="D109" s="277">
        <v>21526860</v>
      </c>
      <c r="E109" s="277">
        <v>11450</v>
      </c>
      <c r="F109" s="277">
        <v>0</v>
      </c>
      <c r="G109" s="277">
        <v>90011</v>
      </c>
      <c r="H109" s="277">
        <v>0</v>
      </c>
      <c r="I109" s="277">
        <v>90011</v>
      </c>
      <c r="J109" s="277">
        <v>0</v>
      </c>
      <c r="K109" s="277">
        <v>0</v>
      </c>
      <c r="L109" s="277">
        <v>0</v>
      </c>
      <c r="M109" s="277">
        <v>40000</v>
      </c>
      <c r="N109" s="277">
        <v>40000</v>
      </c>
      <c r="O109" s="277">
        <v>0</v>
      </c>
      <c r="P109" s="277">
        <v>21408299</v>
      </c>
      <c r="Q109" s="277">
        <v>10704149</v>
      </c>
      <c r="R109" s="277">
        <v>8563320</v>
      </c>
      <c r="S109" s="277">
        <v>2140830</v>
      </c>
      <c r="T109" s="277">
        <v>0</v>
      </c>
      <c r="U109" s="277">
        <v>21408299</v>
      </c>
      <c r="V109" s="277">
        <v>0</v>
      </c>
      <c r="W109" s="277">
        <v>10704149</v>
      </c>
      <c r="X109" s="277">
        <v>90011</v>
      </c>
      <c r="Y109" s="277">
        <v>90011</v>
      </c>
      <c r="Z109" s="277">
        <v>0</v>
      </c>
      <c r="AA109" s="277">
        <v>0</v>
      </c>
      <c r="AB109" s="277">
        <v>0</v>
      </c>
      <c r="AC109" s="277">
        <v>0</v>
      </c>
      <c r="AD109" s="277">
        <v>40000</v>
      </c>
      <c r="AE109" s="277">
        <v>0</v>
      </c>
      <c r="AF109" s="277">
        <v>40000</v>
      </c>
      <c r="AG109" s="277">
        <v>0</v>
      </c>
      <c r="AH109" s="277">
        <v>0</v>
      </c>
      <c r="AI109" s="277">
        <v>0</v>
      </c>
      <c r="AJ109" s="277">
        <v>0</v>
      </c>
      <c r="AK109" s="277">
        <v>0</v>
      </c>
      <c r="AL109" s="277">
        <v>0</v>
      </c>
      <c r="AM109" s="277">
        <v>-180867.5</v>
      </c>
      <c r="AN109" s="277">
        <v>-144694</v>
      </c>
      <c r="AO109" s="277">
        <v>-36173.5</v>
      </c>
      <c r="AP109" s="277">
        <v>0</v>
      </c>
      <c r="AQ109" s="277">
        <v>-361735</v>
      </c>
      <c r="AR109" s="277">
        <v>10523282</v>
      </c>
      <c r="AS109" s="277">
        <v>8548637</v>
      </c>
      <c r="AT109" s="277">
        <v>2104657</v>
      </c>
      <c r="AU109" s="277">
        <v>0</v>
      </c>
      <c r="AV109" s="277">
        <v>21176575</v>
      </c>
      <c r="AW109" s="277">
        <v>92286</v>
      </c>
      <c r="AX109" s="277">
        <v>22726</v>
      </c>
      <c r="AY109" s="277">
        <v>0</v>
      </c>
      <c r="AZ109" s="277">
        <v>115012</v>
      </c>
      <c r="BA109" s="277">
        <v>251448</v>
      </c>
      <c r="BB109" s="277">
        <v>62862</v>
      </c>
      <c r="BC109" s="277">
        <v>0</v>
      </c>
      <c r="BD109" s="277">
        <v>314310</v>
      </c>
      <c r="BE109" s="277">
        <v>0</v>
      </c>
      <c r="BF109" s="277">
        <v>0</v>
      </c>
      <c r="BG109" s="277">
        <v>0</v>
      </c>
      <c r="BH109" s="277">
        <v>0</v>
      </c>
      <c r="BI109" s="277">
        <v>0</v>
      </c>
      <c r="BJ109" s="277">
        <v>0</v>
      </c>
      <c r="BK109" s="277">
        <v>0</v>
      </c>
      <c r="BL109" s="277">
        <v>0</v>
      </c>
      <c r="BM109" s="277">
        <v>11686</v>
      </c>
      <c r="BN109" s="277">
        <v>2921</v>
      </c>
      <c r="BO109" s="277">
        <v>0</v>
      </c>
      <c r="BP109" s="277">
        <v>14607</v>
      </c>
      <c r="BQ109" s="277">
        <v>120805</v>
      </c>
      <c r="BR109" s="277">
        <v>30201</v>
      </c>
      <c r="BS109" s="277">
        <v>0</v>
      </c>
      <c r="BT109" s="277">
        <v>151006</v>
      </c>
      <c r="BU109" s="277">
        <v>476225</v>
      </c>
      <c r="BV109" s="277">
        <v>118710</v>
      </c>
      <c r="BW109" s="277">
        <v>0</v>
      </c>
      <c r="BX109" s="277">
        <v>594935</v>
      </c>
      <c r="BY109" s="278" t="s">
        <v>111</v>
      </c>
      <c r="BZ109" s="279" t="s">
        <v>994</v>
      </c>
      <c r="CA109" s="280" t="s">
        <v>984</v>
      </c>
    </row>
    <row r="110" spans="1:79" ht="12.75">
      <c r="A110" s="169">
        <v>103</v>
      </c>
      <c r="B110" s="172" t="s">
        <v>113</v>
      </c>
      <c r="C110" s="258" t="s">
        <v>114</v>
      </c>
      <c r="D110" s="277">
        <v>11404531</v>
      </c>
      <c r="E110" s="277">
        <v>21093</v>
      </c>
      <c r="F110" s="277">
        <v>0</v>
      </c>
      <c r="G110" s="277">
        <v>119688</v>
      </c>
      <c r="H110" s="277">
        <v>0</v>
      </c>
      <c r="I110" s="277">
        <v>119688</v>
      </c>
      <c r="J110" s="277">
        <v>0</v>
      </c>
      <c r="K110" s="277">
        <v>0</v>
      </c>
      <c r="L110" s="277">
        <v>0</v>
      </c>
      <c r="M110" s="277">
        <v>0</v>
      </c>
      <c r="N110" s="277">
        <v>0</v>
      </c>
      <c r="O110" s="277">
        <v>0</v>
      </c>
      <c r="P110" s="277">
        <v>11305936</v>
      </c>
      <c r="Q110" s="277">
        <v>5652968</v>
      </c>
      <c r="R110" s="277">
        <v>4522374</v>
      </c>
      <c r="S110" s="277">
        <v>1130594</v>
      </c>
      <c r="T110" s="277">
        <v>0</v>
      </c>
      <c r="U110" s="277">
        <v>11305936</v>
      </c>
      <c r="V110" s="277">
        <v>0</v>
      </c>
      <c r="W110" s="277">
        <v>5652968</v>
      </c>
      <c r="X110" s="277">
        <v>119688</v>
      </c>
      <c r="Y110" s="277">
        <v>119688</v>
      </c>
      <c r="Z110" s="277">
        <v>0</v>
      </c>
      <c r="AA110" s="277">
        <v>0</v>
      </c>
      <c r="AB110" s="277">
        <v>0</v>
      </c>
      <c r="AC110" s="277">
        <v>0</v>
      </c>
      <c r="AD110" s="277">
        <v>0</v>
      </c>
      <c r="AE110" s="277">
        <v>0</v>
      </c>
      <c r="AF110" s="277">
        <v>0</v>
      </c>
      <c r="AG110" s="277">
        <v>0</v>
      </c>
      <c r="AH110" s="277">
        <v>0</v>
      </c>
      <c r="AI110" s="277">
        <v>0</v>
      </c>
      <c r="AJ110" s="277">
        <v>0</v>
      </c>
      <c r="AK110" s="277">
        <v>0</v>
      </c>
      <c r="AL110" s="277">
        <v>0</v>
      </c>
      <c r="AM110" s="277">
        <v>-241905.5</v>
      </c>
      <c r="AN110" s="277">
        <v>-193524.4</v>
      </c>
      <c r="AO110" s="277">
        <v>-48381.1</v>
      </c>
      <c r="AP110" s="277">
        <v>0</v>
      </c>
      <c r="AQ110" s="277">
        <v>-483811</v>
      </c>
      <c r="AR110" s="277">
        <v>5411063</v>
      </c>
      <c r="AS110" s="277">
        <v>4448538</v>
      </c>
      <c r="AT110" s="277">
        <v>1082213</v>
      </c>
      <c r="AU110" s="277">
        <v>0</v>
      </c>
      <c r="AV110" s="277">
        <v>10941813</v>
      </c>
      <c r="AW110" s="277">
        <v>49279</v>
      </c>
      <c r="AX110" s="277">
        <v>12002</v>
      </c>
      <c r="AY110" s="277">
        <v>0</v>
      </c>
      <c r="AZ110" s="277">
        <v>61281</v>
      </c>
      <c r="BA110" s="277">
        <v>420925</v>
      </c>
      <c r="BB110" s="277">
        <v>105231</v>
      </c>
      <c r="BC110" s="277">
        <v>0</v>
      </c>
      <c r="BD110" s="277">
        <v>526156</v>
      </c>
      <c r="BE110" s="277">
        <v>9897</v>
      </c>
      <c r="BF110" s="277">
        <v>2474</v>
      </c>
      <c r="BG110" s="277">
        <v>0</v>
      </c>
      <c r="BH110" s="277">
        <v>12371</v>
      </c>
      <c r="BI110" s="277">
        <v>0</v>
      </c>
      <c r="BJ110" s="277">
        <v>0</v>
      </c>
      <c r="BK110" s="277">
        <v>0</v>
      </c>
      <c r="BL110" s="277">
        <v>0</v>
      </c>
      <c r="BM110" s="277">
        <v>10771</v>
      </c>
      <c r="BN110" s="277">
        <v>2693</v>
      </c>
      <c r="BO110" s="277">
        <v>0</v>
      </c>
      <c r="BP110" s="277">
        <v>13464</v>
      </c>
      <c r="BQ110" s="277">
        <v>110763</v>
      </c>
      <c r="BR110" s="277">
        <v>27691</v>
      </c>
      <c r="BS110" s="277">
        <v>0</v>
      </c>
      <c r="BT110" s="277">
        <v>138454</v>
      </c>
      <c r="BU110" s="277">
        <v>601635</v>
      </c>
      <c r="BV110" s="277">
        <v>150091</v>
      </c>
      <c r="BW110" s="277">
        <v>0</v>
      </c>
      <c r="BX110" s="277">
        <v>751726</v>
      </c>
      <c r="BY110" s="278" t="s">
        <v>113</v>
      </c>
      <c r="BZ110" s="279" t="s">
        <v>1027</v>
      </c>
      <c r="CA110" s="280" t="s">
        <v>984</v>
      </c>
    </row>
    <row r="111" spans="1:79" ht="12.75">
      <c r="A111" s="169">
        <v>104</v>
      </c>
      <c r="B111" s="172" t="s">
        <v>115</v>
      </c>
      <c r="C111" s="258" t="s">
        <v>116</v>
      </c>
      <c r="D111" s="277">
        <v>22837817</v>
      </c>
      <c r="E111" s="277">
        <v>75333</v>
      </c>
      <c r="F111" s="277">
        <v>0</v>
      </c>
      <c r="G111" s="277">
        <v>111357</v>
      </c>
      <c r="H111" s="277">
        <v>0</v>
      </c>
      <c r="I111" s="277">
        <v>111357</v>
      </c>
      <c r="J111" s="277">
        <v>0</v>
      </c>
      <c r="K111" s="277">
        <v>0</v>
      </c>
      <c r="L111" s="277">
        <v>0</v>
      </c>
      <c r="M111" s="277">
        <v>0</v>
      </c>
      <c r="N111" s="277">
        <v>0</v>
      </c>
      <c r="O111" s="277">
        <v>0</v>
      </c>
      <c r="P111" s="277">
        <v>22801793</v>
      </c>
      <c r="Q111" s="277">
        <v>11400897</v>
      </c>
      <c r="R111" s="277">
        <v>9120717</v>
      </c>
      <c r="S111" s="277">
        <v>2052161</v>
      </c>
      <c r="T111" s="277">
        <v>228018</v>
      </c>
      <c r="U111" s="277">
        <v>22801793</v>
      </c>
      <c r="V111" s="277">
        <v>0</v>
      </c>
      <c r="W111" s="277">
        <v>11400897</v>
      </c>
      <c r="X111" s="277">
        <v>111357</v>
      </c>
      <c r="Y111" s="277">
        <v>111357</v>
      </c>
      <c r="Z111" s="277">
        <v>0</v>
      </c>
      <c r="AA111" s="277">
        <v>0</v>
      </c>
      <c r="AB111" s="277">
        <v>0</v>
      </c>
      <c r="AC111" s="277">
        <v>0</v>
      </c>
      <c r="AD111" s="277">
        <v>0</v>
      </c>
      <c r="AE111" s="277">
        <v>0</v>
      </c>
      <c r="AF111" s="277">
        <v>0</v>
      </c>
      <c r="AG111" s="277">
        <v>0</v>
      </c>
      <c r="AH111" s="277">
        <v>0</v>
      </c>
      <c r="AI111" s="277">
        <v>0</v>
      </c>
      <c r="AJ111" s="277">
        <v>0</v>
      </c>
      <c r="AK111" s="277">
        <v>0</v>
      </c>
      <c r="AL111" s="277">
        <v>0</v>
      </c>
      <c r="AM111" s="277">
        <v>-359713.5</v>
      </c>
      <c r="AN111" s="277">
        <v>-287770.8</v>
      </c>
      <c r="AO111" s="277">
        <v>-64748.43</v>
      </c>
      <c r="AP111" s="277">
        <v>-7194.27</v>
      </c>
      <c r="AQ111" s="277">
        <v>-719427</v>
      </c>
      <c r="AR111" s="277">
        <v>11041184</v>
      </c>
      <c r="AS111" s="277">
        <v>8944303</v>
      </c>
      <c r="AT111" s="277">
        <v>1987413</v>
      </c>
      <c r="AU111" s="277">
        <v>220824</v>
      </c>
      <c r="AV111" s="277">
        <v>22193723</v>
      </c>
      <c r="AW111" s="277">
        <v>98005</v>
      </c>
      <c r="AX111" s="277">
        <v>21785</v>
      </c>
      <c r="AY111" s="277">
        <v>2421</v>
      </c>
      <c r="AZ111" s="277">
        <v>122211</v>
      </c>
      <c r="BA111" s="277">
        <v>386351</v>
      </c>
      <c r="BB111" s="277">
        <v>86929</v>
      </c>
      <c r="BC111" s="277">
        <v>9659</v>
      </c>
      <c r="BD111" s="277">
        <v>482939</v>
      </c>
      <c r="BE111" s="277">
        <v>38635</v>
      </c>
      <c r="BF111" s="277">
        <v>8693</v>
      </c>
      <c r="BG111" s="277">
        <v>966</v>
      </c>
      <c r="BH111" s="277">
        <v>48294</v>
      </c>
      <c r="BI111" s="277">
        <v>20212</v>
      </c>
      <c r="BJ111" s="277">
        <v>4548</v>
      </c>
      <c r="BK111" s="277">
        <v>505</v>
      </c>
      <c r="BL111" s="277">
        <v>25265</v>
      </c>
      <c r="BM111" s="277">
        <v>10433</v>
      </c>
      <c r="BN111" s="277">
        <v>2348</v>
      </c>
      <c r="BO111" s="277">
        <v>261</v>
      </c>
      <c r="BP111" s="277">
        <v>13042</v>
      </c>
      <c r="BQ111" s="277">
        <v>199780</v>
      </c>
      <c r="BR111" s="277">
        <v>44951</v>
      </c>
      <c r="BS111" s="277">
        <v>4995</v>
      </c>
      <c r="BT111" s="277">
        <v>249726</v>
      </c>
      <c r="BU111" s="277">
        <v>753416</v>
      </c>
      <c r="BV111" s="277">
        <v>169254</v>
      </c>
      <c r="BW111" s="277">
        <v>18807</v>
      </c>
      <c r="BX111" s="277">
        <v>941477</v>
      </c>
      <c r="BY111" s="278" t="s">
        <v>115</v>
      </c>
      <c r="BZ111" s="279" t="s">
        <v>1022</v>
      </c>
      <c r="CA111" s="280" t="s">
        <v>1009</v>
      </c>
    </row>
    <row r="112" spans="1:79" ht="12.75">
      <c r="A112" s="169">
        <v>105</v>
      </c>
      <c r="B112" s="172" t="s">
        <v>117</v>
      </c>
      <c r="C112" s="258" t="s">
        <v>118</v>
      </c>
      <c r="D112" s="277">
        <v>90083157</v>
      </c>
      <c r="E112" s="277">
        <v>55934</v>
      </c>
      <c r="F112" s="277">
        <v>0</v>
      </c>
      <c r="G112" s="277">
        <v>293640</v>
      </c>
      <c r="H112" s="277">
        <v>0</v>
      </c>
      <c r="I112" s="277">
        <v>293640</v>
      </c>
      <c r="J112" s="277">
        <v>0</v>
      </c>
      <c r="K112" s="277">
        <v>0</v>
      </c>
      <c r="L112" s="277">
        <v>46699</v>
      </c>
      <c r="M112" s="277">
        <v>0</v>
      </c>
      <c r="N112" s="277">
        <v>0</v>
      </c>
      <c r="O112" s="277">
        <v>0</v>
      </c>
      <c r="P112" s="277">
        <v>89798752</v>
      </c>
      <c r="Q112" s="277">
        <v>44899376</v>
      </c>
      <c r="R112" s="277">
        <v>44001388</v>
      </c>
      <c r="S112" s="277">
        <v>0</v>
      </c>
      <c r="T112" s="277">
        <v>897988</v>
      </c>
      <c r="U112" s="277">
        <v>89798752</v>
      </c>
      <c r="V112" s="277">
        <v>0</v>
      </c>
      <c r="W112" s="277">
        <v>44899376</v>
      </c>
      <c r="X112" s="277">
        <v>293640</v>
      </c>
      <c r="Y112" s="277">
        <v>293640</v>
      </c>
      <c r="Z112" s="277">
        <v>0</v>
      </c>
      <c r="AA112" s="277">
        <v>0</v>
      </c>
      <c r="AB112" s="277">
        <v>46699</v>
      </c>
      <c r="AC112" s="277">
        <v>46699</v>
      </c>
      <c r="AD112" s="277">
        <v>0</v>
      </c>
      <c r="AE112" s="277">
        <v>0</v>
      </c>
      <c r="AF112" s="277">
        <v>0</v>
      </c>
      <c r="AG112" s="277">
        <v>0</v>
      </c>
      <c r="AH112" s="277">
        <v>0</v>
      </c>
      <c r="AI112" s="277">
        <v>0</v>
      </c>
      <c r="AJ112" s="277">
        <v>0</v>
      </c>
      <c r="AK112" s="277">
        <v>0</v>
      </c>
      <c r="AL112" s="277">
        <v>0</v>
      </c>
      <c r="AM112" s="277">
        <v>-738207</v>
      </c>
      <c r="AN112" s="277">
        <v>-723442.86</v>
      </c>
      <c r="AO112" s="277">
        <v>0</v>
      </c>
      <c r="AP112" s="277">
        <v>-14764.14</v>
      </c>
      <c r="AQ112" s="277">
        <v>-1476414</v>
      </c>
      <c r="AR112" s="277">
        <v>44161169</v>
      </c>
      <c r="AS112" s="277">
        <v>43618284</v>
      </c>
      <c r="AT112" s="277">
        <v>0</v>
      </c>
      <c r="AU112" s="277">
        <v>883224</v>
      </c>
      <c r="AV112" s="277">
        <v>88662677</v>
      </c>
      <c r="AW112" s="277">
        <v>470719</v>
      </c>
      <c r="AX112" s="277">
        <v>0</v>
      </c>
      <c r="AY112" s="277">
        <v>9533</v>
      </c>
      <c r="AZ112" s="277">
        <v>480252</v>
      </c>
      <c r="BA112" s="277">
        <v>877195</v>
      </c>
      <c r="BB112" s="277">
        <v>0</v>
      </c>
      <c r="BC112" s="277">
        <v>17902</v>
      </c>
      <c r="BD112" s="277">
        <v>895097</v>
      </c>
      <c r="BE112" s="277">
        <v>44984</v>
      </c>
      <c r="BF112" s="277">
        <v>0</v>
      </c>
      <c r="BG112" s="277">
        <v>918</v>
      </c>
      <c r="BH112" s="277">
        <v>45902</v>
      </c>
      <c r="BI112" s="277">
        <v>154503</v>
      </c>
      <c r="BJ112" s="277">
        <v>0</v>
      </c>
      <c r="BK112" s="277">
        <v>3153</v>
      </c>
      <c r="BL112" s="277">
        <v>157656</v>
      </c>
      <c r="BM112" s="277">
        <v>41276</v>
      </c>
      <c r="BN112" s="277">
        <v>0</v>
      </c>
      <c r="BO112" s="277">
        <v>842</v>
      </c>
      <c r="BP112" s="277">
        <v>42118</v>
      </c>
      <c r="BQ112" s="277">
        <v>396161</v>
      </c>
      <c r="BR112" s="277">
        <v>0</v>
      </c>
      <c r="BS112" s="277">
        <v>8085</v>
      </c>
      <c r="BT112" s="277">
        <v>404246</v>
      </c>
      <c r="BU112" s="277">
        <v>1984838</v>
      </c>
      <c r="BV112" s="277">
        <v>0</v>
      </c>
      <c r="BW112" s="277">
        <v>40433</v>
      </c>
      <c r="BX112" s="277">
        <v>2025271</v>
      </c>
      <c r="BY112" s="278" t="s">
        <v>117</v>
      </c>
      <c r="BZ112" s="279" t="s">
        <v>996</v>
      </c>
      <c r="CA112" s="280" t="s">
        <v>1041</v>
      </c>
    </row>
    <row r="113" spans="1:79" ht="12.75">
      <c r="A113" s="169">
        <v>106</v>
      </c>
      <c r="B113" s="172" t="s">
        <v>119</v>
      </c>
      <c r="C113" s="258" t="s">
        <v>120</v>
      </c>
      <c r="D113" s="277">
        <v>21172376.9</v>
      </c>
      <c r="E113" s="277">
        <v>0</v>
      </c>
      <c r="F113" s="277">
        <v>10335.53</v>
      </c>
      <c r="G113" s="277">
        <v>101805</v>
      </c>
      <c r="H113" s="277">
        <v>0</v>
      </c>
      <c r="I113" s="277">
        <v>101805</v>
      </c>
      <c r="J113" s="277">
        <v>0</v>
      </c>
      <c r="K113" s="277">
        <v>0</v>
      </c>
      <c r="L113" s="277">
        <v>0</v>
      </c>
      <c r="M113" s="277">
        <v>0</v>
      </c>
      <c r="N113" s="277">
        <v>0</v>
      </c>
      <c r="O113" s="277">
        <v>0</v>
      </c>
      <c r="P113" s="277">
        <v>21060236.4</v>
      </c>
      <c r="Q113" s="277">
        <v>10530118.4</v>
      </c>
      <c r="R113" s="277">
        <v>8424095</v>
      </c>
      <c r="S113" s="277">
        <v>1895421</v>
      </c>
      <c r="T113" s="277">
        <v>210602</v>
      </c>
      <c r="U113" s="277">
        <v>21060236</v>
      </c>
      <c r="V113" s="277">
        <v>0</v>
      </c>
      <c r="W113" s="277">
        <v>10530118.4</v>
      </c>
      <c r="X113" s="277">
        <v>101805</v>
      </c>
      <c r="Y113" s="277">
        <v>101805</v>
      </c>
      <c r="Z113" s="277">
        <v>0</v>
      </c>
      <c r="AA113" s="277">
        <v>0</v>
      </c>
      <c r="AB113" s="277">
        <v>0</v>
      </c>
      <c r="AC113" s="277">
        <v>0</v>
      </c>
      <c r="AD113" s="277">
        <v>0</v>
      </c>
      <c r="AE113" s="277">
        <v>0</v>
      </c>
      <c r="AF113" s="277">
        <v>0</v>
      </c>
      <c r="AG113" s="277">
        <v>0</v>
      </c>
      <c r="AH113" s="277">
        <v>0</v>
      </c>
      <c r="AI113" s="277">
        <v>0</v>
      </c>
      <c r="AJ113" s="277">
        <v>0</v>
      </c>
      <c r="AK113" s="277">
        <v>0</v>
      </c>
      <c r="AL113" s="277">
        <v>0</v>
      </c>
      <c r="AM113" s="277">
        <v>-328701.9</v>
      </c>
      <c r="AN113" s="277">
        <v>-262961.52</v>
      </c>
      <c r="AO113" s="277">
        <v>-59166.34</v>
      </c>
      <c r="AP113" s="277">
        <v>-6574.04</v>
      </c>
      <c r="AQ113" s="277">
        <v>-657403.81</v>
      </c>
      <c r="AR113" s="277">
        <v>10201416</v>
      </c>
      <c r="AS113" s="277">
        <v>8262938</v>
      </c>
      <c r="AT113" s="277">
        <v>1836255</v>
      </c>
      <c r="AU113" s="277">
        <v>204028</v>
      </c>
      <c r="AV113" s="277">
        <v>20504637</v>
      </c>
      <c r="AW113" s="277">
        <v>90508</v>
      </c>
      <c r="AX113" s="277">
        <v>20121</v>
      </c>
      <c r="AY113" s="277">
        <v>2236</v>
      </c>
      <c r="AZ113" s="277">
        <v>112865</v>
      </c>
      <c r="BA113" s="277">
        <v>316703</v>
      </c>
      <c r="BB113" s="277">
        <v>71258</v>
      </c>
      <c r="BC113" s="277">
        <v>7918</v>
      </c>
      <c r="BD113" s="277">
        <v>395879</v>
      </c>
      <c r="BE113" s="277">
        <v>0</v>
      </c>
      <c r="BF113" s="277">
        <v>0</v>
      </c>
      <c r="BG113" s="277">
        <v>0</v>
      </c>
      <c r="BH113" s="277">
        <v>0</v>
      </c>
      <c r="BI113" s="277">
        <v>0</v>
      </c>
      <c r="BJ113" s="277">
        <v>0</v>
      </c>
      <c r="BK113" s="277">
        <v>0</v>
      </c>
      <c r="BL113" s="277">
        <v>0</v>
      </c>
      <c r="BM113" s="277">
        <v>0</v>
      </c>
      <c r="BN113" s="277">
        <v>0</v>
      </c>
      <c r="BO113" s="277">
        <v>0</v>
      </c>
      <c r="BP113" s="277">
        <v>0</v>
      </c>
      <c r="BQ113" s="277">
        <v>150588</v>
      </c>
      <c r="BR113" s="277">
        <v>33882</v>
      </c>
      <c r="BS113" s="277">
        <v>3765</v>
      </c>
      <c r="BT113" s="277">
        <v>188235</v>
      </c>
      <c r="BU113" s="277">
        <v>557799</v>
      </c>
      <c r="BV113" s="277">
        <v>125261</v>
      </c>
      <c r="BW113" s="277">
        <v>13919</v>
      </c>
      <c r="BX113" s="277">
        <v>696979</v>
      </c>
      <c r="BY113" s="278" t="s">
        <v>119</v>
      </c>
      <c r="BZ113" s="279" t="s">
        <v>988</v>
      </c>
      <c r="CA113" s="280" t="s">
        <v>989</v>
      </c>
    </row>
    <row r="114" spans="1:79" ht="12.75">
      <c r="A114" s="169">
        <v>107</v>
      </c>
      <c r="B114" s="172" t="s">
        <v>121</v>
      </c>
      <c r="C114" s="258" t="s">
        <v>122</v>
      </c>
      <c r="D114" s="277">
        <v>51920147</v>
      </c>
      <c r="E114" s="277">
        <v>28627</v>
      </c>
      <c r="F114" s="277">
        <v>0</v>
      </c>
      <c r="G114" s="277">
        <v>178775</v>
      </c>
      <c r="H114" s="277">
        <v>0</v>
      </c>
      <c r="I114" s="277">
        <v>178775</v>
      </c>
      <c r="J114" s="277">
        <v>0</v>
      </c>
      <c r="K114" s="277">
        <v>0</v>
      </c>
      <c r="L114" s="277">
        <v>0</v>
      </c>
      <c r="M114" s="277">
        <v>0</v>
      </c>
      <c r="N114" s="277">
        <v>0</v>
      </c>
      <c r="O114" s="277">
        <v>0</v>
      </c>
      <c r="P114" s="277">
        <v>51769999</v>
      </c>
      <c r="Q114" s="277">
        <v>25884999</v>
      </c>
      <c r="R114" s="277">
        <v>20708000</v>
      </c>
      <c r="S114" s="277">
        <v>5177000</v>
      </c>
      <c r="T114" s="277">
        <v>0</v>
      </c>
      <c r="U114" s="277">
        <v>51769999</v>
      </c>
      <c r="V114" s="277">
        <v>0</v>
      </c>
      <c r="W114" s="277">
        <v>25884999</v>
      </c>
      <c r="X114" s="277">
        <v>178775</v>
      </c>
      <c r="Y114" s="277">
        <v>178775</v>
      </c>
      <c r="Z114" s="277">
        <v>0</v>
      </c>
      <c r="AA114" s="277">
        <v>0</v>
      </c>
      <c r="AB114" s="277">
        <v>0</v>
      </c>
      <c r="AC114" s="277">
        <v>0</v>
      </c>
      <c r="AD114" s="277">
        <v>0</v>
      </c>
      <c r="AE114" s="277">
        <v>0</v>
      </c>
      <c r="AF114" s="277">
        <v>0</v>
      </c>
      <c r="AG114" s="277">
        <v>0</v>
      </c>
      <c r="AH114" s="277">
        <v>0</v>
      </c>
      <c r="AI114" s="277">
        <v>0</v>
      </c>
      <c r="AJ114" s="277">
        <v>0</v>
      </c>
      <c r="AK114" s="277">
        <v>0</v>
      </c>
      <c r="AL114" s="277">
        <v>0</v>
      </c>
      <c r="AM114" s="277">
        <v>163816.74</v>
      </c>
      <c r="AN114" s="277">
        <v>131053.39</v>
      </c>
      <c r="AO114" s="277">
        <v>32763.35</v>
      </c>
      <c r="AP114" s="277">
        <v>0</v>
      </c>
      <c r="AQ114" s="277">
        <v>327633.48</v>
      </c>
      <c r="AR114" s="277">
        <v>26048816</v>
      </c>
      <c r="AS114" s="277">
        <v>21017828</v>
      </c>
      <c r="AT114" s="277">
        <v>5209763</v>
      </c>
      <c r="AU114" s="277">
        <v>0</v>
      </c>
      <c r="AV114" s="277">
        <v>52276407</v>
      </c>
      <c r="AW114" s="277">
        <v>221728</v>
      </c>
      <c r="AX114" s="277">
        <v>54958</v>
      </c>
      <c r="AY114" s="277">
        <v>0</v>
      </c>
      <c r="AZ114" s="277">
        <v>276686</v>
      </c>
      <c r="BA114" s="277">
        <v>353248</v>
      </c>
      <c r="BB114" s="277">
        <v>88312</v>
      </c>
      <c r="BC114" s="277">
        <v>0</v>
      </c>
      <c r="BD114" s="277">
        <v>441560</v>
      </c>
      <c r="BE114" s="277">
        <v>0</v>
      </c>
      <c r="BF114" s="277">
        <v>0</v>
      </c>
      <c r="BG114" s="277">
        <v>0</v>
      </c>
      <c r="BH114" s="277">
        <v>0</v>
      </c>
      <c r="BI114" s="277">
        <v>0</v>
      </c>
      <c r="BJ114" s="277">
        <v>0</v>
      </c>
      <c r="BK114" s="277">
        <v>0</v>
      </c>
      <c r="BL114" s="277">
        <v>0</v>
      </c>
      <c r="BM114" s="277">
        <v>63118</v>
      </c>
      <c r="BN114" s="277">
        <v>15779</v>
      </c>
      <c r="BO114" s="277">
        <v>0</v>
      </c>
      <c r="BP114" s="277">
        <v>78897</v>
      </c>
      <c r="BQ114" s="277">
        <v>208548</v>
      </c>
      <c r="BR114" s="277">
        <v>52137</v>
      </c>
      <c r="BS114" s="277">
        <v>0</v>
      </c>
      <c r="BT114" s="277">
        <v>260685</v>
      </c>
      <c r="BU114" s="277">
        <v>846642</v>
      </c>
      <c r="BV114" s="277">
        <v>211186</v>
      </c>
      <c r="BW114" s="277">
        <v>0</v>
      </c>
      <c r="BX114" s="277">
        <v>1057828</v>
      </c>
      <c r="BY114" s="278" t="s">
        <v>121</v>
      </c>
      <c r="BZ114" s="279" t="s">
        <v>1027</v>
      </c>
      <c r="CA114" s="280" t="s">
        <v>984</v>
      </c>
    </row>
    <row r="115" spans="1:79" ht="12.75">
      <c r="A115" s="169">
        <v>108</v>
      </c>
      <c r="B115" s="172" t="s">
        <v>123</v>
      </c>
      <c r="C115" s="258" t="s">
        <v>124</v>
      </c>
      <c r="D115" s="277">
        <v>12705594.8</v>
      </c>
      <c r="E115" s="277">
        <v>26896.96</v>
      </c>
      <c r="F115" s="277">
        <v>0</v>
      </c>
      <c r="G115" s="277">
        <v>81548</v>
      </c>
      <c r="H115" s="277">
        <v>0</v>
      </c>
      <c r="I115" s="277">
        <v>81548</v>
      </c>
      <c r="J115" s="277">
        <v>0</v>
      </c>
      <c r="K115" s="277">
        <v>0</v>
      </c>
      <c r="L115" s="277">
        <v>0</v>
      </c>
      <c r="M115" s="277">
        <v>0</v>
      </c>
      <c r="N115" s="277">
        <v>0</v>
      </c>
      <c r="O115" s="277">
        <v>0</v>
      </c>
      <c r="P115" s="277">
        <v>12650943.8</v>
      </c>
      <c r="Q115" s="277">
        <v>6325471.79</v>
      </c>
      <c r="R115" s="277">
        <v>5060378</v>
      </c>
      <c r="S115" s="277">
        <v>1138585</v>
      </c>
      <c r="T115" s="277">
        <v>126509</v>
      </c>
      <c r="U115" s="277">
        <v>12650944</v>
      </c>
      <c r="V115" s="277">
        <v>132643</v>
      </c>
      <c r="W115" s="277">
        <v>6192828.79</v>
      </c>
      <c r="X115" s="277">
        <v>81548</v>
      </c>
      <c r="Y115" s="277">
        <v>81548</v>
      </c>
      <c r="Z115" s="277">
        <v>0</v>
      </c>
      <c r="AA115" s="277">
        <v>0</v>
      </c>
      <c r="AB115" s="277">
        <v>0</v>
      </c>
      <c r="AC115" s="277">
        <v>0</v>
      </c>
      <c r="AD115" s="277">
        <v>0</v>
      </c>
      <c r="AE115" s="277">
        <v>0</v>
      </c>
      <c r="AF115" s="277">
        <v>0</v>
      </c>
      <c r="AG115" s="277">
        <v>132643</v>
      </c>
      <c r="AH115" s="277">
        <v>0</v>
      </c>
      <c r="AI115" s="277">
        <v>0</v>
      </c>
      <c r="AJ115" s="277">
        <v>132643</v>
      </c>
      <c r="AK115" s="277">
        <v>0</v>
      </c>
      <c r="AL115" s="277">
        <v>0</v>
      </c>
      <c r="AM115" s="277">
        <v>757259</v>
      </c>
      <c r="AN115" s="277">
        <v>605807.2</v>
      </c>
      <c r="AO115" s="277">
        <v>136306.62</v>
      </c>
      <c r="AP115" s="277">
        <v>15145.18</v>
      </c>
      <c r="AQ115" s="277">
        <v>1514518</v>
      </c>
      <c r="AR115" s="277">
        <v>6950088</v>
      </c>
      <c r="AS115" s="277">
        <v>5880376</v>
      </c>
      <c r="AT115" s="277">
        <v>1274892</v>
      </c>
      <c r="AU115" s="277">
        <v>141654</v>
      </c>
      <c r="AV115" s="277">
        <v>14247010</v>
      </c>
      <c r="AW115" s="277">
        <v>55993</v>
      </c>
      <c r="AX115" s="277">
        <v>12087</v>
      </c>
      <c r="AY115" s="277">
        <v>1343</v>
      </c>
      <c r="AZ115" s="277">
        <v>69423</v>
      </c>
      <c r="BA115" s="277">
        <v>255152</v>
      </c>
      <c r="BB115" s="277">
        <v>57409</v>
      </c>
      <c r="BC115" s="277">
        <v>6379</v>
      </c>
      <c r="BD115" s="277">
        <v>318940</v>
      </c>
      <c r="BE115" s="277">
        <v>14149</v>
      </c>
      <c r="BF115" s="277">
        <v>3183</v>
      </c>
      <c r="BG115" s="277">
        <v>354</v>
      </c>
      <c r="BH115" s="277">
        <v>17686</v>
      </c>
      <c r="BI115" s="277">
        <v>19202</v>
      </c>
      <c r="BJ115" s="277">
        <v>4320</v>
      </c>
      <c r="BK115" s="277">
        <v>480</v>
      </c>
      <c r="BL115" s="277">
        <v>24002</v>
      </c>
      <c r="BM115" s="277">
        <v>88935</v>
      </c>
      <c r="BN115" s="277">
        <v>20010</v>
      </c>
      <c r="BO115" s="277">
        <v>2223</v>
      </c>
      <c r="BP115" s="277">
        <v>111168</v>
      </c>
      <c r="BQ115" s="277">
        <v>145529</v>
      </c>
      <c r="BR115" s="277">
        <v>32744</v>
      </c>
      <c r="BS115" s="277">
        <v>3638</v>
      </c>
      <c r="BT115" s="277">
        <v>181911</v>
      </c>
      <c r="BU115" s="277">
        <v>578960</v>
      </c>
      <c r="BV115" s="277">
        <v>129753</v>
      </c>
      <c r="BW115" s="277">
        <v>14417</v>
      </c>
      <c r="BX115" s="277">
        <v>723130</v>
      </c>
      <c r="BY115" s="278" t="s">
        <v>123</v>
      </c>
      <c r="BZ115" s="279" t="s">
        <v>1000</v>
      </c>
      <c r="CA115" s="280" t="s">
        <v>1001</v>
      </c>
    </row>
    <row r="116" spans="1:79" ht="12.75">
      <c r="A116" s="169">
        <v>109</v>
      </c>
      <c r="B116" s="172" t="s">
        <v>125</v>
      </c>
      <c r="C116" s="258" t="s">
        <v>126</v>
      </c>
      <c r="D116" s="277">
        <v>21924279</v>
      </c>
      <c r="E116" s="277">
        <v>45379</v>
      </c>
      <c r="F116" s="277">
        <v>0</v>
      </c>
      <c r="G116" s="277">
        <v>97673</v>
      </c>
      <c r="H116" s="277">
        <v>0</v>
      </c>
      <c r="I116" s="277">
        <v>97673</v>
      </c>
      <c r="J116" s="277">
        <v>0</v>
      </c>
      <c r="K116" s="277">
        <v>0</v>
      </c>
      <c r="L116" s="277">
        <v>0</v>
      </c>
      <c r="M116" s="277">
        <v>0</v>
      </c>
      <c r="N116" s="277">
        <v>0</v>
      </c>
      <c r="O116" s="277">
        <v>0</v>
      </c>
      <c r="P116" s="277">
        <v>21871985</v>
      </c>
      <c r="Q116" s="277">
        <v>10935992</v>
      </c>
      <c r="R116" s="277">
        <v>8748794</v>
      </c>
      <c r="S116" s="277">
        <v>1968479</v>
      </c>
      <c r="T116" s="277">
        <v>218720</v>
      </c>
      <c r="U116" s="277">
        <v>21871985</v>
      </c>
      <c r="V116" s="277">
        <v>0</v>
      </c>
      <c r="W116" s="277">
        <v>10935992</v>
      </c>
      <c r="X116" s="277">
        <v>97673</v>
      </c>
      <c r="Y116" s="277">
        <v>97673</v>
      </c>
      <c r="Z116" s="277">
        <v>0</v>
      </c>
      <c r="AA116" s="277">
        <v>0</v>
      </c>
      <c r="AB116" s="277">
        <v>0</v>
      </c>
      <c r="AC116" s="277">
        <v>0</v>
      </c>
      <c r="AD116" s="277">
        <v>0</v>
      </c>
      <c r="AE116" s="277">
        <v>0</v>
      </c>
      <c r="AF116" s="277">
        <v>0</v>
      </c>
      <c r="AG116" s="277">
        <v>0</v>
      </c>
      <c r="AH116" s="277">
        <v>0</v>
      </c>
      <c r="AI116" s="277">
        <v>0</v>
      </c>
      <c r="AJ116" s="277">
        <v>0</v>
      </c>
      <c r="AK116" s="277">
        <v>0</v>
      </c>
      <c r="AL116" s="277">
        <v>0</v>
      </c>
      <c r="AM116" s="277">
        <v>-310615</v>
      </c>
      <c r="AN116" s="277">
        <v>-248492</v>
      </c>
      <c r="AO116" s="277">
        <v>-55910.7</v>
      </c>
      <c r="AP116" s="277">
        <v>-6212.3</v>
      </c>
      <c r="AQ116" s="277">
        <v>-621230</v>
      </c>
      <c r="AR116" s="277">
        <v>10625377</v>
      </c>
      <c r="AS116" s="277">
        <v>8597975</v>
      </c>
      <c r="AT116" s="277">
        <v>1912568</v>
      </c>
      <c r="AU116" s="277">
        <v>212508</v>
      </c>
      <c r="AV116" s="277">
        <v>21348428</v>
      </c>
      <c r="AW116" s="277">
        <v>93912</v>
      </c>
      <c r="AX116" s="277">
        <v>20897</v>
      </c>
      <c r="AY116" s="277">
        <v>2322</v>
      </c>
      <c r="AZ116" s="277">
        <v>117131</v>
      </c>
      <c r="BA116" s="277">
        <v>288628</v>
      </c>
      <c r="BB116" s="277">
        <v>64941</v>
      </c>
      <c r="BC116" s="277">
        <v>7216</v>
      </c>
      <c r="BD116" s="277">
        <v>360785</v>
      </c>
      <c r="BE116" s="277">
        <v>0</v>
      </c>
      <c r="BF116" s="277">
        <v>0</v>
      </c>
      <c r="BG116" s="277">
        <v>0</v>
      </c>
      <c r="BH116" s="277">
        <v>0</v>
      </c>
      <c r="BI116" s="277">
        <v>0</v>
      </c>
      <c r="BJ116" s="277">
        <v>0</v>
      </c>
      <c r="BK116" s="277">
        <v>0</v>
      </c>
      <c r="BL116" s="277">
        <v>0</v>
      </c>
      <c r="BM116" s="277">
        <v>27085</v>
      </c>
      <c r="BN116" s="277">
        <v>6094</v>
      </c>
      <c r="BO116" s="277">
        <v>677</v>
      </c>
      <c r="BP116" s="277">
        <v>33856</v>
      </c>
      <c r="BQ116" s="277">
        <v>171248</v>
      </c>
      <c r="BR116" s="277">
        <v>38531</v>
      </c>
      <c r="BS116" s="277">
        <v>4281</v>
      </c>
      <c r="BT116" s="277">
        <v>214060</v>
      </c>
      <c r="BU116" s="277">
        <v>580873</v>
      </c>
      <c r="BV116" s="277">
        <v>130463</v>
      </c>
      <c r="BW116" s="277">
        <v>14496</v>
      </c>
      <c r="BX116" s="277">
        <v>725832</v>
      </c>
      <c r="BY116" s="278" t="s">
        <v>125</v>
      </c>
      <c r="BZ116" s="279" t="s">
        <v>990</v>
      </c>
      <c r="CA116" s="280" t="s">
        <v>991</v>
      </c>
    </row>
    <row r="117" spans="1:79" ht="12.75">
      <c r="A117" s="169">
        <v>110</v>
      </c>
      <c r="B117" s="172" t="s">
        <v>127</v>
      </c>
      <c r="C117" s="258" t="s">
        <v>128</v>
      </c>
      <c r="D117" s="277">
        <v>28598247.5</v>
      </c>
      <c r="E117" s="277">
        <v>271993.05</v>
      </c>
      <c r="F117" s="277">
        <v>0</v>
      </c>
      <c r="G117" s="277">
        <v>185114</v>
      </c>
      <c r="H117" s="277">
        <v>25000</v>
      </c>
      <c r="I117" s="277">
        <v>210114</v>
      </c>
      <c r="J117" s="277">
        <v>0</v>
      </c>
      <c r="K117" s="277">
        <v>0</v>
      </c>
      <c r="L117" s="277">
        <v>0</v>
      </c>
      <c r="M117" s="277">
        <v>0</v>
      </c>
      <c r="N117" s="277">
        <v>0</v>
      </c>
      <c r="O117" s="277">
        <v>0</v>
      </c>
      <c r="P117" s="277">
        <v>28660127</v>
      </c>
      <c r="Q117" s="277">
        <v>14330063</v>
      </c>
      <c r="R117" s="277">
        <v>11464051</v>
      </c>
      <c r="S117" s="277">
        <v>2866013</v>
      </c>
      <c r="T117" s="277">
        <v>0</v>
      </c>
      <c r="U117" s="277">
        <v>28660127</v>
      </c>
      <c r="V117" s="277">
        <v>268166</v>
      </c>
      <c r="W117" s="277">
        <v>14061897</v>
      </c>
      <c r="X117" s="277">
        <v>210114</v>
      </c>
      <c r="Y117" s="277">
        <v>210114</v>
      </c>
      <c r="Z117" s="277">
        <v>0</v>
      </c>
      <c r="AA117" s="277">
        <v>0</v>
      </c>
      <c r="AB117" s="277">
        <v>0</v>
      </c>
      <c r="AC117" s="277">
        <v>0</v>
      </c>
      <c r="AD117" s="277">
        <v>0</v>
      </c>
      <c r="AE117" s="277">
        <v>0</v>
      </c>
      <c r="AF117" s="277">
        <v>0</v>
      </c>
      <c r="AG117" s="277">
        <v>268166</v>
      </c>
      <c r="AH117" s="277">
        <v>0</v>
      </c>
      <c r="AI117" s="277">
        <v>0</v>
      </c>
      <c r="AJ117" s="277">
        <v>268166</v>
      </c>
      <c r="AK117" s="277">
        <v>0</v>
      </c>
      <c r="AL117" s="277">
        <v>0</v>
      </c>
      <c r="AM117" s="277">
        <v>134835</v>
      </c>
      <c r="AN117" s="277">
        <v>107868</v>
      </c>
      <c r="AO117" s="277">
        <v>26967</v>
      </c>
      <c r="AP117" s="277">
        <v>0</v>
      </c>
      <c r="AQ117" s="277">
        <v>269670</v>
      </c>
      <c r="AR117" s="277">
        <v>14196732</v>
      </c>
      <c r="AS117" s="277">
        <v>12050199</v>
      </c>
      <c r="AT117" s="277">
        <v>2892980</v>
      </c>
      <c r="AU117" s="277">
        <v>0</v>
      </c>
      <c r="AV117" s="277">
        <v>29139911</v>
      </c>
      <c r="AW117" s="277">
        <v>126776</v>
      </c>
      <c r="AX117" s="277">
        <v>30425</v>
      </c>
      <c r="AY117" s="277">
        <v>0</v>
      </c>
      <c r="AZ117" s="277">
        <v>157201</v>
      </c>
      <c r="BA117" s="277">
        <v>415679</v>
      </c>
      <c r="BB117" s="277">
        <v>103920</v>
      </c>
      <c r="BC117" s="277">
        <v>0</v>
      </c>
      <c r="BD117" s="277">
        <v>519599</v>
      </c>
      <c r="BE117" s="277">
        <v>8085</v>
      </c>
      <c r="BF117" s="277">
        <v>2021</v>
      </c>
      <c r="BG117" s="277">
        <v>0</v>
      </c>
      <c r="BH117" s="277">
        <v>10106</v>
      </c>
      <c r="BI117" s="277">
        <v>18191</v>
      </c>
      <c r="BJ117" s="277">
        <v>4548</v>
      </c>
      <c r="BK117" s="277">
        <v>0</v>
      </c>
      <c r="BL117" s="277">
        <v>22739</v>
      </c>
      <c r="BM117" s="277">
        <v>10106</v>
      </c>
      <c r="BN117" s="277">
        <v>2527</v>
      </c>
      <c r="BO117" s="277">
        <v>0</v>
      </c>
      <c r="BP117" s="277">
        <v>12633</v>
      </c>
      <c r="BQ117" s="277">
        <v>349269</v>
      </c>
      <c r="BR117" s="277">
        <v>87317</v>
      </c>
      <c r="BS117" s="277">
        <v>0</v>
      </c>
      <c r="BT117" s="277">
        <v>436586</v>
      </c>
      <c r="BU117" s="277">
        <v>928106</v>
      </c>
      <c r="BV117" s="277">
        <v>230758</v>
      </c>
      <c r="BW117" s="277">
        <v>0</v>
      </c>
      <c r="BX117" s="277">
        <v>1158864</v>
      </c>
      <c r="BY117" s="278" t="s">
        <v>127</v>
      </c>
      <c r="BZ117" s="279" t="s">
        <v>1015</v>
      </c>
      <c r="CA117" s="280" t="s">
        <v>984</v>
      </c>
    </row>
    <row r="118" spans="1:79" ht="12.75">
      <c r="A118" s="169">
        <v>111</v>
      </c>
      <c r="B118" s="172" t="s">
        <v>129</v>
      </c>
      <c r="C118" s="258" t="s">
        <v>130</v>
      </c>
      <c r="D118" s="277">
        <v>67412675</v>
      </c>
      <c r="E118" s="277">
        <v>45878</v>
      </c>
      <c r="F118" s="277">
        <v>0</v>
      </c>
      <c r="G118" s="277">
        <v>279481</v>
      </c>
      <c r="H118" s="277">
        <v>0</v>
      </c>
      <c r="I118" s="277">
        <v>279481</v>
      </c>
      <c r="J118" s="277">
        <v>0</v>
      </c>
      <c r="K118" s="277">
        <v>0</v>
      </c>
      <c r="L118" s="277">
        <v>0</v>
      </c>
      <c r="M118" s="277">
        <v>0</v>
      </c>
      <c r="N118" s="277">
        <v>0</v>
      </c>
      <c r="O118" s="277">
        <v>0</v>
      </c>
      <c r="P118" s="277">
        <v>67179072</v>
      </c>
      <c r="Q118" s="277">
        <v>33589536</v>
      </c>
      <c r="R118" s="277">
        <v>20153722</v>
      </c>
      <c r="S118" s="277">
        <v>13435814</v>
      </c>
      <c r="T118" s="277">
        <v>0</v>
      </c>
      <c r="U118" s="277">
        <v>67179072</v>
      </c>
      <c r="V118" s="277">
        <v>0</v>
      </c>
      <c r="W118" s="277">
        <v>33589536</v>
      </c>
      <c r="X118" s="277">
        <v>279481</v>
      </c>
      <c r="Y118" s="277">
        <v>279481</v>
      </c>
      <c r="Z118" s="277">
        <v>0</v>
      </c>
      <c r="AA118" s="277">
        <v>0</v>
      </c>
      <c r="AB118" s="277">
        <v>0</v>
      </c>
      <c r="AC118" s="277">
        <v>0</v>
      </c>
      <c r="AD118" s="277">
        <v>0</v>
      </c>
      <c r="AE118" s="277">
        <v>0</v>
      </c>
      <c r="AF118" s="277">
        <v>0</v>
      </c>
      <c r="AG118" s="277">
        <v>0</v>
      </c>
      <c r="AH118" s="277">
        <v>0</v>
      </c>
      <c r="AI118" s="277">
        <v>0</v>
      </c>
      <c r="AJ118" s="277">
        <v>0</v>
      </c>
      <c r="AK118" s="277">
        <v>0</v>
      </c>
      <c r="AL118" s="277">
        <v>0</v>
      </c>
      <c r="AM118" s="277">
        <v>2193000</v>
      </c>
      <c r="AN118" s="277">
        <v>1315800</v>
      </c>
      <c r="AO118" s="277">
        <v>877200</v>
      </c>
      <c r="AP118" s="277">
        <v>0</v>
      </c>
      <c r="AQ118" s="277">
        <v>4386000</v>
      </c>
      <c r="AR118" s="277">
        <v>35782536</v>
      </c>
      <c r="AS118" s="277">
        <v>21749003</v>
      </c>
      <c r="AT118" s="277">
        <v>14313014</v>
      </c>
      <c r="AU118" s="277">
        <v>0</v>
      </c>
      <c r="AV118" s="277">
        <v>71844553</v>
      </c>
      <c r="AW118" s="277">
        <v>216913</v>
      </c>
      <c r="AX118" s="277">
        <v>142631</v>
      </c>
      <c r="AY118" s="277">
        <v>0</v>
      </c>
      <c r="AZ118" s="277">
        <v>359544</v>
      </c>
      <c r="BA118" s="277">
        <v>477001</v>
      </c>
      <c r="BB118" s="277">
        <v>318000</v>
      </c>
      <c r="BC118" s="277">
        <v>0</v>
      </c>
      <c r="BD118" s="277">
        <v>795001</v>
      </c>
      <c r="BE118" s="277">
        <v>0</v>
      </c>
      <c r="BF118" s="277">
        <v>0</v>
      </c>
      <c r="BG118" s="277">
        <v>0</v>
      </c>
      <c r="BH118" s="277">
        <v>0</v>
      </c>
      <c r="BI118" s="277">
        <v>181911</v>
      </c>
      <c r="BJ118" s="277">
        <v>121274</v>
      </c>
      <c r="BK118" s="277">
        <v>0</v>
      </c>
      <c r="BL118" s="277">
        <v>303185</v>
      </c>
      <c r="BM118" s="277">
        <v>231994</v>
      </c>
      <c r="BN118" s="277">
        <v>154663</v>
      </c>
      <c r="BO118" s="277">
        <v>0</v>
      </c>
      <c r="BP118" s="277">
        <v>386657</v>
      </c>
      <c r="BQ118" s="277">
        <v>397172</v>
      </c>
      <c r="BR118" s="277">
        <v>264781</v>
      </c>
      <c r="BS118" s="277">
        <v>0</v>
      </c>
      <c r="BT118" s="277">
        <v>661953</v>
      </c>
      <c r="BU118" s="277">
        <v>1504991</v>
      </c>
      <c r="BV118" s="277">
        <v>1001349</v>
      </c>
      <c r="BW118" s="277">
        <v>0</v>
      </c>
      <c r="BX118" s="277">
        <v>2506340</v>
      </c>
      <c r="BY118" s="278" t="s">
        <v>129</v>
      </c>
      <c r="BZ118" s="279" t="s">
        <v>995</v>
      </c>
      <c r="CA118" s="279" t="s">
        <v>983</v>
      </c>
    </row>
    <row r="119" spans="1:79" ht="12.75">
      <c r="A119" s="169">
        <v>112</v>
      </c>
      <c r="B119" s="172" t="s">
        <v>131</v>
      </c>
      <c r="C119" s="258" t="s">
        <v>132</v>
      </c>
      <c r="D119" s="277">
        <v>78047282</v>
      </c>
      <c r="E119" s="277">
        <v>0</v>
      </c>
      <c r="F119" s="277">
        <v>365420</v>
      </c>
      <c r="G119" s="277">
        <v>238276</v>
      </c>
      <c r="H119" s="277">
        <v>0</v>
      </c>
      <c r="I119" s="277">
        <v>238276</v>
      </c>
      <c r="J119" s="277">
        <v>0</v>
      </c>
      <c r="K119" s="277">
        <v>0</v>
      </c>
      <c r="L119" s="277">
        <v>0</v>
      </c>
      <c r="M119" s="277">
        <v>0</v>
      </c>
      <c r="N119" s="277">
        <v>0</v>
      </c>
      <c r="O119" s="277">
        <v>0</v>
      </c>
      <c r="P119" s="277">
        <v>77443586</v>
      </c>
      <c r="Q119" s="277">
        <v>38721793</v>
      </c>
      <c r="R119" s="277">
        <v>30977434</v>
      </c>
      <c r="S119" s="277">
        <v>7744359</v>
      </c>
      <c r="T119" s="277">
        <v>0</v>
      </c>
      <c r="U119" s="277">
        <v>77443586</v>
      </c>
      <c r="V119" s="277">
        <v>0</v>
      </c>
      <c r="W119" s="277">
        <v>38721793</v>
      </c>
      <c r="X119" s="277">
        <v>238276</v>
      </c>
      <c r="Y119" s="277">
        <v>238276</v>
      </c>
      <c r="Z119" s="277">
        <v>0</v>
      </c>
      <c r="AA119" s="277">
        <v>0</v>
      </c>
      <c r="AB119" s="277">
        <v>0</v>
      </c>
      <c r="AC119" s="277">
        <v>0</v>
      </c>
      <c r="AD119" s="277">
        <v>0</v>
      </c>
      <c r="AE119" s="277">
        <v>0</v>
      </c>
      <c r="AF119" s="277">
        <v>0</v>
      </c>
      <c r="AG119" s="277">
        <v>0</v>
      </c>
      <c r="AH119" s="277">
        <v>0</v>
      </c>
      <c r="AI119" s="277">
        <v>0</v>
      </c>
      <c r="AJ119" s="277">
        <v>0</v>
      </c>
      <c r="AK119" s="277">
        <v>0</v>
      </c>
      <c r="AL119" s="277">
        <v>0</v>
      </c>
      <c r="AM119" s="277">
        <v>-270825.5</v>
      </c>
      <c r="AN119" s="277">
        <v>-216660.4</v>
      </c>
      <c r="AO119" s="277">
        <v>-54165.1</v>
      </c>
      <c r="AP119" s="277">
        <v>0</v>
      </c>
      <c r="AQ119" s="277">
        <v>-541651</v>
      </c>
      <c r="AR119" s="277">
        <v>38450968</v>
      </c>
      <c r="AS119" s="277">
        <v>30999050</v>
      </c>
      <c r="AT119" s="277">
        <v>7690194</v>
      </c>
      <c r="AU119" s="277">
        <v>0</v>
      </c>
      <c r="AV119" s="277">
        <v>77140211</v>
      </c>
      <c r="AW119" s="277">
        <v>331377</v>
      </c>
      <c r="AX119" s="277">
        <v>82212</v>
      </c>
      <c r="AY119" s="277">
        <v>0</v>
      </c>
      <c r="AZ119" s="277">
        <v>413589</v>
      </c>
      <c r="BA119" s="277">
        <v>322538</v>
      </c>
      <c r="BB119" s="277">
        <v>80635</v>
      </c>
      <c r="BC119" s="277">
        <v>0</v>
      </c>
      <c r="BD119" s="277">
        <v>403173</v>
      </c>
      <c r="BE119" s="277">
        <v>6516</v>
      </c>
      <c r="BF119" s="277">
        <v>1629</v>
      </c>
      <c r="BG119" s="277">
        <v>0</v>
      </c>
      <c r="BH119" s="277">
        <v>8145</v>
      </c>
      <c r="BI119" s="277">
        <v>0</v>
      </c>
      <c r="BJ119" s="277">
        <v>0</v>
      </c>
      <c r="BK119" s="277">
        <v>0</v>
      </c>
      <c r="BL119" s="277">
        <v>0</v>
      </c>
      <c r="BM119" s="277">
        <v>61770</v>
      </c>
      <c r="BN119" s="277">
        <v>15443</v>
      </c>
      <c r="BO119" s="277">
        <v>0</v>
      </c>
      <c r="BP119" s="277">
        <v>77213</v>
      </c>
      <c r="BQ119" s="277">
        <v>252654</v>
      </c>
      <c r="BR119" s="277">
        <v>63163</v>
      </c>
      <c r="BS119" s="277">
        <v>0</v>
      </c>
      <c r="BT119" s="277">
        <v>315817</v>
      </c>
      <c r="BU119" s="277">
        <v>974855</v>
      </c>
      <c r="BV119" s="277">
        <v>243082</v>
      </c>
      <c r="BW119" s="277">
        <v>0</v>
      </c>
      <c r="BX119" s="277">
        <v>1217937</v>
      </c>
      <c r="BY119" s="278" t="s">
        <v>131</v>
      </c>
      <c r="BZ119" s="279" t="s">
        <v>1040</v>
      </c>
      <c r="CA119" s="280" t="s">
        <v>984</v>
      </c>
    </row>
    <row r="120" spans="1:79" ht="12.75">
      <c r="A120" s="169">
        <v>113</v>
      </c>
      <c r="B120" s="172" t="s">
        <v>133</v>
      </c>
      <c r="C120" s="258" t="s">
        <v>134</v>
      </c>
      <c r="D120" s="277">
        <v>92135348.8</v>
      </c>
      <c r="E120" s="277">
        <v>646827.97</v>
      </c>
      <c r="F120" s="277">
        <v>0</v>
      </c>
      <c r="G120" s="277">
        <v>508126</v>
      </c>
      <c r="H120" s="277">
        <v>0</v>
      </c>
      <c r="I120" s="277">
        <v>508126</v>
      </c>
      <c r="J120" s="277">
        <v>0</v>
      </c>
      <c r="K120" s="277">
        <v>0</v>
      </c>
      <c r="L120" s="277">
        <v>0</v>
      </c>
      <c r="M120" s="277">
        <v>0</v>
      </c>
      <c r="N120" s="277">
        <v>0</v>
      </c>
      <c r="O120" s="277">
        <v>0</v>
      </c>
      <c r="P120" s="277">
        <v>92274050.8</v>
      </c>
      <c r="Q120" s="277">
        <v>46137025.8</v>
      </c>
      <c r="R120" s="277">
        <v>27682215</v>
      </c>
      <c r="S120" s="277">
        <v>18454810</v>
      </c>
      <c r="T120" s="277">
        <v>0</v>
      </c>
      <c r="U120" s="277">
        <v>92274051</v>
      </c>
      <c r="V120" s="277">
        <v>0</v>
      </c>
      <c r="W120" s="277">
        <v>46137025.8</v>
      </c>
      <c r="X120" s="277">
        <v>508126</v>
      </c>
      <c r="Y120" s="277">
        <v>508126</v>
      </c>
      <c r="Z120" s="277">
        <v>0</v>
      </c>
      <c r="AA120" s="277">
        <v>0</v>
      </c>
      <c r="AB120" s="277">
        <v>0</v>
      </c>
      <c r="AC120" s="277">
        <v>0</v>
      </c>
      <c r="AD120" s="277">
        <v>0</v>
      </c>
      <c r="AE120" s="277">
        <v>0</v>
      </c>
      <c r="AF120" s="277">
        <v>0</v>
      </c>
      <c r="AG120" s="277">
        <v>0</v>
      </c>
      <c r="AH120" s="277">
        <v>0</v>
      </c>
      <c r="AI120" s="277">
        <v>0</v>
      </c>
      <c r="AJ120" s="277">
        <v>0</v>
      </c>
      <c r="AK120" s="277">
        <v>0</v>
      </c>
      <c r="AL120" s="277">
        <v>0</v>
      </c>
      <c r="AM120" s="277">
        <v>-2412269.7</v>
      </c>
      <c r="AN120" s="277">
        <v>-1447361.8</v>
      </c>
      <c r="AO120" s="277">
        <v>-964907.87</v>
      </c>
      <c r="AP120" s="277">
        <v>0</v>
      </c>
      <c r="AQ120" s="277">
        <v>-4824539.3</v>
      </c>
      <c r="AR120" s="277">
        <v>43724756</v>
      </c>
      <c r="AS120" s="277">
        <v>26742979</v>
      </c>
      <c r="AT120" s="277">
        <v>17489902</v>
      </c>
      <c r="AU120" s="277">
        <v>0</v>
      </c>
      <c r="AV120" s="277">
        <v>87957638</v>
      </c>
      <c r="AW120" s="277">
        <v>299261</v>
      </c>
      <c r="AX120" s="277">
        <v>195911</v>
      </c>
      <c r="AY120" s="277">
        <v>0</v>
      </c>
      <c r="AZ120" s="277">
        <v>495172</v>
      </c>
      <c r="BA120" s="277">
        <v>758917</v>
      </c>
      <c r="BB120" s="277">
        <v>505945</v>
      </c>
      <c r="BC120" s="277">
        <v>0</v>
      </c>
      <c r="BD120" s="277">
        <v>1264862</v>
      </c>
      <c r="BE120" s="277">
        <v>0</v>
      </c>
      <c r="BF120" s="277">
        <v>0</v>
      </c>
      <c r="BG120" s="277">
        <v>0</v>
      </c>
      <c r="BH120" s="277">
        <v>0</v>
      </c>
      <c r="BI120" s="277">
        <v>0</v>
      </c>
      <c r="BJ120" s="277">
        <v>0</v>
      </c>
      <c r="BK120" s="277">
        <v>0</v>
      </c>
      <c r="BL120" s="277">
        <v>0</v>
      </c>
      <c r="BM120" s="277">
        <v>24028</v>
      </c>
      <c r="BN120" s="277">
        <v>16019</v>
      </c>
      <c r="BO120" s="277">
        <v>0</v>
      </c>
      <c r="BP120" s="277">
        <v>40047</v>
      </c>
      <c r="BQ120" s="277">
        <v>766601</v>
      </c>
      <c r="BR120" s="277">
        <v>511067</v>
      </c>
      <c r="BS120" s="277">
        <v>0</v>
      </c>
      <c r="BT120" s="277">
        <v>1277668</v>
      </c>
      <c r="BU120" s="277">
        <v>1848807</v>
      </c>
      <c r="BV120" s="277">
        <v>1228942</v>
      </c>
      <c r="BW120" s="277">
        <v>0</v>
      </c>
      <c r="BX120" s="277">
        <v>3077749</v>
      </c>
      <c r="BY120" s="278" t="s">
        <v>133</v>
      </c>
      <c r="BZ120" s="279" t="s">
        <v>995</v>
      </c>
      <c r="CA120" s="279" t="s">
        <v>983</v>
      </c>
    </row>
    <row r="121" spans="1:79" ht="12.75">
      <c r="A121" s="169">
        <v>114</v>
      </c>
      <c r="B121" s="172" t="s">
        <v>135</v>
      </c>
      <c r="C121" s="258" t="s">
        <v>136</v>
      </c>
      <c r="D121" s="277">
        <v>50661719</v>
      </c>
      <c r="E121" s="277">
        <v>215000</v>
      </c>
      <c r="F121" s="277">
        <v>0</v>
      </c>
      <c r="G121" s="277">
        <v>167391</v>
      </c>
      <c r="H121" s="277">
        <v>0</v>
      </c>
      <c r="I121" s="277">
        <v>167391</v>
      </c>
      <c r="J121" s="277">
        <v>0</v>
      </c>
      <c r="K121" s="277">
        <v>137279</v>
      </c>
      <c r="L121" s="277">
        <v>0</v>
      </c>
      <c r="M121" s="277">
        <v>0</v>
      </c>
      <c r="N121" s="277">
        <v>0</v>
      </c>
      <c r="O121" s="277">
        <v>0</v>
      </c>
      <c r="P121" s="277">
        <v>50572049</v>
      </c>
      <c r="Q121" s="277">
        <v>25286025</v>
      </c>
      <c r="R121" s="277">
        <v>24780304</v>
      </c>
      <c r="S121" s="277">
        <v>0</v>
      </c>
      <c r="T121" s="277">
        <v>505720</v>
      </c>
      <c r="U121" s="277">
        <v>50572049</v>
      </c>
      <c r="V121" s="277">
        <v>154402.5</v>
      </c>
      <c r="W121" s="277">
        <v>25131622.5</v>
      </c>
      <c r="X121" s="277">
        <v>167391</v>
      </c>
      <c r="Y121" s="277">
        <v>167391</v>
      </c>
      <c r="Z121" s="277">
        <v>137279</v>
      </c>
      <c r="AA121" s="277">
        <v>137279</v>
      </c>
      <c r="AB121" s="277">
        <v>0</v>
      </c>
      <c r="AC121" s="277">
        <v>0</v>
      </c>
      <c r="AD121" s="277">
        <v>0</v>
      </c>
      <c r="AE121" s="277">
        <v>0</v>
      </c>
      <c r="AF121" s="277">
        <v>0</v>
      </c>
      <c r="AG121" s="277">
        <v>154084.5</v>
      </c>
      <c r="AH121" s="277">
        <v>0</v>
      </c>
      <c r="AI121" s="277">
        <v>318</v>
      </c>
      <c r="AJ121" s="277">
        <v>154402.5</v>
      </c>
      <c r="AK121" s="277">
        <v>0</v>
      </c>
      <c r="AL121" s="277">
        <v>0</v>
      </c>
      <c r="AM121" s="277">
        <v>492125</v>
      </c>
      <c r="AN121" s="277">
        <v>482282.5</v>
      </c>
      <c r="AO121" s="277">
        <v>0</v>
      </c>
      <c r="AP121" s="277">
        <v>9842.5</v>
      </c>
      <c r="AQ121" s="277">
        <v>984250</v>
      </c>
      <c r="AR121" s="277">
        <v>25623748</v>
      </c>
      <c r="AS121" s="277">
        <v>25721341</v>
      </c>
      <c r="AT121" s="277">
        <v>0</v>
      </c>
      <c r="AU121" s="277">
        <v>515881</v>
      </c>
      <c r="AV121" s="277">
        <v>51860969</v>
      </c>
      <c r="AW121" s="277">
        <v>267931</v>
      </c>
      <c r="AX121" s="277">
        <v>0</v>
      </c>
      <c r="AY121" s="277">
        <v>5372</v>
      </c>
      <c r="AZ121" s="277">
        <v>273303</v>
      </c>
      <c r="BA121" s="277">
        <v>394158</v>
      </c>
      <c r="BB121" s="277">
        <v>0</v>
      </c>
      <c r="BC121" s="277">
        <v>8044</v>
      </c>
      <c r="BD121" s="277">
        <v>402202</v>
      </c>
      <c r="BE121" s="277">
        <v>139115</v>
      </c>
      <c r="BF121" s="277">
        <v>0</v>
      </c>
      <c r="BG121" s="277">
        <v>2839</v>
      </c>
      <c r="BH121" s="277">
        <v>141954</v>
      </c>
      <c r="BI121" s="277">
        <v>14856</v>
      </c>
      <c r="BJ121" s="277">
        <v>0</v>
      </c>
      <c r="BK121" s="277">
        <v>303</v>
      </c>
      <c r="BL121" s="277">
        <v>15159</v>
      </c>
      <c r="BM121" s="277">
        <v>49520</v>
      </c>
      <c r="BN121" s="277">
        <v>0</v>
      </c>
      <c r="BO121" s="277">
        <v>1011</v>
      </c>
      <c r="BP121" s="277">
        <v>50531</v>
      </c>
      <c r="BQ121" s="277">
        <v>218824</v>
      </c>
      <c r="BR121" s="277">
        <v>0</v>
      </c>
      <c r="BS121" s="277">
        <v>4466</v>
      </c>
      <c r="BT121" s="277">
        <v>223290</v>
      </c>
      <c r="BU121" s="277">
        <v>1084404</v>
      </c>
      <c r="BV121" s="277">
        <v>0</v>
      </c>
      <c r="BW121" s="277">
        <v>22035</v>
      </c>
      <c r="BX121" s="277">
        <v>1106439</v>
      </c>
      <c r="BY121" s="278" t="s">
        <v>891</v>
      </c>
      <c r="BZ121" s="279" t="s">
        <v>1003</v>
      </c>
      <c r="CA121" s="280" t="s">
        <v>1029</v>
      </c>
    </row>
    <row r="122" spans="1:79" ht="12.75">
      <c r="A122" s="169">
        <v>115</v>
      </c>
      <c r="B122" s="172" t="s">
        <v>137</v>
      </c>
      <c r="C122" s="258" t="s">
        <v>138</v>
      </c>
      <c r="D122" s="277">
        <v>26378137</v>
      </c>
      <c r="E122" s="277">
        <v>29783</v>
      </c>
      <c r="F122" s="277">
        <v>0</v>
      </c>
      <c r="G122" s="277">
        <v>154459</v>
      </c>
      <c r="H122" s="277">
        <v>0</v>
      </c>
      <c r="I122" s="277">
        <v>154459</v>
      </c>
      <c r="J122" s="277">
        <v>0</v>
      </c>
      <c r="K122" s="277">
        <v>0</v>
      </c>
      <c r="L122" s="277">
        <v>0</v>
      </c>
      <c r="M122" s="277">
        <v>0</v>
      </c>
      <c r="N122" s="277">
        <v>0</v>
      </c>
      <c r="O122" s="277">
        <v>0</v>
      </c>
      <c r="P122" s="277">
        <v>26253461</v>
      </c>
      <c r="Q122" s="277">
        <v>13126731</v>
      </c>
      <c r="R122" s="277">
        <v>10501384</v>
      </c>
      <c r="S122" s="277">
        <v>2362811</v>
      </c>
      <c r="T122" s="277">
        <v>262535</v>
      </c>
      <c r="U122" s="277">
        <v>26253461</v>
      </c>
      <c r="V122" s="277">
        <v>0</v>
      </c>
      <c r="W122" s="277">
        <v>13126731</v>
      </c>
      <c r="X122" s="277">
        <v>154459</v>
      </c>
      <c r="Y122" s="277">
        <v>154459</v>
      </c>
      <c r="Z122" s="277">
        <v>0</v>
      </c>
      <c r="AA122" s="277">
        <v>0</v>
      </c>
      <c r="AB122" s="277">
        <v>0</v>
      </c>
      <c r="AC122" s="277">
        <v>0</v>
      </c>
      <c r="AD122" s="277">
        <v>0</v>
      </c>
      <c r="AE122" s="277">
        <v>0</v>
      </c>
      <c r="AF122" s="277">
        <v>0</v>
      </c>
      <c r="AG122" s="277">
        <v>0</v>
      </c>
      <c r="AH122" s="277">
        <v>0</v>
      </c>
      <c r="AI122" s="277">
        <v>0</v>
      </c>
      <c r="AJ122" s="277">
        <v>0</v>
      </c>
      <c r="AK122" s="277">
        <v>0</v>
      </c>
      <c r="AL122" s="277">
        <v>0</v>
      </c>
      <c r="AM122" s="277">
        <v>-279351</v>
      </c>
      <c r="AN122" s="277">
        <v>-223480.8</v>
      </c>
      <c r="AO122" s="277">
        <v>-50283.18</v>
      </c>
      <c r="AP122" s="277">
        <v>-5587.02</v>
      </c>
      <c r="AQ122" s="277">
        <v>-558702</v>
      </c>
      <c r="AR122" s="277">
        <v>12847380</v>
      </c>
      <c r="AS122" s="277">
        <v>10432362</v>
      </c>
      <c r="AT122" s="277">
        <v>2312528</v>
      </c>
      <c r="AU122" s="277">
        <v>256948</v>
      </c>
      <c r="AV122" s="277">
        <v>25849218</v>
      </c>
      <c r="AW122" s="277">
        <v>113119</v>
      </c>
      <c r="AX122" s="277">
        <v>25083</v>
      </c>
      <c r="AY122" s="277">
        <v>2787</v>
      </c>
      <c r="AZ122" s="277">
        <v>140989</v>
      </c>
      <c r="BA122" s="277">
        <v>482070</v>
      </c>
      <c r="BB122" s="277">
        <v>108466</v>
      </c>
      <c r="BC122" s="277">
        <v>12052</v>
      </c>
      <c r="BD122" s="277">
        <v>602588</v>
      </c>
      <c r="BE122" s="277">
        <v>0</v>
      </c>
      <c r="BF122" s="277">
        <v>0</v>
      </c>
      <c r="BG122" s="277">
        <v>0</v>
      </c>
      <c r="BH122" s="277">
        <v>0</v>
      </c>
      <c r="BI122" s="277">
        <v>8085</v>
      </c>
      <c r="BJ122" s="277">
        <v>1819</v>
      </c>
      <c r="BK122" s="277">
        <v>202</v>
      </c>
      <c r="BL122" s="277">
        <v>10106</v>
      </c>
      <c r="BM122" s="277">
        <v>8085</v>
      </c>
      <c r="BN122" s="277">
        <v>1819</v>
      </c>
      <c r="BO122" s="277">
        <v>202</v>
      </c>
      <c r="BP122" s="277">
        <v>10106</v>
      </c>
      <c r="BQ122" s="277">
        <v>202123</v>
      </c>
      <c r="BR122" s="277">
        <v>45478</v>
      </c>
      <c r="BS122" s="277">
        <v>5053</v>
      </c>
      <c r="BT122" s="277">
        <v>252654</v>
      </c>
      <c r="BU122" s="277">
        <v>813482</v>
      </c>
      <c r="BV122" s="277">
        <v>182665</v>
      </c>
      <c r="BW122" s="277">
        <v>20296</v>
      </c>
      <c r="BX122" s="277">
        <v>1016443</v>
      </c>
      <c r="BY122" s="278" t="s">
        <v>137</v>
      </c>
      <c r="BZ122" s="279" t="s">
        <v>1033</v>
      </c>
      <c r="CA122" s="280" t="s">
        <v>1034</v>
      </c>
    </row>
    <row r="123" spans="1:79" ht="12.75">
      <c r="A123" s="169">
        <v>116</v>
      </c>
      <c r="B123" s="172" t="s">
        <v>139</v>
      </c>
      <c r="C123" s="258" t="s">
        <v>140</v>
      </c>
      <c r="D123" s="277">
        <v>178288750</v>
      </c>
      <c r="E123" s="277">
        <v>0</v>
      </c>
      <c r="F123" s="277">
        <v>708121</v>
      </c>
      <c r="G123" s="277">
        <v>565150</v>
      </c>
      <c r="H123" s="277">
        <v>0</v>
      </c>
      <c r="I123" s="277">
        <v>565150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177015479</v>
      </c>
      <c r="Q123" s="277">
        <v>88507739</v>
      </c>
      <c r="R123" s="277">
        <v>53104644</v>
      </c>
      <c r="S123" s="277">
        <v>35403096</v>
      </c>
      <c r="T123" s="277">
        <v>0</v>
      </c>
      <c r="U123" s="277">
        <v>177015479</v>
      </c>
      <c r="V123" s="277">
        <v>0</v>
      </c>
      <c r="W123" s="277">
        <v>88507739</v>
      </c>
      <c r="X123" s="277">
        <v>565150</v>
      </c>
      <c r="Y123" s="277">
        <v>565150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  <c r="AE123" s="277">
        <v>0</v>
      </c>
      <c r="AF123" s="277">
        <v>0</v>
      </c>
      <c r="AG123" s="277">
        <v>0</v>
      </c>
      <c r="AH123" s="277">
        <v>0</v>
      </c>
      <c r="AI123" s="277">
        <v>0</v>
      </c>
      <c r="AJ123" s="277">
        <v>0</v>
      </c>
      <c r="AK123" s="277">
        <v>0</v>
      </c>
      <c r="AL123" s="277">
        <v>0</v>
      </c>
      <c r="AM123" s="277">
        <v>-8772748.5</v>
      </c>
      <c r="AN123" s="277">
        <v>-5263649.1</v>
      </c>
      <c r="AO123" s="277">
        <v>-3509099.4</v>
      </c>
      <c r="AP123" s="277">
        <v>0</v>
      </c>
      <c r="AQ123" s="277">
        <v>-17545497</v>
      </c>
      <c r="AR123" s="277">
        <v>79734991</v>
      </c>
      <c r="AS123" s="277">
        <v>48406145</v>
      </c>
      <c r="AT123" s="277">
        <v>31893997</v>
      </c>
      <c r="AU123" s="277">
        <v>0</v>
      </c>
      <c r="AV123" s="277">
        <v>160035132</v>
      </c>
      <c r="AW123" s="277">
        <v>569743</v>
      </c>
      <c r="AX123" s="277">
        <v>375829</v>
      </c>
      <c r="AY123" s="277">
        <v>0</v>
      </c>
      <c r="AZ123" s="277">
        <v>945572</v>
      </c>
      <c r="BA123" s="277">
        <v>299200</v>
      </c>
      <c r="BB123" s="277">
        <v>199466</v>
      </c>
      <c r="BC123" s="277">
        <v>0</v>
      </c>
      <c r="BD123" s="277">
        <v>498666</v>
      </c>
      <c r="BE123" s="277">
        <v>31495</v>
      </c>
      <c r="BF123" s="277">
        <v>20996</v>
      </c>
      <c r="BG123" s="277">
        <v>0</v>
      </c>
      <c r="BH123" s="277">
        <v>52491</v>
      </c>
      <c r="BI123" s="277">
        <v>126841</v>
      </c>
      <c r="BJ123" s="277">
        <v>84561</v>
      </c>
      <c r="BK123" s="277">
        <v>0</v>
      </c>
      <c r="BL123" s="277">
        <v>211402</v>
      </c>
      <c r="BM123" s="277">
        <v>92209</v>
      </c>
      <c r="BN123" s="277">
        <v>61473</v>
      </c>
      <c r="BO123" s="277">
        <v>0</v>
      </c>
      <c r="BP123" s="277">
        <v>153682</v>
      </c>
      <c r="BQ123" s="277">
        <v>656453</v>
      </c>
      <c r="BR123" s="277">
        <v>437635</v>
      </c>
      <c r="BS123" s="277">
        <v>0</v>
      </c>
      <c r="BT123" s="277">
        <v>1094088</v>
      </c>
      <c r="BU123" s="277">
        <v>1775941</v>
      </c>
      <c r="BV123" s="277">
        <v>1179960</v>
      </c>
      <c r="BW123" s="277">
        <v>0</v>
      </c>
      <c r="BX123" s="277">
        <v>2955901</v>
      </c>
      <c r="BY123" s="278" t="s">
        <v>892</v>
      </c>
      <c r="BZ123" s="279" t="s">
        <v>995</v>
      </c>
      <c r="CA123" s="279" t="s">
        <v>983</v>
      </c>
    </row>
    <row r="124" spans="1:79" ht="12.75">
      <c r="A124" s="169">
        <v>117</v>
      </c>
      <c r="B124" s="172" t="s">
        <v>141</v>
      </c>
      <c r="C124" s="258" t="s">
        <v>142</v>
      </c>
      <c r="D124" s="277">
        <v>37108595.8</v>
      </c>
      <c r="E124" s="277">
        <v>14130.84</v>
      </c>
      <c r="F124" s="277">
        <v>0</v>
      </c>
      <c r="G124" s="277">
        <v>124037</v>
      </c>
      <c r="H124" s="277">
        <v>0</v>
      </c>
      <c r="I124" s="277">
        <v>124037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36998689.6</v>
      </c>
      <c r="Q124" s="277">
        <v>18499344.6</v>
      </c>
      <c r="R124" s="277">
        <v>14799476</v>
      </c>
      <c r="S124" s="277">
        <v>3329882</v>
      </c>
      <c r="T124" s="277">
        <v>369987</v>
      </c>
      <c r="U124" s="277">
        <v>36998690</v>
      </c>
      <c r="V124" s="277">
        <v>0</v>
      </c>
      <c r="W124" s="277">
        <v>18499344.6</v>
      </c>
      <c r="X124" s="277">
        <v>124037</v>
      </c>
      <c r="Y124" s="277">
        <v>124037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  <c r="AE124" s="277">
        <v>0</v>
      </c>
      <c r="AF124" s="277">
        <v>0</v>
      </c>
      <c r="AG124" s="277">
        <v>0</v>
      </c>
      <c r="AH124" s="277">
        <v>0</v>
      </c>
      <c r="AI124" s="277">
        <v>0</v>
      </c>
      <c r="AJ124" s="277">
        <v>0</v>
      </c>
      <c r="AK124" s="277">
        <v>0</v>
      </c>
      <c r="AL124" s="277">
        <v>0</v>
      </c>
      <c r="AM124" s="277">
        <v>165717.12</v>
      </c>
      <c r="AN124" s="277">
        <v>132573.69</v>
      </c>
      <c r="AO124" s="277">
        <v>29829.08</v>
      </c>
      <c r="AP124" s="277">
        <v>3314.34</v>
      </c>
      <c r="AQ124" s="277">
        <v>331434.23</v>
      </c>
      <c r="AR124" s="277">
        <v>18665062</v>
      </c>
      <c r="AS124" s="277">
        <v>15056087</v>
      </c>
      <c r="AT124" s="277">
        <v>3359711</v>
      </c>
      <c r="AU124" s="277">
        <v>373301</v>
      </c>
      <c r="AV124" s="277">
        <v>37454161</v>
      </c>
      <c r="AW124" s="277">
        <v>158424</v>
      </c>
      <c r="AX124" s="277">
        <v>35349</v>
      </c>
      <c r="AY124" s="277">
        <v>3928</v>
      </c>
      <c r="AZ124" s="277">
        <v>197701</v>
      </c>
      <c r="BA124" s="277">
        <v>315344</v>
      </c>
      <c r="BB124" s="277">
        <v>70952</v>
      </c>
      <c r="BC124" s="277">
        <v>7884</v>
      </c>
      <c r="BD124" s="277">
        <v>394180</v>
      </c>
      <c r="BE124" s="277">
        <v>0</v>
      </c>
      <c r="BF124" s="277">
        <v>0</v>
      </c>
      <c r="BG124" s="277">
        <v>0</v>
      </c>
      <c r="BH124" s="277">
        <v>0</v>
      </c>
      <c r="BI124" s="277">
        <v>1812</v>
      </c>
      <c r="BJ124" s="277">
        <v>408</v>
      </c>
      <c r="BK124" s="277">
        <v>45</v>
      </c>
      <c r="BL124" s="277">
        <v>2265</v>
      </c>
      <c r="BM124" s="277">
        <v>2021</v>
      </c>
      <c r="BN124" s="277">
        <v>455</v>
      </c>
      <c r="BO124" s="277">
        <v>51</v>
      </c>
      <c r="BP124" s="277">
        <v>2527</v>
      </c>
      <c r="BQ124" s="277">
        <v>164068</v>
      </c>
      <c r="BR124" s="277">
        <v>36915</v>
      </c>
      <c r="BS124" s="277">
        <v>4102</v>
      </c>
      <c r="BT124" s="277">
        <v>205085</v>
      </c>
      <c r="BU124" s="277">
        <v>641669</v>
      </c>
      <c r="BV124" s="277">
        <v>144079</v>
      </c>
      <c r="BW124" s="277">
        <v>16010</v>
      </c>
      <c r="BX124" s="277">
        <v>801758</v>
      </c>
      <c r="BY124" s="278" t="s">
        <v>141</v>
      </c>
      <c r="BZ124" s="279" t="s">
        <v>1007</v>
      </c>
      <c r="CA124" s="280" t="s">
        <v>1008</v>
      </c>
    </row>
    <row r="125" spans="1:79" ht="12.75">
      <c r="A125" s="169">
        <v>118</v>
      </c>
      <c r="B125" s="172" t="s">
        <v>143</v>
      </c>
      <c r="C125" s="258" t="s">
        <v>144</v>
      </c>
      <c r="D125" s="277">
        <v>64273982</v>
      </c>
      <c r="E125" s="277">
        <v>84986</v>
      </c>
      <c r="F125" s="277">
        <v>0</v>
      </c>
      <c r="G125" s="277">
        <v>309403</v>
      </c>
      <c r="H125" s="277">
        <v>0</v>
      </c>
      <c r="I125" s="277">
        <v>309403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64049565</v>
      </c>
      <c r="Q125" s="277">
        <v>32024782</v>
      </c>
      <c r="R125" s="277">
        <v>19214870</v>
      </c>
      <c r="S125" s="277">
        <v>12809913</v>
      </c>
      <c r="T125" s="277">
        <v>0</v>
      </c>
      <c r="U125" s="277">
        <v>64049565</v>
      </c>
      <c r="V125" s="277">
        <v>0</v>
      </c>
      <c r="W125" s="277">
        <v>32024782</v>
      </c>
      <c r="X125" s="277">
        <v>309403</v>
      </c>
      <c r="Y125" s="277">
        <v>309403</v>
      </c>
      <c r="Z125" s="277">
        <v>0</v>
      </c>
      <c r="AA125" s="277">
        <v>0</v>
      </c>
      <c r="AB125" s="277">
        <v>0</v>
      </c>
      <c r="AC125" s="277">
        <v>0</v>
      </c>
      <c r="AD125" s="277">
        <v>0</v>
      </c>
      <c r="AE125" s="277">
        <v>0</v>
      </c>
      <c r="AF125" s="277">
        <v>0</v>
      </c>
      <c r="AG125" s="277">
        <v>0</v>
      </c>
      <c r="AH125" s="277">
        <v>0</v>
      </c>
      <c r="AI125" s="277">
        <v>0</v>
      </c>
      <c r="AJ125" s="277">
        <v>0</v>
      </c>
      <c r="AK125" s="277">
        <v>0</v>
      </c>
      <c r="AL125" s="277">
        <v>0</v>
      </c>
      <c r="AM125" s="277">
        <v>413505.23</v>
      </c>
      <c r="AN125" s="277">
        <v>248103.14</v>
      </c>
      <c r="AO125" s="277">
        <v>165402.09</v>
      </c>
      <c r="AP125" s="277">
        <v>0</v>
      </c>
      <c r="AQ125" s="277">
        <v>827010.46</v>
      </c>
      <c r="AR125" s="277">
        <v>32438287</v>
      </c>
      <c r="AS125" s="277">
        <v>19772376</v>
      </c>
      <c r="AT125" s="277">
        <v>12975315</v>
      </c>
      <c r="AU125" s="277">
        <v>0</v>
      </c>
      <c r="AV125" s="277">
        <v>65185978</v>
      </c>
      <c r="AW125" s="277">
        <v>207264</v>
      </c>
      <c r="AX125" s="277">
        <v>135986</v>
      </c>
      <c r="AY125" s="277">
        <v>0</v>
      </c>
      <c r="AZ125" s="277">
        <v>343250</v>
      </c>
      <c r="BA125" s="277">
        <v>599503</v>
      </c>
      <c r="BB125" s="277">
        <v>399668</v>
      </c>
      <c r="BC125" s="277">
        <v>0</v>
      </c>
      <c r="BD125" s="277">
        <v>999171</v>
      </c>
      <c r="BE125" s="277">
        <v>0</v>
      </c>
      <c r="BF125" s="277">
        <v>0</v>
      </c>
      <c r="BG125" s="277">
        <v>0</v>
      </c>
      <c r="BH125" s="277">
        <v>0</v>
      </c>
      <c r="BI125" s="277">
        <v>0</v>
      </c>
      <c r="BJ125" s="277">
        <v>0</v>
      </c>
      <c r="BK125" s="277">
        <v>0</v>
      </c>
      <c r="BL125" s="277">
        <v>0</v>
      </c>
      <c r="BM125" s="277">
        <v>0</v>
      </c>
      <c r="BN125" s="277">
        <v>0</v>
      </c>
      <c r="BO125" s="277">
        <v>0</v>
      </c>
      <c r="BP125" s="277">
        <v>0</v>
      </c>
      <c r="BQ125" s="277">
        <v>649517</v>
      </c>
      <c r="BR125" s="277">
        <v>433012</v>
      </c>
      <c r="BS125" s="277">
        <v>0</v>
      </c>
      <c r="BT125" s="277">
        <v>1082529</v>
      </c>
      <c r="BU125" s="277">
        <v>1456284</v>
      </c>
      <c r="BV125" s="277">
        <v>968666</v>
      </c>
      <c r="BW125" s="277">
        <v>0</v>
      </c>
      <c r="BX125" s="277">
        <v>2424950</v>
      </c>
      <c r="BY125" s="278" t="s">
        <v>143</v>
      </c>
      <c r="BZ125" s="279" t="s">
        <v>995</v>
      </c>
      <c r="CA125" s="279" t="s">
        <v>983</v>
      </c>
    </row>
    <row r="126" spans="1:79" ht="12.75">
      <c r="A126" s="169">
        <v>119</v>
      </c>
      <c r="B126" s="172" t="s">
        <v>145</v>
      </c>
      <c r="C126" s="258" t="s">
        <v>146</v>
      </c>
      <c r="D126" s="277">
        <v>43071609</v>
      </c>
      <c r="E126" s="277">
        <v>0</v>
      </c>
      <c r="F126" s="277">
        <v>10692</v>
      </c>
      <c r="G126" s="277">
        <v>123090</v>
      </c>
      <c r="H126" s="277">
        <v>0</v>
      </c>
      <c r="I126" s="277">
        <v>123090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42937827</v>
      </c>
      <c r="Q126" s="277">
        <v>21468914</v>
      </c>
      <c r="R126" s="277">
        <v>17175131</v>
      </c>
      <c r="S126" s="277">
        <v>3864404</v>
      </c>
      <c r="T126" s="277">
        <v>429378</v>
      </c>
      <c r="U126" s="277">
        <v>42937827</v>
      </c>
      <c r="V126" s="277">
        <v>0</v>
      </c>
      <c r="W126" s="277">
        <v>21468914</v>
      </c>
      <c r="X126" s="277">
        <v>123090</v>
      </c>
      <c r="Y126" s="277">
        <v>123090</v>
      </c>
      <c r="Z126" s="277">
        <v>0</v>
      </c>
      <c r="AA126" s="277">
        <v>0</v>
      </c>
      <c r="AB126" s="277">
        <v>0</v>
      </c>
      <c r="AC126" s="277">
        <v>0</v>
      </c>
      <c r="AD126" s="277">
        <v>0</v>
      </c>
      <c r="AE126" s="277">
        <v>0</v>
      </c>
      <c r="AF126" s="277">
        <v>0</v>
      </c>
      <c r="AG126" s="277">
        <v>0</v>
      </c>
      <c r="AH126" s="277">
        <v>0</v>
      </c>
      <c r="AI126" s="277">
        <v>0</v>
      </c>
      <c r="AJ126" s="277">
        <v>0</v>
      </c>
      <c r="AK126" s="277">
        <v>0</v>
      </c>
      <c r="AL126" s="277">
        <v>0</v>
      </c>
      <c r="AM126" s="277">
        <v>-1515483</v>
      </c>
      <c r="AN126" s="277">
        <v>-1212386.4</v>
      </c>
      <c r="AO126" s="277">
        <v>-272786.94</v>
      </c>
      <c r="AP126" s="277">
        <v>-30309.66</v>
      </c>
      <c r="AQ126" s="277">
        <v>-3030966</v>
      </c>
      <c r="AR126" s="277">
        <v>19953431</v>
      </c>
      <c r="AS126" s="277">
        <v>16085835</v>
      </c>
      <c r="AT126" s="277">
        <v>3591617</v>
      </c>
      <c r="AU126" s="277">
        <v>399068</v>
      </c>
      <c r="AV126" s="277">
        <v>40029951</v>
      </c>
      <c r="AW126" s="277">
        <v>183633</v>
      </c>
      <c r="AX126" s="277">
        <v>41023</v>
      </c>
      <c r="AY126" s="277">
        <v>4558</v>
      </c>
      <c r="AZ126" s="277">
        <v>229214</v>
      </c>
      <c r="BA126" s="277">
        <v>161758</v>
      </c>
      <c r="BB126" s="277">
        <v>36395</v>
      </c>
      <c r="BC126" s="277">
        <v>4044</v>
      </c>
      <c r="BD126" s="277">
        <v>202197</v>
      </c>
      <c r="BE126" s="277">
        <v>0</v>
      </c>
      <c r="BF126" s="277">
        <v>0</v>
      </c>
      <c r="BG126" s="277">
        <v>0</v>
      </c>
      <c r="BH126" s="277">
        <v>0</v>
      </c>
      <c r="BI126" s="277">
        <v>0</v>
      </c>
      <c r="BJ126" s="277">
        <v>0</v>
      </c>
      <c r="BK126" s="277">
        <v>0</v>
      </c>
      <c r="BL126" s="277">
        <v>0</v>
      </c>
      <c r="BM126" s="277">
        <v>0</v>
      </c>
      <c r="BN126" s="277">
        <v>0</v>
      </c>
      <c r="BO126" s="277">
        <v>0</v>
      </c>
      <c r="BP126" s="277">
        <v>0</v>
      </c>
      <c r="BQ126" s="277">
        <v>144316</v>
      </c>
      <c r="BR126" s="277">
        <v>32471</v>
      </c>
      <c r="BS126" s="277">
        <v>3608</v>
      </c>
      <c r="BT126" s="277">
        <v>180395</v>
      </c>
      <c r="BU126" s="277">
        <v>489707</v>
      </c>
      <c r="BV126" s="277">
        <v>109889</v>
      </c>
      <c r="BW126" s="277">
        <v>12210</v>
      </c>
      <c r="BX126" s="277">
        <v>611806</v>
      </c>
      <c r="BY126" s="278" t="s">
        <v>145</v>
      </c>
      <c r="BZ126" s="279" t="s">
        <v>998</v>
      </c>
      <c r="CA126" s="280" t="s">
        <v>999</v>
      </c>
    </row>
    <row r="127" spans="1:79" ht="12.75">
      <c r="A127" s="169">
        <v>120</v>
      </c>
      <c r="B127" s="172" t="s">
        <v>147</v>
      </c>
      <c r="C127" s="258" t="s">
        <v>148</v>
      </c>
      <c r="D127" s="277">
        <v>60422995</v>
      </c>
      <c r="E127" s="277">
        <v>36735</v>
      </c>
      <c r="F127" s="277">
        <v>0</v>
      </c>
      <c r="G127" s="277">
        <v>285902</v>
      </c>
      <c r="H127" s="277">
        <v>0</v>
      </c>
      <c r="I127" s="277">
        <v>285902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60173828</v>
      </c>
      <c r="Q127" s="277">
        <v>30086914</v>
      </c>
      <c r="R127" s="277">
        <v>24069531</v>
      </c>
      <c r="S127" s="277">
        <v>5415645</v>
      </c>
      <c r="T127" s="277">
        <v>601738</v>
      </c>
      <c r="U127" s="277">
        <v>60173828</v>
      </c>
      <c r="V127" s="277">
        <v>0</v>
      </c>
      <c r="W127" s="277">
        <v>30086914</v>
      </c>
      <c r="X127" s="277">
        <v>285902</v>
      </c>
      <c r="Y127" s="277">
        <v>285902</v>
      </c>
      <c r="Z127" s="277">
        <v>0</v>
      </c>
      <c r="AA127" s="277">
        <v>0</v>
      </c>
      <c r="AB127" s="277">
        <v>0</v>
      </c>
      <c r="AC127" s="277">
        <v>0</v>
      </c>
      <c r="AD127" s="277">
        <v>0</v>
      </c>
      <c r="AE127" s="277">
        <v>0</v>
      </c>
      <c r="AF127" s="277">
        <v>0</v>
      </c>
      <c r="AG127" s="277">
        <v>0</v>
      </c>
      <c r="AH127" s="277">
        <v>0</v>
      </c>
      <c r="AI127" s="277">
        <v>0</v>
      </c>
      <c r="AJ127" s="277">
        <v>0</v>
      </c>
      <c r="AK127" s="277">
        <v>0</v>
      </c>
      <c r="AL127" s="277">
        <v>0</v>
      </c>
      <c r="AM127" s="277">
        <v>-123500</v>
      </c>
      <c r="AN127" s="277">
        <v>-98800</v>
      </c>
      <c r="AO127" s="277">
        <v>-22230</v>
      </c>
      <c r="AP127" s="277">
        <v>-2470</v>
      </c>
      <c r="AQ127" s="277">
        <v>-247000</v>
      </c>
      <c r="AR127" s="277">
        <v>29963414</v>
      </c>
      <c r="AS127" s="277">
        <v>24256633</v>
      </c>
      <c r="AT127" s="277">
        <v>5393415</v>
      </c>
      <c r="AU127" s="277">
        <v>599268</v>
      </c>
      <c r="AV127" s="277">
        <v>60212730</v>
      </c>
      <c r="AW127" s="277">
        <v>258550</v>
      </c>
      <c r="AX127" s="277">
        <v>57491</v>
      </c>
      <c r="AY127" s="277">
        <v>6388</v>
      </c>
      <c r="AZ127" s="277">
        <v>322429</v>
      </c>
      <c r="BA127" s="277">
        <v>874714</v>
      </c>
      <c r="BB127" s="277">
        <v>196811</v>
      </c>
      <c r="BC127" s="277">
        <v>21868</v>
      </c>
      <c r="BD127" s="277">
        <v>1093393</v>
      </c>
      <c r="BE127" s="277">
        <v>5689</v>
      </c>
      <c r="BF127" s="277">
        <v>1280</v>
      </c>
      <c r="BG127" s="277">
        <v>142</v>
      </c>
      <c r="BH127" s="277">
        <v>7111</v>
      </c>
      <c r="BI127" s="277">
        <v>7793</v>
      </c>
      <c r="BJ127" s="277">
        <v>1754</v>
      </c>
      <c r="BK127" s="277">
        <v>195</v>
      </c>
      <c r="BL127" s="277">
        <v>9742</v>
      </c>
      <c r="BM127" s="277">
        <v>22892</v>
      </c>
      <c r="BN127" s="277">
        <v>5151</v>
      </c>
      <c r="BO127" s="277">
        <v>572</v>
      </c>
      <c r="BP127" s="277">
        <v>28615</v>
      </c>
      <c r="BQ127" s="277">
        <v>5458</v>
      </c>
      <c r="BR127" s="277">
        <v>1228</v>
      </c>
      <c r="BS127" s="277">
        <v>136</v>
      </c>
      <c r="BT127" s="277">
        <v>6822</v>
      </c>
      <c r="BU127" s="277">
        <v>1175096</v>
      </c>
      <c r="BV127" s="277">
        <v>263715</v>
      </c>
      <c r="BW127" s="277">
        <v>29301</v>
      </c>
      <c r="BX127" s="277">
        <v>1468112</v>
      </c>
      <c r="BY127" s="278" t="s">
        <v>147</v>
      </c>
      <c r="BZ127" s="279" t="s">
        <v>1033</v>
      </c>
      <c r="CA127" s="280" t="s">
        <v>1034</v>
      </c>
    </row>
    <row r="128" spans="1:79" ht="12.75">
      <c r="A128" s="169">
        <v>121</v>
      </c>
      <c r="B128" s="172" t="s">
        <v>149</v>
      </c>
      <c r="C128" s="258" t="s">
        <v>150</v>
      </c>
      <c r="D128" s="277">
        <v>48721530</v>
      </c>
      <c r="E128" s="277">
        <v>0</v>
      </c>
      <c r="F128" s="277">
        <v>152489</v>
      </c>
      <c r="G128" s="277">
        <v>257701</v>
      </c>
      <c r="H128" s="277">
        <v>0</v>
      </c>
      <c r="I128" s="277">
        <v>257701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48311340</v>
      </c>
      <c r="Q128" s="277">
        <v>24155670</v>
      </c>
      <c r="R128" s="277">
        <v>14493402</v>
      </c>
      <c r="S128" s="277">
        <v>9662268</v>
      </c>
      <c r="T128" s="277">
        <v>0</v>
      </c>
      <c r="U128" s="277">
        <v>48311340</v>
      </c>
      <c r="V128" s="277">
        <v>0</v>
      </c>
      <c r="W128" s="277">
        <v>24155670</v>
      </c>
      <c r="X128" s="277">
        <v>257701</v>
      </c>
      <c r="Y128" s="277">
        <v>257701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  <c r="AE128" s="277">
        <v>0</v>
      </c>
      <c r="AF128" s="277">
        <v>0</v>
      </c>
      <c r="AG128" s="277">
        <v>0</v>
      </c>
      <c r="AH128" s="277">
        <v>0</v>
      </c>
      <c r="AI128" s="277">
        <v>0</v>
      </c>
      <c r="AJ128" s="277">
        <v>0</v>
      </c>
      <c r="AK128" s="277">
        <v>0</v>
      </c>
      <c r="AL128" s="277">
        <v>0</v>
      </c>
      <c r="AM128" s="277">
        <v>0</v>
      </c>
      <c r="AN128" s="277">
        <v>0</v>
      </c>
      <c r="AO128" s="277">
        <v>0</v>
      </c>
      <c r="AP128" s="277">
        <v>0</v>
      </c>
      <c r="AQ128" s="277">
        <v>0</v>
      </c>
      <c r="AR128" s="277">
        <v>24155670</v>
      </c>
      <c r="AS128" s="277">
        <v>14751103</v>
      </c>
      <c r="AT128" s="277">
        <v>9662268</v>
      </c>
      <c r="AU128" s="277">
        <v>0</v>
      </c>
      <c r="AV128" s="277">
        <v>48569041</v>
      </c>
      <c r="AW128" s="277">
        <v>156593</v>
      </c>
      <c r="AX128" s="277">
        <v>102572</v>
      </c>
      <c r="AY128" s="277">
        <v>0</v>
      </c>
      <c r="AZ128" s="277">
        <v>259165</v>
      </c>
      <c r="BA128" s="277">
        <v>435980</v>
      </c>
      <c r="BB128" s="277">
        <v>290653</v>
      </c>
      <c r="BC128" s="277">
        <v>0</v>
      </c>
      <c r="BD128" s="277">
        <v>726633</v>
      </c>
      <c r="BE128" s="277">
        <v>0</v>
      </c>
      <c r="BF128" s="277">
        <v>0</v>
      </c>
      <c r="BG128" s="277">
        <v>0</v>
      </c>
      <c r="BH128" s="277">
        <v>0</v>
      </c>
      <c r="BI128" s="277">
        <v>75796</v>
      </c>
      <c r="BJ128" s="277">
        <v>50531</v>
      </c>
      <c r="BK128" s="277">
        <v>0</v>
      </c>
      <c r="BL128" s="277">
        <v>126327</v>
      </c>
      <c r="BM128" s="277">
        <v>75796</v>
      </c>
      <c r="BN128" s="277">
        <v>50531</v>
      </c>
      <c r="BO128" s="277">
        <v>0</v>
      </c>
      <c r="BP128" s="277">
        <v>126327</v>
      </c>
      <c r="BQ128" s="277">
        <v>227389</v>
      </c>
      <c r="BR128" s="277">
        <v>151592</v>
      </c>
      <c r="BS128" s="277">
        <v>0</v>
      </c>
      <c r="BT128" s="277">
        <v>378981</v>
      </c>
      <c r="BU128" s="277">
        <v>971554</v>
      </c>
      <c r="BV128" s="277">
        <v>645879</v>
      </c>
      <c r="BW128" s="277">
        <v>0</v>
      </c>
      <c r="BX128" s="277">
        <v>1617433</v>
      </c>
      <c r="BY128" s="278" t="s">
        <v>149</v>
      </c>
      <c r="BZ128" s="279" t="s">
        <v>995</v>
      </c>
      <c r="CA128" s="279" t="s">
        <v>983</v>
      </c>
    </row>
    <row r="129" spans="1:79" ht="12.75">
      <c r="A129" s="169">
        <v>122</v>
      </c>
      <c r="B129" s="172" t="s">
        <v>151</v>
      </c>
      <c r="C129" s="258" t="s">
        <v>152</v>
      </c>
      <c r="D129" s="277">
        <v>29218623</v>
      </c>
      <c r="E129" s="277">
        <v>27895</v>
      </c>
      <c r="F129" s="277">
        <v>0</v>
      </c>
      <c r="G129" s="277">
        <v>99703</v>
      </c>
      <c r="H129" s="277">
        <v>0</v>
      </c>
      <c r="I129" s="277">
        <v>99703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29146815</v>
      </c>
      <c r="Q129" s="277">
        <v>14573408</v>
      </c>
      <c r="R129" s="277">
        <v>11658726</v>
      </c>
      <c r="S129" s="277">
        <v>2623213</v>
      </c>
      <c r="T129" s="277">
        <v>291468</v>
      </c>
      <c r="U129" s="277">
        <v>29146815</v>
      </c>
      <c r="V129" s="277">
        <v>0</v>
      </c>
      <c r="W129" s="277">
        <v>14573408</v>
      </c>
      <c r="X129" s="277">
        <v>99703</v>
      </c>
      <c r="Y129" s="277">
        <v>99703</v>
      </c>
      <c r="Z129" s="277">
        <v>0</v>
      </c>
      <c r="AA129" s="277">
        <v>0</v>
      </c>
      <c r="AB129" s="277">
        <v>0</v>
      </c>
      <c r="AC129" s="277">
        <v>0</v>
      </c>
      <c r="AD129" s="277">
        <v>0</v>
      </c>
      <c r="AE129" s="277">
        <v>0</v>
      </c>
      <c r="AF129" s="277">
        <v>0</v>
      </c>
      <c r="AG129" s="277">
        <v>0</v>
      </c>
      <c r="AH129" s="277">
        <v>0</v>
      </c>
      <c r="AI129" s="277">
        <v>0</v>
      </c>
      <c r="AJ129" s="277">
        <v>0</v>
      </c>
      <c r="AK129" s="277">
        <v>0</v>
      </c>
      <c r="AL129" s="277">
        <v>0</v>
      </c>
      <c r="AM129" s="277">
        <v>1087</v>
      </c>
      <c r="AN129" s="277">
        <v>869.6</v>
      </c>
      <c r="AO129" s="277">
        <v>195.66</v>
      </c>
      <c r="AP129" s="277">
        <v>21.74</v>
      </c>
      <c r="AQ129" s="277">
        <v>2174</v>
      </c>
      <c r="AR129" s="277">
        <v>14574495</v>
      </c>
      <c r="AS129" s="277">
        <v>11759299</v>
      </c>
      <c r="AT129" s="277">
        <v>2623409</v>
      </c>
      <c r="AU129" s="277">
        <v>291490</v>
      </c>
      <c r="AV129" s="277">
        <v>29248692</v>
      </c>
      <c r="AW129" s="277">
        <v>124824</v>
      </c>
      <c r="AX129" s="277">
        <v>27847</v>
      </c>
      <c r="AY129" s="277">
        <v>3094</v>
      </c>
      <c r="AZ129" s="277">
        <v>155765</v>
      </c>
      <c r="BA129" s="277">
        <v>199102</v>
      </c>
      <c r="BB129" s="277">
        <v>44798</v>
      </c>
      <c r="BC129" s="277">
        <v>4978</v>
      </c>
      <c r="BD129" s="277">
        <v>248878</v>
      </c>
      <c r="BE129" s="277">
        <v>5414</v>
      </c>
      <c r="BF129" s="277">
        <v>1218</v>
      </c>
      <c r="BG129" s="277">
        <v>135</v>
      </c>
      <c r="BH129" s="277">
        <v>6767</v>
      </c>
      <c r="BI129" s="277">
        <v>4042</v>
      </c>
      <c r="BJ129" s="277">
        <v>910</v>
      </c>
      <c r="BK129" s="277">
        <v>101</v>
      </c>
      <c r="BL129" s="277">
        <v>5053</v>
      </c>
      <c r="BM129" s="277">
        <v>4447</v>
      </c>
      <c r="BN129" s="277">
        <v>1000</v>
      </c>
      <c r="BO129" s="277">
        <v>111</v>
      </c>
      <c r="BP129" s="277">
        <v>5558</v>
      </c>
      <c r="BQ129" s="277">
        <v>189591</v>
      </c>
      <c r="BR129" s="277">
        <v>42658</v>
      </c>
      <c r="BS129" s="277">
        <v>4740</v>
      </c>
      <c r="BT129" s="277">
        <v>236989</v>
      </c>
      <c r="BU129" s="277">
        <v>527420</v>
      </c>
      <c r="BV129" s="277">
        <v>118431</v>
      </c>
      <c r="BW129" s="277">
        <v>13159</v>
      </c>
      <c r="BX129" s="277">
        <v>659010</v>
      </c>
      <c r="BY129" s="278" t="s">
        <v>151</v>
      </c>
      <c r="BZ129" s="279" t="s">
        <v>1000</v>
      </c>
      <c r="CA129" s="280" t="s">
        <v>1001</v>
      </c>
    </row>
    <row r="130" spans="1:79" ht="12.75">
      <c r="A130" s="169">
        <v>123</v>
      </c>
      <c r="B130" s="172" t="s">
        <v>153</v>
      </c>
      <c r="C130" s="258" t="s">
        <v>154</v>
      </c>
      <c r="D130" s="277">
        <v>31021117</v>
      </c>
      <c r="E130" s="277">
        <v>8073127</v>
      </c>
      <c r="F130" s="277">
        <v>0</v>
      </c>
      <c r="G130" s="277">
        <v>125321</v>
      </c>
      <c r="H130" s="277">
        <v>0</v>
      </c>
      <c r="I130" s="277">
        <v>125321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38968923</v>
      </c>
      <c r="Q130" s="277">
        <v>19484462</v>
      </c>
      <c r="R130" s="277">
        <v>19094772</v>
      </c>
      <c r="S130" s="277">
        <v>0</v>
      </c>
      <c r="T130" s="277">
        <v>389689</v>
      </c>
      <c r="U130" s="277">
        <v>38968923</v>
      </c>
      <c r="V130" s="277">
        <v>72798</v>
      </c>
      <c r="W130" s="277">
        <v>19411664</v>
      </c>
      <c r="X130" s="277">
        <v>125321</v>
      </c>
      <c r="Y130" s="277">
        <v>125321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  <c r="AE130" s="277">
        <v>0</v>
      </c>
      <c r="AF130" s="277">
        <v>0</v>
      </c>
      <c r="AG130" s="277">
        <v>72798</v>
      </c>
      <c r="AH130" s="277">
        <v>0</v>
      </c>
      <c r="AI130" s="277">
        <v>0</v>
      </c>
      <c r="AJ130" s="277">
        <v>72798</v>
      </c>
      <c r="AK130" s="277">
        <v>0</v>
      </c>
      <c r="AL130" s="277">
        <v>0</v>
      </c>
      <c r="AM130" s="277">
        <v>118916</v>
      </c>
      <c r="AN130" s="277">
        <v>116537.68</v>
      </c>
      <c r="AO130" s="277">
        <v>0</v>
      </c>
      <c r="AP130" s="277">
        <v>2378.32</v>
      </c>
      <c r="AQ130" s="277">
        <v>237832</v>
      </c>
      <c r="AR130" s="277">
        <v>19530580</v>
      </c>
      <c r="AS130" s="277">
        <v>19409429</v>
      </c>
      <c r="AT130" s="277">
        <v>0</v>
      </c>
      <c r="AU130" s="277">
        <v>392067</v>
      </c>
      <c r="AV130" s="277">
        <v>39332076</v>
      </c>
      <c r="AW130" s="277">
        <v>204808</v>
      </c>
      <c r="AX130" s="277">
        <v>0</v>
      </c>
      <c r="AY130" s="277">
        <v>4137</v>
      </c>
      <c r="AZ130" s="277">
        <v>208945</v>
      </c>
      <c r="BA130" s="277">
        <v>453377</v>
      </c>
      <c r="BB130" s="277">
        <v>0</v>
      </c>
      <c r="BC130" s="277">
        <v>9253</v>
      </c>
      <c r="BD130" s="277">
        <v>462630</v>
      </c>
      <c r="BE130" s="277">
        <v>0</v>
      </c>
      <c r="BF130" s="277">
        <v>0</v>
      </c>
      <c r="BG130" s="277">
        <v>0</v>
      </c>
      <c r="BH130" s="277">
        <v>0</v>
      </c>
      <c r="BI130" s="277">
        <v>24760</v>
      </c>
      <c r="BJ130" s="277">
        <v>0</v>
      </c>
      <c r="BK130" s="277">
        <v>505</v>
      </c>
      <c r="BL130" s="277">
        <v>25265</v>
      </c>
      <c r="BM130" s="277">
        <v>63530</v>
      </c>
      <c r="BN130" s="277">
        <v>0</v>
      </c>
      <c r="BO130" s="277">
        <v>1297</v>
      </c>
      <c r="BP130" s="277">
        <v>64827</v>
      </c>
      <c r="BQ130" s="277">
        <v>207998</v>
      </c>
      <c r="BR130" s="277">
        <v>0</v>
      </c>
      <c r="BS130" s="277">
        <v>4245</v>
      </c>
      <c r="BT130" s="277">
        <v>212243</v>
      </c>
      <c r="BU130" s="277">
        <v>954473</v>
      </c>
      <c r="BV130" s="277">
        <v>0</v>
      </c>
      <c r="BW130" s="277">
        <v>19437</v>
      </c>
      <c r="BX130" s="277">
        <v>973910</v>
      </c>
      <c r="BY130" s="278" t="s">
        <v>893</v>
      </c>
      <c r="BZ130" s="279" t="s">
        <v>1003</v>
      </c>
      <c r="CA130" s="280" t="s">
        <v>1042</v>
      </c>
    </row>
    <row r="131" spans="1:79" ht="12.75">
      <c r="A131" s="169">
        <v>124</v>
      </c>
      <c r="B131" s="172" t="s">
        <v>155</v>
      </c>
      <c r="C131" s="258" t="s">
        <v>156</v>
      </c>
      <c r="D131" s="277">
        <v>20979092</v>
      </c>
      <c r="E131" s="277">
        <v>96000</v>
      </c>
      <c r="F131" s="277">
        <v>0</v>
      </c>
      <c r="G131" s="277">
        <v>132805</v>
      </c>
      <c r="H131" s="277">
        <v>0</v>
      </c>
      <c r="I131" s="277">
        <v>132805</v>
      </c>
      <c r="J131" s="277">
        <v>0</v>
      </c>
      <c r="K131" s="277">
        <v>0</v>
      </c>
      <c r="L131" s="277">
        <v>0</v>
      </c>
      <c r="M131" s="277">
        <v>0</v>
      </c>
      <c r="N131" s="277">
        <v>0</v>
      </c>
      <c r="O131" s="277">
        <v>0</v>
      </c>
      <c r="P131" s="277">
        <v>20942287</v>
      </c>
      <c r="Q131" s="277">
        <v>10471143</v>
      </c>
      <c r="R131" s="277">
        <v>8376915</v>
      </c>
      <c r="S131" s="277">
        <v>1884806</v>
      </c>
      <c r="T131" s="277">
        <v>209423</v>
      </c>
      <c r="U131" s="277">
        <v>20942287</v>
      </c>
      <c r="V131" s="277">
        <v>0</v>
      </c>
      <c r="W131" s="277">
        <v>10471143</v>
      </c>
      <c r="X131" s="277">
        <v>132805</v>
      </c>
      <c r="Y131" s="277">
        <v>132805</v>
      </c>
      <c r="Z131" s="277">
        <v>0</v>
      </c>
      <c r="AA131" s="277">
        <v>0</v>
      </c>
      <c r="AB131" s="277">
        <v>0</v>
      </c>
      <c r="AC131" s="277">
        <v>0</v>
      </c>
      <c r="AD131" s="277">
        <v>0</v>
      </c>
      <c r="AE131" s="277">
        <v>0</v>
      </c>
      <c r="AF131" s="277">
        <v>0</v>
      </c>
      <c r="AG131" s="277">
        <v>0</v>
      </c>
      <c r="AH131" s="277">
        <v>0</v>
      </c>
      <c r="AI131" s="277">
        <v>0</v>
      </c>
      <c r="AJ131" s="277">
        <v>0</v>
      </c>
      <c r="AK131" s="277">
        <v>0</v>
      </c>
      <c r="AL131" s="277">
        <v>0</v>
      </c>
      <c r="AM131" s="277">
        <v>-78611</v>
      </c>
      <c r="AN131" s="277">
        <v>-62888.8</v>
      </c>
      <c r="AO131" s="277">
        <v>-14149.98</v>
      </c>
      <c r="AP131" s="277">
        <v>-1572.22</v>
      </c>
      <c r="AQ131" s="277">
        <v>-157222</v>
      </c>
      <c r="AR131" s="277">
        <v>10392532</v>
      </c>
      <c r="AS131" s="277">
        <v>8446831</v>
      </c>
      <c r="AT131" s="277">
        <v>1870656</v>
      </c>
      <c r="AU131" s="277">
        <v>207851</v>
      </c>
      <c r="AV131" s="277">
        <v>20917870</v>
      </c>
      <c r="AW131" s="277">
        <v>90337</v>
      </c>
      <c r="AX131" s="277">
        <v>20009</v>
      </c>
      <c r="AY131" s="277">
        <v>2223</v>
      </c>
      <c r="AZ131" s="277">
        <v>112569</v>
      </c>
      <c r="BA131" s="277">
        <v>493625</v>
      </c>
      <c r="BB131" s="277">
        <v>111066</v>
      </c>
      <c r="BC131" s="277">
        <v>12341</v>
      </c>
      <c r="BD131" s="277">
        <v>617032</v>
      </c>
      <c r="BE131" s="277">
        <v>0</v>
      </c>
      <c r="BF131" s="277">
        <v>0</v>
      </c>
      <c r="BG131" s="277">
        <v>0</v>
      </c>
      <c r="BH131" s="277">
        <v>0</v>
      </c>
      <c r="BI131" s="277">
        <v>0</v>
      </c>
      <c r="BJ131" s="277">
        <v>0</v>
      </c>
      <c r="BK131" s="277">
        <v>0</v>
      </c>
      <c r="BL131" s="277">
        <v>0</v>
      </c>
      <c r="BM131" s="277">
        <v>0</v>
      </c>
      <c r="BN131" s="277">
        <v>0</v>
      </c>
      <c r="BO131" s="277">
        <v>0</v>
      </c>
      <c r="BP131" s="277">
        <v>0</v>
      </c>
      <c r="BQ131" s="277">
        <v>0</v>
      </c>
      <c r="BR131" s="277">
        <v>0</v>
      </c>
      <c r="BS131" s="277">
        <v>0</v>
      </c>
      <c r="BT131" s="277">
        <v>0</v>
      </c>
      <c r="BU131" s="277">
        <v>583962</v>
      </c>
      <c r="BV131" s="277">
        <v>131075</v>
      </c>
      <c r="BW131" s="277">
        <v>14564</v>
      </c>
      <c r="BX131" s="277">
        <v>729601</v>
      </c>
      <c r="BY131" s="278" t="s">
        <v>155</v>
      </c>
      <c r="BZ131" s="279" t="s">
        <v>1039</v>
      </c>
      <c r="CA131" s="280" t="s">
        <v>1017</v>
      </c>
    </row>
    <row r="132" spans="1:79" ht="12.75">
      <c r="A132" s="169">
        <v>125</v>
      </c>
      <c r="B132" s="172" t="s">
        <v>157</v>
      </c>
      <c r="C132" s="258" t="s">
        <v>158</v>
      </c>
      <c r="D132" s="277">
        <v>29576176.1</v>
      </c>
      <c r="E132" s="277">
        <v>26478.34</v>
      </c>
      <c r="F132" s="277">
        <v>0</v>
      </c>
      <c r="G132" s="277">
        <v>140067</v>
      </c>
      <c r="H132" s="277">
        <v>0</v>
      </c>
      <c r="I132" s="277">
        <v>140067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29462587.5</v>
      </c>
      <c r="Q132" s="277">
        <v>14731293.5</v>
      </c>
      <c r="R132" s="277">
        <v>11785035</v>
      </c>
      <c r="S132" s="277">
        <v>2651633</v>
      </c>
      <c r="T132" s="277">
        <v>294626</v>
      </c>
      <c r="U132" s="277">
        <v>29462587</v>
      </c>
      <c r="V132" s="277">
        <v>0</v>
      </c>
      <c r="W132" s="277">
        <v>14731293.5</v>
      </c>
      <c r="X132" s="277">
        <v>140067</v>
      </c>
      <c r="Y132" s="277">
        <v>140067</v>
      </c>
      <c r="Z132" s="277">
        <v>0</v>
      </c>
      <c r="AA132" s="277">
        <v>0</v>
      </c>
      <c r="AB132" s="277">
        <v>0</v>
      </c>
      <c r="AC132" s="277">
        <v>0</v>
      </c>
      <c r="AD132" s="277">
        <v>0</v>
      </c>
      <c r="AE132" s="277">
        <v>0</v>
      </c>
      <c r="AF132" s="277">
        <v>0</v>
      </c>
      <c r="AG132" s="277">
        <v>0</v>
      </c>
      <c r="AH132" s="277">
        <v>0</v>
      </c>
      <c r="AI132" s="277">
        <v>0</v>
      </c>
      <c r="AJ132" s="277">
        <v>0</v>
      </c>
      <c r="AK132" s="277">
        <v>0</v>
      </c>
      <c r="AL132" s="277">
        <v>0</v>
      </c>
      <c r="AM132" s="277">
        <v>193965.75</v>
      </c>
      <c r="AN132" s="277">
        <v>155172.6</v>
      </c>
      <c r="AO132" s="277">
        <v>34913.83</v>
      </c>
      <c r="AP132" s="277">
        <v>3879.31</v>
      </c>
      <c r="AQ132" s="277">
        <v>387931.49</v>
      </c>
      <c r="AR132" s="277">
        <v>14925259</v>
      </c>
      <c r="AS132" s="277">
        <v>12080275</v>
      </c>
      <c r="AT132" s="277">
        <v>2686547</v>
      </c>
      <c r="AU132" s="277">
        <v>298505</v>
      </c>
      <c r="AV132" s="277">
        <v>29990585</v>
      </c>
      <c r="AW132" s="277">
        <v>126593</v>
      </c>
      <c r="AX132" s="277">
        <v>28149</v>
      </c>
      <c r="AY132" s="277">
        <v>3128</v>
      </c>
      <c r="AZ132" s="277">
        <v>157870</v>
      </c>
      <c r="BA132" s="277">
        <v>389065</v>
      </c>
      <c r="BB132" s="277">
        <v>87540</v>
      </c>
      <c r="BC132" s="277">
        <v>9727</v>
      </c>
      <c r="BD132" s="277">
        <v>486332</v>
      </c>
      <c r="BE132" s="277">
        <v>0</v>
      </c>
      <c r="BF132" s="277">
        <v>0</v>
      </c>
      <c r="BG132" s="277">
        <v>0</v>
      </c>
      <c r="BH132" s="277">
        <v>0</v>
      </c>
      <c r="BI132" s="277">
        <v>20212</v>
      </c>
      <c r="BJ132" s="277">
        <v>4548</v>
      </c>
      <c r="BK132" s="277">
        <v>505</v>
      </c>
      <c r="BL132" s="277">
        <v>25265</v>
      </c>
      <c r="BM132" s="277">
        <v>8489</v>
      </c>
      <c r="BN132" s="277">
        <v>1910</v>
      </c>
      <c r="BO132" s="277">
        <v>212</v>
      </c>
      <c r="BP132" s="277">
        <v>10611</v>
      </c>
      <c r="BQ132" s="277">
        <v>214251</v>
      </c>
      <c r="BR132" s="277">
        <v>48206</v>
      </c>
      <c r="BS132" s="277">
        <v>5356</v>
      </c>
      <c r="BT132" s="277">
        <v>267813</v>
      </c>
      <c r="BU132" s="277">
        <v>758610</v>
      </c>
      <c r="BV132" s="277">
        <v>170353</v>
      </c>
      <c r="BW132" s="277">
        <v>18928</v>
      </c>
      <c r="BX132" s="277">
        <v>947891</v>
      </c>
      <c r="BY132" s="278" t="s">
        <v>157</v>
      </c>
      <c r="BZ132" s="279" t="s">
        <v>1000</v>
      </c>
      <c r="CA132" s="280" t="s">
        <v>1001</v>
      </c>
    </row>
    <row r="133" spans="1:79" ht="12.75">
      <c r="A133" s="169">
        <v>126</v>
      </c>
      <c r="B133" s="172" t="s">
        <v>159</v>
      </c>
      <c r="C133" s="258" t="s">
        <v>160</v>
      </c>
      <c r="D133" s="277">
        <v>72325762.4</v>
      </c>
      <c r="E133" s="277">
        <v>53763.75</v>
      </c>
      <c r="F133" s="277">
        <v>0</v>
      </c>
      <c r="G133" s="277">
        <v>272168</v>
      </c>
      <c r="H133" s="277">
        <v>0</v>
      </c>
      <c r="I133" s="277">
        <v>272168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72107358.1</v>
      </c>
      <c r="Q133" s="277">
        <v>36053679.1</v>
      </c>
      <c r="R133" s="277">
        <v>21632207</v>
      </c>
      <c r="S133" s="277">
        <v>14421472</v>
      </c>
      <c r="T133" s="277">
        <v>0</v>
      </c>
      <c r="U133" s="277">
        <v>72107358</v>
      </c>
      <c r="V133" s="277">
        <v>0</v>
      </c>
      <c r="W133" s="277">
        <v>36053679.1</v>
      </c>
      <c r="X133" s="277">
        <v>272168</v>
      </c>
      <c r="Y133" s="277">
        <v>272168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  <c r="AE133" s="277">
        <v>0</v>
      </c>
      <c r="AF133" s="277">
        <v>0</v>
      </c>
      <c r="AG133" s="277">
        <v>0</v>
      </c>
      <c r="AH133" s="277">
        <v>0</v>
      </c>
      <c r="AI133" s="277">
        <v>0</v>
      </c>
      <c r="AJ133" s="277">
        <v>0</v>
      </c>
      <c r="AK133" s="277">
        <v>0</v>
      </c>
      <c r="AL133" s="277">
        <v>0</v>
      </c>
      <c r="AM133" s="277">
        <v>-1533991.6</v>
      </c>
      <c r="AN133" s="277">
        <v>-920394.99</v>
      </c>
      <c r="AO133" s="277">
        <v>-613596.66</v>
      </c>
      <c r="AP133" s="277">
        <v>0</v>
      </c>
      <c r="AQ133" s="277">
        <v>-3067983.3</v>
      </c>
      <c r="AR133" s="277">
        <v>34519687</v>
      </c>
      <c r="AS133" s="277">
        <v>20983980</v>
      </c>
      <c r="AT133" s="277">
        <v>13807875</v>
      </c>
      <c r="AU133" s="277">
        <v>0</v>
      </c>
      <c r="AV133" s="277">
        <v>69311543</v>
      </c>
      <c r="AW133" s="277">
        <v>232531</v>
      </c>
      <c r="AX133" s="277">
        <v>153094</v>
      </c>
      <c r="AY133" s="277">
        <v>0</v>
      </c>
      <c r="AZ133" s="277">
        <v>385625</v>
      </c>
      <c r="BA133" s="277">
        <v>488842</v>
      </c>
      <c r="BB133" s="277">
        <v>325894</v>
      </c>
      <c r="BC133" s="277">
        <v>0</v>
      </c>
      <c r="BD133" s="277">
        <v>814736</v>
      </c>
      <c r="BE133" s="277">
        <v>5956</v>
      </c>
      <c r="BF133" s="277">
        <v>3971</v>
      </c>
      <c r="BG133" s="277">
        <v>0</v>
      </c>
      <c r="BH133" s="277">
        <v>9927</v>
      </c>
      <c r="BI133" s="277">
        <v>0</v>
      </c>
      <c r="BJ133" s="277">
        <v>0</v>
      </c>
      <c r="BK133" s="277">
        <v>0</v>
      </c>
      <c r="BL133" s="277">
        <v>0</v>
      </c>
      <c r="BM133" s="277">
        <v>9494</v>
      </c>
      <c r="BN133" s="277">
        <v>2373</v>
      </c>
      <c r="BO133" s="277">
        <v>0</v>
      </c>
      <c r="BP133" s="277">
        <v>11867</v>
      </c>
      <c r="BQ133" s="277">
        <v>598466</v>
      </c>
      <c r="BR133" s="277">
        <v>149616</v>
      </c>
      <c r="BS133" s="277">
        <v>0</v>
      </c>
      <c r="BT133" s="277">
        <v>748082</v>
      </c>
      <c r="BU133" s="277">
        <v>1335289</v>
      </c>
      <c r="BV133" s="277">
        <v>634948</v>
      </c>
      <c r="BW133" s="277">
        <v>0</v>
      </c>
      <c r="BX133" s="277">
        <v>1970237</v>
      </c>
      <c r="BY133" s="278" t="s">
        <v>159</v>
      </c>
      <c r="BZ133" s="279" t="s">
        <v>995</v>
      </c>
      <c r="CA133" s="279" t="s">
        <v>983</v>
      </c>
    </row>
    <row r="134" spans="1:79" ht="12.75">
      <c r="A134" s="169">
        <v>127</v>
      </c>
      <c r="B134" s="172" t="s">
        <v>161</v>
      </c>
      <c r="C134" s="258" t="s">
        <v>162</v>
      </c>
      <c r="D134" s="277">
        <v>47516226.7</v>
      </c>
      <c r="E134" s="277">
        <v>71420</v>
      </c>
      <c r="F134" s="277">
        <v>0</v>
      </c>
      <c r="G134" s="277">
        <v>300804</v>
      </c>
      <c r="H134" s="277">
        <v>0</v>
      </c>
      <c r="I134" s="277">
        <v>300804</v>
      </c>
      <c r="J134" s="277">
        <v>0</v>
      </c>
      <c r="K134" s="277">
        <v>0</v>
      </c>
      <c r="L134" s="277">
        <v>0</v>
      </c>
      <c r="M134" s="277">
        <v>15600</v>
      </c>
      <c r="N134" s="277">
        <v>15600</v>
      </c>
      <c r="O134" s="277">
        <v>0</v>
      </c>
      <c r="P134" s="277">
        <v>47271242.7</v>
      </c>
      <c r="Q134" s="277">
        <v>23635621.7</v>
      </c>
      <c r="R134" s="277">
        <v>23162909</v>
      </c>
      <c r="S134" s="277">
        <v>0</v>
      </c>
      <c r="T134" s="277">
        <v>472712</v>
      </c>
      <c r="U134" s="277">
        <v>47271243</v>
      </c>
      <c r="V134" s="277">
        <v>185100</v>
      </c>
      <c r="W134" s="277">
        <v>23450521.7</v>
      </c>
      <c r="X134" s="277">
        <v>300804</v>
      </c>
      <c r="Y134" s="277">
        <v>300804</v>
      </c>
      <c r="Z134" s="277">
        <v>0</v>
      </c>
      <c r="AA134" s="277">
        <v>0</v>
      </c>
      <c r="AB134" s="277">
        <v>0</v>
      </c>
      <c r="AC134" s="277">
        <v>0</v>
      </c>
      <c r="AD134" s="277">
        <v>15600</v>
      </c>
      <c r="AE134" s="277">
        <v>0</v>
      </c>
      <c r="AF134" s="277">
        <v>15600</v>
      </c>
      <c r="AG134" s="277">
        <v>185100</v>
      </c>
      <c r="AH134" s="277">
        <v>0</v>
      </c>
      <c r="AI134" s="277">
        <v>0</v>
      </c>
      <c r="AJ134" s="277">
        <v>185100</v>
      </c>
      <c r="AK134" s="277">
        <v>0</v>
      </c>
      <c r="AL134" s="277">
        <v>0</v>
      </c>
      <c r="AM134" s="277">
        <v>-805440</v>
      </c>
      <c r="AN134" s="277">
        <v>-789331.2</v>
      </c>
      <c r="AO134" s="277">
        <v>0</v>
      </c>
      <c r="AP134" s="277">
        <v>-16108.8</v>
      </c>
      <c r="AQ134" s="277">
        <v>-1610880</v>
      </c>
      <c r="AR134" s="277">
        <v>22645082</v>
      </c>
      <c r="AS134" s="277">
        <v>22875082</v>
      </c>
      <c r="AT134" s="277">
        <v>0</v>
      </c>
      <c r="AU134" s="277">
        <v>456603</v>
      </c>
      <c r="AV134" s="277">
        <v>45976767</v>
      </c>
      <c r="AW134" s="277">
        <v>251215</v>
      </c>
      <c r="AX134" s="277">
        <v>0</v>
      </c>
      <c r="AY134" s="277">
        <v>5018</v>
      </c>
      <c r="AZ134" s="277">
        <v>256233</v>
      </c>
      <c r="BA134" s="277">
        <v>1242359</v>
      </c>
      <c r="BB134" s="277">
        <v>0</v>
      </c>
      <c r="BC134" s="277">
        <v>25354</v>
      </c>
      <c r="BD134" s="277">
        <v>1267713</v>
      </c>
      <c r="BE134" s="277">
        <v>0</v>
      </c>
      <c r="BF134" s="277">
        <v>0</v>
      </c>
      <c r="BG134" s="277">
        <v>0</v>
      </c>
      <c r="BH134" s="277">
        <v>0</v>
      </c>
      <c r="BI134" s="277">
        <v>149551</v>
      </c>
      <c r="BJ134" s="277">
        <v>0</v>
      </c>
      <c r="BK134" s="277">
        <v>3052</v>
      </c>
      <c r="BL134" s="277">
        <v>152603</v>
      </c>
      <c r="BM134" s="277">
        <v>18945</v>
      </c>
      <c r="BN134" s="277">
        <v>0</v>
      </c>
      <c r="BO134" s="277">
        <v>387</v>
      </c>
      <c r="BP134" s="277">
        <v>19332</v>
      </c>
      <c r="BQ134" s="277">
        <v>511353</v>
      </c>
      <c r="BR134" s="277">
        <v>0</v>
      </c>
      <c r="BS134" s="277">
        <v>10436</v>
      </c>
      <c r="BT134" s="277">
        <v>521789</v>
      </c>
      <c r="BU134" s="277">
        <v>2173423</v>
      </c>
      <c r="BV134" s="277">
        <v>0</v>
      </c>
      <c r="BW134" s="277">
        <v>44247</v>
      </c>
      <c r="BX134" s="277">
        <v>2217670</v>
      </c>
      <c r="BY134" s="278" t="s">
        <v>894</v>
      </c>
      <c r="BZ134" s="279" t="s">
        <v>1003</v>
      </c>
      <c r="CA134" s="280" t="s">
        <v>1020</v>
      </c>
    </row>
    <row r="135" spans="1:79" ht="12.75">
      <c r="A135" s="169">
        <v>128</v>
      </c>
      <c r="B135" s="172" t="s">
        <v>163</v>
      </c>
      <c r="C135" s="258" t="s">
        <v>164</v>
      </c>
      <c r="D135" s="277">
        <v>42439926.5</v>
      </c>
      <c r="E135" s="277">
        <v>0</v>
      </c>
      <c r="F135" s="277">
        <v>3825.57</v>
      </c>
      <c r="G135" s="277">
        <v>147906</v>
      </c>
      <c r="H135" s="277">
        <v>0</v>
      </c>
      <c r="I135" s="277">
        <v>147906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42288194.9</v>
      </c>
      <c r="Q135" s="277">
        <v>21144097.9</v>
      </c>
      <c r="R135" s="277">
        <v>16915278</v>
      </c>
      <c r="S135" s="277">
        <v>4228819</v>
      </c>
      <c r="T135" s="277">
        <v>0</v>
      </c>
      <c r="U135" s="277">
        <v>42288194.9</v>
      </c>
      <c r="V135" s="277">
        <v>0</v>
      </c>
      <c r="W135" s="277">
        <v>21144097.9</v>
      </c>
      <c r="X135" s="277">
        <v>147906</v>
      </c>
      <c r="Y135" s="277">
        <v>147906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  <c r="AE135" s="277">
        <v>0</v>
      </c>
      <c r="AF135" s="277">
        <v>0</v>
      </c>
      <c r="AG135" s="277">
        <v>0</v>
      </c>
      <c r="AH135" s="277">
        <v>0</v>
      </c>
      <c r="AI135" s="277">
        <v>0</v>
      </c>
      <c r="AJ135" s="277">
        <v>0</v>
      </c>
      <c r="AK135" s="277">
        <v>0</v>
      </c>
      <c r="AL135" s="277">
        <v>0</v>
      </c>
      <c r="AM135" s="277">
        <v>-2322739.7</v>
      </c>
      <c r="AN135" s="277">
        <v>-1858191.8</v>
      </c>
      <c r="AO135" s="277">
        <v>-464547.94</v>
      </c>
      <c r="AP135" s="277">
        <v>0</v>
      </c>
      <c r="AQ135" s="277">
        <v>-4645479.4</v>
      </c>
      <c r="AR135" s="277">
        <v>18821358</v>
      </c>
      <c r="AS135" s="277">
        <v>15204992</v>
      </c>
      <c r="AT135" s="277">
        <v>3764271</v>
      </c>
      <c r="AU135" s="277">
        <v>0</v>
      </c>
      <c r="AV135" s="277">
        <v>37790621</v>
      </c>
      <c r="AW135" s="277">
        <v>181138</v>
      </c>
      <c r="AX135" s="277">
        <v>44892</v>
      </c>
      <c r="AY135" s="277">
        <v>0</v>
      </c>
      <c r="AZ135" s="277">
        <v>226030</v>
      </c>
      <c r="BA135" s="277">
        <v>293962</v>
      </c>
      <c r="BB135" s="277">
        <v>73491</v>
      </c>
      <c r="BC135" s="277">
        <v>0</v>
      </c>
      <c r="BD135" s="277">
        <v>367453</v>
      </c>
      <c r="BE135" s="277">
        <v>0</v>
      </c>
      <c r="BF135" s="277">
        <v>0</v>
      </c>
      <c r="BG135" s="277">
        <v>0</v>
      </c>
      <c r="BH135" s="277">
        <v>0</v>
      </c>
      <c r="BI135" s="277">
        <v>45275</v>
      </c>
      <c r="BJ135" s="277">
        <v>11319</v>
      </c>
      <c r="BK135" s="277">
        <v>0</v>
      </c>
      <c r="BL135" s="277">
        <v>56594</v>
      </c>
      <c r="BM135" s="277">
        <v>32340</v>
      </c>
      <c r="BN135" s="277">
        <v>8085</v>
      </c>
      <c r="BO135" s="277">
        <v>0</v>
      </c>
      <c r="BP135" s="277">
        <v>40425</v>
      </c>
      <c r="BQ135" s="277">
        <v>264782</v>
      </c>
      <c r="BR135" s="277">
        <v>66195</v>
      </c>
      <c r="BS135" s="277">
        <v>0</v>
      </c>
      <c r="BT135" s="277">
        <v>330977</v>
      </c>
      <c r="BU135" s="277">
        <v>817497</v>
      </c>
      <c r="BV135" s="277">
        <v>203982</v>
      </c>
      <c r="BW135" s="277">
        <v>0</v>
      </c>
      <c r="BX135" s="277">
        <v>1021479</v>
      </c>
      <c r="BY135" s="278" t="s">
        <v>163</v>
      </c>
      <c r="BZ135" s="279" t="s">
        <v>1021</v>
      </c>
      <c r="CA135" s="280" t="s">
        <v>984</v>
      </c>
    </row>
    <row r="136" spans="1:79" ht="12.75">
      <c r="A136" s="169">
        <v>129</v>
      </c>
      <c r="B136" s="172" t="s">
        <v>165</v>
      </c>
      <c r="C136" s="258" t="s">
        <v>166</v>
      </c>
      <c r="D136" s="277">
        <v>24155360</v>
      </c>
      <c r="E136" s="277">
        <v>83298</v>
      </c>
      <c r="F136" s="277">
        <v>0</v>
      </c>
      <c r="G136" s="277">
        <v>134980</v>
      </c>
      <c r="H136" s="277">
        <v>0</v>
      </c>
      <c r="I136" s="277">
        <v>134980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24103678</v>
      </c>
      <c r="Q136" s="277">
        <v>12051839</v>
      </c>
      <c r="R136" s="277">
        <v>9641471</v>
      </c>
      <c r="S136" s="277">
        <v>2169331</v>
      </c>
      <c r="T136" s="277">
        <v>241037</v>
      </c>
      <c r="U136" s="277">
        <v>24103678</v>
      </c>
      <c r="V136" s="277">
        <v>0</v>
      </c>
      <c r="W136" s="277">
        <v>12051839</v>
      </c>
      <c r="X136" s="277">
        <v>134980</v>
      </c>
      <c r="Y136" s="277">
        <v>134980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  <c r="AE136" s="277">
        <v>0</v>
      </c>
      <c r="AF136" s="277">
        <v>0</v>
      </c>
      <c r="AG136" s="277">
        <v>0</v>
      </c>
      <c r="AH136" s="277">
        <v>0</v>
      </c>
      <c r="AI136" s="277">
        <v>0</v>
      </c>
      <c r="AJ136" s="277">
        <v>0</v>
      </c>
      <c r="AK136" s="277">
        <v>0</v>
      </c>
      <c r="AL136" s="277">
        <v>0</v>
      </c>
      <c r="AM136" s="277">
        <v>-109505.5</v>
      </c>
      <c r="AN136" s="277">
        <v>-87604.4</v>
      </c>
      <c r="AO136" s="277">
        <v>-19710.99</v>
      </c>
      <c r="AP136" s="277">
        <v>-2190.11</v>
      </c>
      <c r="AQ136" s="277">
        <v>-219011</v>
      </c>
      <c r="AR136" s="277">
        <v>11942334</v>
      </c>
      <c r="AS136" s="277">
        <v>9688847</v>
      </c>
      <c r="AT136" s="277">
        <v>2149620</v>
      </c>
      <c r="AU136" s="277">
        <v>238847</v>
      </c>
      <c r="AV136" s="277">
        <v>24019647</v>
      </c>
      <c r="AW136" s="277">
        <v>103784</v>
      </c>
      <c r="AX136" s="277">
        <v>23029</v>
      </c>
      <c r="AY136" s="277">
        <v>2559</v>
      </c>
      <c r="AZ136" s="277">
        <v>129372</v>
      </c>
      <c r="BA136" s="277">
        <v>488842</v>
      </c>
      <c r="BB136" s="277">
        <v>109990</v>
      </c>
      <c r="BC136" s="277">
        <v>12221</v>
      </c>
      <c r="BD136" s="277">
        <v>611053</v>
      </c>
      <c r="BE136" s="277">
        <v>0</v>
      </c>
      <c r="BF136" s="277">
        <v>0</v>
      </c>
      <c r="BG136" s="277">
        <v>0</v>
      </c>
      <c r="BH136" s="277">
        <v>0</v>
      </c>
      <c r="BI136" s="277">
        <v>0</v>
      </c>
      <c r="BJ136" s="277">
        <v>0</v>
      </c>
      <c r="BK136" s="277">
        <v>0</v>
      </c>
      <c r="BL136" s="277">
        <v>0</v>
      </c>
      <c r="BM136" s="277">
        <v>0</v>
      </c>
      <c r="BN136" s="277">
        <v>0</v>
      </c>
      <c r="BO136" s="277">
        <v>0</v>
      </c>
      <c r="BP136" s="277">
        <v>0</v>
      </c>
      <c r="BQ136" s="277">
        <v>201806</v>
      </c>
      <c r="BR136" s="277">
        <v>45406</v>
      </c>
      <c r="BS136" s="277">
        <v>5045</v>
      </c>
      <c r="BT136" s="277">
        <v>252257</v>
      </c>
      <c r="BU136" s="277">
        <v>794432</v>
      </c>
      <c r="BV136" s="277">
        <v>178425</v>
      </c>
      <c r="BW136" s="277">
        <v>19825</v>
      </c>
      <c r="BX136" s="277">
        <v>992682</v>
      </c>
      <c r="BY136" s="278" t="s">
        <v>165</v>
      </c>
      <c r="BZ136" s="279" t="s">
        <v>986</v>
      </c>
      <c r="CA136" s="280" t="s">
        <v>987</v>
      </c>
    </row>
    <row r="137" spans="1:79" ht="12.75">
      <c r="A137" s="169">
        <v>130</v>
      </c>
      <c r="B137" s="172" t="s">
        <v>167</v>
      </c>
      <c r="C137" s="258" t="s">
        <v>168</v>
      </c>
      <c r="D137" s="277">
        <v>352211300</v>
      </c>
      <c r="E137" s="277">
        <v>0</v>
      </c>
      <c r="F137" s="277">
        <v>0</v>
      </c>
      <c r="G137" s="277">
        <v>595739</v>
      </c>
      <c r="H137" s="277">
        <v>0</v>
      </c>
      <c r="I137" s="277">
        <v>595739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351615561</v>
      </c>
      <c r="Q137" s="277">
        <v>175807781</v>
      </c>
      <c r="R137" s="277">
        <v>105484668</v>
      </c>
      <c r="S137" s="277">
        <v>70323112</v>
      </c>
      <c r="T137" s="277">
        <v>0</v>
      </c>
      <c r="U137" s="277">
        <v>351615561</v>
      </c>
      <c r="V137" s="277">
        <v>0</v>
      </c>
      <c r="W137" s="277">
        <v>175807781</v>
      </c>
      <c r="X137" s="277">
        <v>595739</v>
      </c>
      <c r="Y137" s="277">
        <v>595739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  <c r="AE137" s="277">
        <v>0</v>
      </c>
      <c r="AF137" s="277">
        <v>0</v>
      </c>
      <c r="AG137" s="277">
        <v>0</v>
      </c>
      <c r="AH137" s="277">
        <v>0</v>
      </c>
      <c r="AI137" s="277">
        <v>0</v>
      </c>
      <c r="AJ137" s="277">
        <v>0</v>
      </c>
      <c r="AK137" s="277">
        <v>0</v>
      </c>
      <c r="AL137" s="277">
        <v>0</v>
      </c>
      <c r="AM137" s="277">
        <v>0</v>
      </c>
      <c r="AN137" s="277">
        <v>0</v>
      </c>
      <c r="AO137" s="277">
        <v>0</v>
      </c>
      <c r="AP137" s="277">
        <v>0</v>
      </c>
      <c r="AQ137" s="277">
        <v>0</v>
      </c>
      <c r="AR137" s="277">
        <v>175807781</v>
      </c>
      <c r="AS137" s="277">
        <v>106080407</v>
      </c>
      <c r="AT137" s="277">
        <v>70323112</v>
      </c>
      <c r="AU137" s="277">
        <v>0</v>
      </c>
      <c r="AV137" s="277">
        <v>352211300</v>
      </c>
      <c r="AW137" s="277">
        <v>1126119</v>
      </c>
      <c r="AX137" s="277">
        <v>746530</v>
      </c>
      <c r="AY137" s="277">
        <v>0</v>
      </c>
      <c r="AZ137" s="277">
        <v>1872649</v>
      </c>
      <c r="BA137" s="277">
        <v>394140</v>
      </c>
      <c r="BB137" s="277">
        <v>262760</v>
      </c>
      <c r="BC137" s="277">
        <v>0</v>
      </c>
      <c r="BD137" s="277">
        <v>656900</v>
      </c>
      <c r="BE137" s="277">
        <v>47903</v>
      </c>
      <c r="BF137" s="277">
        <v>31936</v>
      </c>
      <c r="BG137" s="277">
        <v>0</v>
      </c>
      <c r="BH137" s="277">
        <v>79839</v>
      </c>
      <c r="BI137" s="277">
        <v>0</v>
      </c>
      <c r="BJ137" s="277">
        <v>0</v>
      </c>
      <c r="BK137" s="277">
        <v>0</v>
      </c>
      <c r="BL137" s="277">
        <v>0</v>
      </c>
      <c r="BM137" s="277">
        <v>30319</v>
      </c>
      <c r="BN137" s="277">
        <v>20212</v>
      </c>
      <c r="BO137" s="277">
        <v>0</v>
      </c>
      <c r="BP137" s="277">
        <v>50531</v>
      </c>
      <c r="BQ137" s="277">
        <v>363821</v>
      </c>
      <c r="BR137" s="277">
        <v>242548</v>
      </c>
      <c r="BS137" s="277">
        <v>0</v>
      </c>
      <c r="BT137" s="277">
        <v>606369</v>
      </c>
      <c r="BU137" s="277">
        <v>1962302</v>
      </c>
      <c r="BV137" s="277">
        <v>1303986</v>
      </c>
      <c r="BW137" s="277">
        <v>0</v>
      </c>
      <c r="BX137" s="277">
        <v>3266288</v>
      </c>
      <c r="BY137" s="278" t="s">
        <v>167</v>
      </c>
      <c r="BZ137" s="279" t="s">
        <v>995</v>
      </c>
      <c r="CA137" s="279" t="s">
        <v>983</v>
      </c>
    </row>
    <row r="138" spans="1:79" ht="12.75">
      <c r="A138" s="169">
        <v>131</v>
      </c>
      <c r="B138" s="172" t="s">
        <v>169</v>
      </c>
      <c r="C138" s="258" t="s">
        <v>170</v>
      </c>
      <c r="D138" s="277">
        <v>28378459</v>
      </c>
      <c r="E138" s="277">
        <v>11586</v>
      </c>
      <c r="F138" s="277">
        <v>0</v>
      </c>
      <c r="G138" s="277">
        <v>124663</v>
      </c>
      <c r="H138" s="277">
        <v>0</v>
      </c>
      <c r="I138" s="277">
        <v>124663</v>
      </c>
      <c r="J138" s="277">
        <v>0</v>
      </c>
      <c r="K138" s="277">
        <v>950243</v>
      </c>
      <c r="L138" s="277">
        <v>0</v>
      </c>
      <c r="M138" s="277">
        <v>0</v>
      </c>
      <c r="N138" s="277">
        <v>0</v>
      </c>
      <c r="O138" s="277">
        <v>0</v>
      </c>
      <c r="P138" s="277">
        <v>27315139</v>
      </c>
      <c r="Q138" s="277">
        <v>13657569</v>
      </c>
      <c r="R138" s="277">
        <v>10926056</v>
      </c>
      <c r="S138" s="277">
        <v>2458363</v>
      </c>
      <c r="T138" s="277">
        <v>273151</v>
      </c>
      <c r="U138" s="277">
        <v>27315139</v>
      </c>
      <c r="V138" s="277">
        <v>0</v>
      </c>
      <c r="W138" s="277">
        <v>13657569</v>
      </c>
      <c r="X138" s="277">
        <v>124663</v>
      </c>
      <c r="Y138" s="277">
        <v>124663</v>
      </c>
      <c r="Z138" s="277">
        <v>950243</v>
      </c>
      <c r="AA138" s="277">
        <v>950243</v>
      </c>
      <c r="AB138" s="277">
        <v>0</v>
      </c>
      <c r="AC138" s="277">
        <v>0</v>
      </c>
      <c r="AD138" s="277">
        <v>0</v>
      </c>
      <c r="AE138" s="277">
        <v>0</v>
      </c>
      <c r="AF138" s="277">
        <v>0</v>
      </c>
      <c r="AG138" s="277">
        <v>0</v>
      </c>
      <c r="AH138" s="277">
        <v>0</v>
      </c>
      <c r="AI138" s="277">
        <v>0</v>
      </c>
      <c r="AJ138" s="277">
        <v>0</v>
      </c>
      <c r="AK138" s="277">
        <v>0</v>
      </c>
      <c r="AL138" s="277">
        <v>0</v>
      </c>
      <c r="AM138" s="277">
        <v>56662</v>
      </c>
      <c r="AN138" s="277">
        <v>45329.6</v>
      </c>
      <c r="AO138" s="277">
        <v>10199.16</v>
      </c>
      <c r="AP138" s="277">
        <v>1133.24</v>
      </c>
      <c r="AQ138" s="277">
        <v>113324</v>
      </c>
      <c r="AR138" s="277">
        <v>13714231</v>
      </c>
      <c r="AS138" s="277">
        <v>12046292</v>
      </c>
      <c r="AT138" s="277">
        <v>2468562</v>
      </c>
      <c r="AU138" s="277">
        <v>274284</v>
      </c>
      <c r="AV138" s="277">
        <v>28503369</v>
      </c>
      <c r="AW138" s="277">
        <v>127399</v>
      </c>
      <c r="AX138" s="277">
        <v>26097</v>
      </c>
      <c r="AY138" s="277">
        <v>2900</v>
      </c>
      <c r="AZ138" s="277">
        <v>156396</v>
      </c>
      <c r="BA138" s="277">
        <v>438075</v>
      </c>
      <c r="BB138" s="277">
        <v>98567</v>
      </c>
      <c r="BC138" s="277">
        <v>10952</v>
      </c>
      <c r="BD138" s="277">
        <v>547594</v>
      </c>
      <c r="BE138" s="277">
        <v>0</v>
      </c>
      <c r="BF138" s="277">
        <v>0</v>
      </c>
      <c r="BG138" s="277">
        <v>0</v>
      </c>
      <c r="BH138" s="277">
        <v>0</v>
      </c>
      <c r="BI138" s="277">
        <v>0</v>
      </c>
      <c r="BJ138" s="277">
        <v>0</v>
      </c>
      <c r="BK138" s="277">
        <v>0</v>
      </c>
      <c r="BL138" s="277">
        <v>0</v>
      </c>
      <c r="BM138" s="277">
        <v>13296</v>
      </c>
      <c r="BN138" s="277">
        <v>2991</v>
      </c>
      <c r="BO138" s="277">
        <v>332</v>
      </c>
      <c r="BP138" s="277">
        <v>16619</v>
      </c>
      <c r="BQ138" s="277">
        <v>173069</v>
      </c>
      <c r="BR138" s="277">
        <v>38941</v>
      </c>
      <c r="BS138" s="277">
        <v>4327</v>
      </c>
      <c r="BT138" s="277">
        <v>216337</v>
      </c>
      <c r="BU138" s="277">
        <v>751839</v>
      </c>
      <c r="BV138" s="277">
        <v>166596</v>
      </c>
      <c r="BW138" s="277">
        <v>18511</v>
      </c>
      <c r="BX138" s="277">
        <v>936946</v>
      </c>
      <c r="BY138" s="278" t="s">
        <v>895</v>
      </c>
      <c r="BZ138" s="279" t="s">
        <v>1007</v>
      </c>
      <c r="CA138" s="280" t="s">
        <v>1008</v>
      </c>
    </row>
    <row r="139" spans="1:79" ht="12.75">
      <c r="A139" s="169">
        <v>132</v>
      </c>
      <c r="B139" s="172" t="s">
        <v>171</v>
      </c>
      <c r="C139" s="258" t="s">
        <v>172</v>
      </c>
      <c r="D139" s="277">
        <v>39121262.7</v>
      </c>
      <c r="E139" s="277">
        <v>533.93</v>
      </c>
      <c r="F139" s="277">
        <v>0</v>
      </c>
      <c r="G139" s="277">
        <v>178215</v>
      </c>
      <c r="H139" s="277">
        <v>0</v>
      </c>
      <c r="I139" s="277">
        <v>178215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38943581.6</v>
      </c>
      <c r="Q139" s="277">
        <v>19471790.6</v>
      </c>
      <c r="R139" s="277">
        <v>15577433</v>
      </c>
      <c r="S139" s="277">
        <v>3894358</v>
      </c>
      <c r="T139" s="277">
        <v>0</v>
      </c>
      <c r="U139" s="277">
        <v>38943582</v>
      </c>
      <c r="V139" s="277">
        <v>0</v>
      </c>
      <c r="W139" s="277">
        <v>19471790.6</v>
      </c>
      <c r="X139" s="277">
        <v>178215</v>
      </c>
      <c r="Y139" s="277">
        <v>178215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  <c r="AE139" s="277">
        <v>0</v>
      </c>
      <c r="AF139" s="277">
        <v>0</v>
      </c>
      <c r="AG139" s="277">
        <v>0</v>
      </c>
      <c r="AH139" s="277">
        <v>0</v>
      </c>
      <c r="AI139" s="277">
        <v>0</v>
      </c>
      <c r="AJ139" s="277">
        <v>0</v>
      </c>
      <c r="AK139" s="277">
        <v>0</v>
      </c>
      <c r="AL139" s="277">
        <v>0</v>
      </c>
      <c r="AM139" s="277">
        <v>-0.07</v>
      </c>
      <c r="AN139" s="277">
        <v>-0.05</v>
      </c>
      <c r="AO139" s="277">
        <v>-0.01</v>
      </c>
      <c r="AP139" s="277">
        <v>0</v>
      </c>
      <c r="AQ139" s="277">
        <v>-0.13</v>
      </c>
      <c r="AR139" s="277">
        <v>19471791</v>
      </c>
      <c r="AS139" s="277">
        <v>15755648</v>
      </c>
      <c r="AT139" s="277">
        <v>3894358</v>
      </c>
      <c r="AU139" s="277">
        <v>0</v>
      </c>
      <c r="AV139" s="277">
        <v>39121797</v>
      </c>
      <c r="AW139" s="277">
        <v>167257</v>
      </c>
      <c r="AX139" s="277">
        <v>41341</v>
      </c>
      <c r="AY139" s="277">
        <v>0</v>
      </c>
      <c r="AZ139" s="277">
        <v>208598</v>
      </c>
      <c r="BA139" s="277">
        <v>482534</v>
      </c>
      <c r="BB139" s="277">
        <v>120633</v>
      </c>
      <c r="BC139" s="277">
        <v>0</v>
      </c>
      <c r="BD139" s="277">
        <v>603167</v>
      </c>
      <c r="BE139" s="277">
        <v>9748</v>
      </c>
      <c r="BF139" s="277">
        <v>2437</v>
      </c>
      <c r="BG139" s="277">
        <v>0</v>
      </c>
      <c r="BH139" s="277">
        <v>12185</v>
      </c>
      <c r="BI139" s="277">
        <v>3758</v>
      </c>
      <c r="BJ139" s="277">
        <v>939</v>
      </c>
      <c r="BK139" s="277">
        <v>0</v>
      </c>
      <c r="BL139" s="277">
        <v>4697</v>
      </c>
      <c r="BM139" s="277">
        <v>24266</v>
      </c>
      <c r="BN139" s="277">
        <v>6066</v>
      </c>
      <c r="BO139" s="277">
        <v>0</v>
      </c>
      <c r="BP139" s="277">
        <v>30332</v>
      </c>
      <c r="BQ139" s="277">
        <v>293233</v>
      </c>
      <c r="BR139" s="277">
        <v>73308</v>
      </c>
      <c r="BS139" s="277">
        <v>0</v>
      </c>
      <c r="BT139" s="277">
        <v>366541</v>
      </c>
      <c r="BU139" s="277">
        <v>980796</v>
      </c>
      <c r="BV139" s="277">
        <v>244724</v>
      </c>
      <c r="BW139" s="277">
        <v>0</v>
      </c>
      <c r="BX139" s="277">
        <v>1225520</v>
      </c>
      <c r="BY139" s="278" t="s">
        <v>171</v>
      </c>
      <c r="BZ139" s="279" t="s">
        <v>982</v>
      </c>
      <c r="CA139" s="280" t="s">
        <v>984</v>
      </c>
    </row>
    <row r="140" spans="1:79" ht="12.75">
      <c r="A140" s="169">
        <v>133</v>
      </c>
      <c r="B140" s="172" t="s">
        <v>173</v>
      </c>
      <c r="C140" s="258" t="s">
        <v>174</v>
      </c>
      <c r="D140" s="277">
        <v>150794639</v>
      </c>
      <c r="E140" s="277">
        <v>460351</v>
      </c>
      <c r="F140" s="277">
        <v>0</v>
      </c>
      <c r="G140" s="277">
        <v>398763</v>
      </c>
      <c r="H140" s="277">
        <v>0</v>
      </c>
      <c r="I140" s="277">
        <v>398763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150856227</v>
      </c>
      <c r="Q140" s="277">
        <v>75428114</v>
      </c>
      <c r="R140" s="277">
        <v>45256868</v>
      </c>
      <c r="S140" s="277">
        <v>30171245</v>
      </c>
      <c r="T140" s="277">
        <v>0</v>
      </c>
      <c r="U140" s="277">
        <v>150856227</v>
      </c>
      <c r="V140" s="277">
        <v>0</v>
      </c>
      <c r="W140" s="277">
        <v>75428114</v>
      </c>
      <c r="X140" s="277">
        <v>398763</v>
      </c>
      <c r="Y140" s="277">
        <v>398763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  <c r="AE140" s="277">
        <v>0</v>
      </c>
      <c r="AF140" s="277">
        <v>0</v>
      </c>
      <c r="AG140" s="277">
        <v>0</v>
      </c>
      <c r="AH140" s="277">
        <v>0</v>
      </c>
      <c r="AI140" s="277">
        <v>0</v>
      </c>
      <c r="AJ140" s="277">
        <v>0</v>
      </c>
      <c r="AK140" s="277">
        <v>0</v>
      </c>
      <c r="AL140" s="277">
        <v>0</v>
      </c>
      <c r="AM140" s="277">
        <v>-2961929.9</v>
      </c>
      <c r="AN140" s="277">
        <v>-1777157.9</v>
      </c>
      <c r="AO140" s="277">
        <v>-1184771.9</v>
      </c>
      <c r="AP140" s="277">
        <v>0</v>
      </c>
      <c r="AQ140" s="277">
        <v>-5923859.7</v>
      </c>
      <c r="AR140" s="277">
        <v>72466184</v>
      </c>
      <c r="AS140" s="277">
        <v>43878473</v>
      </c>
      <c r="AT140" s="277">
        <v>28986473</v>
      </c>
      <c r="AU140" s="277">
        <v>0</v>
      </c>
      <c r="AV140" s="277">
        <v>145331130</v>
      </c>
      <c r="AW140" s="277">
        <v>484667</v>
      </c>
      <c r="AX140" s="277">
        <v>320289</v>
      </c>
      <c r="AY140" s="277">
        <v>0</v>
      </c>
      <c r="AZ140" s="277">
        <v>804956</v>
      </c>
      <c r="BA140" s="277">
        <v>380839</v>
      </c>
      <c r="BB140" s="277">
        <v>253892</v>
      </c>
      <c r="BC140" s="277">
        <v>0</v>
      </c>
      <c r="BD140" s="277">
        <v>634731</v>
      </c>
      <c r="BE140" s="277">
        <v>0</v>
      </c>
      <c r="BF140" s="277">
        <v>0</v>
      </c>
      <c r="BG140" s="277">
        <v>0</v>
      </c>
      <c r="BH140" s="277">
        <v>0</v>
      </c>
      <c r="BI140" s="277">
        <v>0</v>
      </c>
      <c r="BJ140" s="277">
        <v>0</v>
      </c>
      <c r="BK140" s="277">
        <v>0</v>
      </c>
      <c r="BL140" s="277">
        <v>0</v>
      </c>
      <c r="BM140" s="277">
        <v>12827</v>
      </c>
      <c r="BN140" s="277">
        <v>8551</v>
      </c>
      <c r="BO140" s="277">
        <v>0</v>
      </c>
      <c r="BP140" s="277">
        <v>21378</v>
      </c>
      <c r="BQ140" s="277">
        <v>151592</v>
      </c>
      <c r="BR140" s="277">
        <v>101062</v>
      </c>
      <c r="BS140" s="277">
        <v>0</v>
      </c>
      <c r="BT140" s="277">
        <v>252654</v>
      </c>
      <c r="BU140" s="277">
        <v>1029925</v>
      </c>
      <c r="BV140" s="277">
        <v>683794</v>
      </c>
      <c r="BW140" s="277">
        <v>0</v>
      </c>
      <c r="BX140" s="277">
        <v>1713719</v>
      </c>
      <c r="BY140" s="278" t="s">
        <v>173</v>
      </c>
      <c r="BZ140" s="279" t="s">
        <v>995</v>
      </c>
      <c r="CA140" s="279" t="s">
        <v>983</v>
      </c>
    </row>
    <row r="141" spans="1:79" ht="12.75">
      <c r="A141" s="169">
        <v>134</v>
      </c>
      <c r="B141" s="172" t="s">
        <v>175</v>
      </c>
      <c r="C141" s="258" t="s">
        <v>176</v>
      </c>
      <c r="D141" s="277">
        <v>58479237</v>
      </c>
      <c r="E141" s="277">
        <v>83671</v>
      </c>
      <c r="F141" s="277">
        <v>0</v>
      </c>
      <c r="G141" s="277">
        <v>221615</v>
      </c>
      <c r="H141" s="277">
        <v>0</v>
      </c>
      <c r="I141" s="277">
        <v>221615</v>
      </c>
      <c r="J141" s="277">
        <v>0</v>
      </c>
      <c r="K141" s="277">
        <v>43945</v>
      </c>
      <c r="L141" s="277">
        <v>0</v>
      </c>
      <c r="M141" s="277">
        <v>195210</v>
      </c>
      <c r="N141" s="277">
        <v>195210</v>
      </c>
      <c r="O141" s="277">
        <v>0</v>
      </c>
      <c r="P141" s="277">
        <v>58102138</v>
      </c>
      <c r="Q141" s="277">
        <v>29051070</v>
      </c>
      <c r="R141" s="277">
        <v>23240855</v>
      </c>
      <c r="S141" s="277">
        <v>5229192</v>
      </c>
      <c r="T141" s="277">
        <v>581021</v>
      </c>
      <c r="U141" s="277">
        <v>58102138</v>
      </c>
      <c r="V141" s="277">
        <v>625479</v>
      </c>
      <c r="W141" s="277">
        <v>28425591</v>
      </c>
      <c r="X141" s="277">
        <v>221615</v>
      </c>
      <c r="Y141" s="277">
        <v>221615</v>
      </c>
      <c r="Z141" s="277">
        <v>43945</v>
      </c>
      <c r="AA141" s="277">
        <v>43945</v>
      </c>
      <c r="AB141" s="277">
        <v>0</v>
      </c>
      <c r="AC141" s="277">
        <v>0</v>
      </c>
      <c r="AD141" s="277">
        <v>195210</v>
      </c>
      <c r="AE141" s="277">
        <v>0</v>
      </c>
      <c r="AF141" s="277">
        <v>195210</v>
      </c>
      <c r="AG141" s="277">
        <v>625479</v>
      </c>
      <c r="AH141" s="277">
        <v>0</v>
      </c>
      <c r="AI141" s="277">
        <v>0</v>
      </c>
      <c r="AJ141" s="277">
        <v>625479</v>
      </c>
      <c r="AK141" s="277">
        <v>0</v>
      </c>
      <c r="AL141" s="277">
        <v>0</v>
      </c>
      <c r="AM141" s="277">
        <v>-1422993</v>
      </c>
      <c r="AN141" s="277">
        <v>-1138394.4</v>
      </c>
      <c r="AO141" s="277">
        <v>-256138.74</v>
      </c>
      <c r="AP141" s="277">
        <v>-28459.86</v>
      </c>
      <c r="AQ141" s="277">
        <v>-2845986</v>
      </c>
      <c r="AR141" s="277">
        <v>27002598</v>
      </c>
      <c r="AS141" s="277">
        <v>23188710</v>
      </c>
      <c r="AT141" s="277">
        <v>4973053</v>
      </c>
      <c r="AU141" s="277">
        <v>552561</v>
      </c>
      <c r="AV141" s="277">
        <v>55716922</v>
      </c>
      <c r="AW141" s="277">
        <v>258250</v>
      </c>
      <c r="AX141" s="277">
        <v>55512</v>
      </c>
      <c r="AY141" s="277">
        <v>6168</v>
      </c>
      <c r="AZ141" s="277">
        <v>319930</v>
      </c>
      <c r="BA141" s="277">
        <v>542728</v>
      </c>
      <c r="BB141" s="277">
        <v>122114</v>
      </c>
      <c r="BC141" s="277">
        <v>13568</v>
      </c>
      <c r="BD141" s="277">
        <v>678410</v>
      </c>
      <c r="BE141" s="277">
        <v>20212</v>
      </c>
      <c r="BF141" s="277">
        <v>4548</v>
      </c>
      <c r="BG141" s="277">
        <v>505</v>
      </c>
      <c r="BH141" s="277">
        <v>25265</v>
      </c>
      <c r="BI141" s="277">
        <v>8085</v>
      </c>
      <c r="BJ141" s="277">
        <v>1819</v>
      </c>
      <c r="BK141" s="277">
        <v>202</v>
      </c>
      <c r="BL141" s="277">
        <v>10106</v>
      </c>
      <c r="BM141" s="277">
        <v>10106</v>
      </c>
      <c r="BN141" s="277">
        <v>2274</v>
      </c>
      <c r="BO141" s="277">
        <v>253</v>
      </c>
      <c r="BP141" s="277">
        <v>12633</v>
      </c>
      <c r="BQ141" s="277">
        <v>20212</v>
      </c>
      <c r="BR141" s="277">
        <v>4548</v>
      </c>
      <c r="BS141" s="277">
        <v>505</v>
      </c>
      <c r="BT141" s="277">
        <v>25265</v>
      </c>
      <c r="BU141" s="277">
        <v>859593</v>
      </c>
      <c r="BV141" s="277">
        <v>190815</v>
      </c>
      <c r="BW141" s="277">
        <v>21201</v>
      </c>
      <c r="BX141" s="277">
        <v>1071609</v>
      </c>
      <c r="BY141" s="278" t="s">
        <v>175</v>
      </c>
      <c r="BZ141" s="279" t="s">
        <v>1023</v>
      </c>
      <c r="CA141" s="280" t="s">
        <v>1024</v>
      </c>
    </row>
    <row r="142" spans="1:79" ht="12.75">
      <c r="A142" s="169">
        <v>135</v>
      </c>
      <c r="B142" s="172" t="s">
        <v>177</v>
      </c>
      <c r="C142" s="258" t="s">
        <v>178</v>
      </c>
      <c r="D142" s="277">
        <v>20667305.2</v>
      </c>
      <c r="E142" s="277">
        <v>76348</v>
      </c>
      <c r="F142" s="277">
        <v>0</v>
      </c>
      <c r="G142" s="277">
        <v>132514</v>
      </c>
      <c r="H142" s="277">
        <v>0</v>
      </c>
      <c r="I142" s="277">
        <v>132514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20611139.2</v>
      </c>
      <c r="Q142" s="277">
        <v>10305569.2</v>
      </c>
      <c r="R142" s="277">
        <v>8244456</v>
      </c>
      <c r="S142" s="277">
        <v>1855003</v>
      </c>
      <c r="T142" s="277">
        <v>206111</v>
      </c>
      <c r="U142" s="277">
        <v>20611139</v>
      </c>
      <c r="V142" s="277">
        <v>0</v>
      </c>
      <c r="W142" s="277">
        <v>10305569.2</v>
      </c>
      <c r="X142" s="277">
        <v>132514</v>
      </c>
      <c r="Y142" s="277">
        <v>132514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  <c r="AE142" s="277">
        <v>0</v>
      </c>
      <c r="AF142" s="277">
        <v>0</v>
      </c>
      <c r="AG142" s="277">
        <v>0</v>
      </c>
      <c r="AH142" s="277">
        <v>0</v>
      </c>
      <c r="AI142" s="277">
        <v>0</v>
      </c>
      <c r="AJ142" s="277">
        <v>0</v>
      </c>
      <c r="AK142" s="277">
        <v>0</v>
      </c>
      <c r="AL142" s="277">
        <v>0</v>
      </c>
      <c r="AM142" s="277">
        <v>-770442.5</v>
      </c>
      <c r="AN142" s="277">
        <v>-616354</v>
      </c>
      <c r="AO142" s="277">
        <v>-138679.65</v>
      </c>
      <c r="AP142" s="277">
        <v>-15408.85</v>
      </c>
      <c r="AQ142" s="277">
        <v>-1540885</v>
      </c>
      <c r="AR142" s="277">
        <v>9535127</v>
      </c>
      <c r="AS142" s="277">
        <v>7760616</v>
      </c>
      <c r="AT142" s="277">
        <v>1716323</v>
      </c>
      <c r="AU142" s="277">
        <v>190702</v>
      </c>
      <c r="AV142" s="277">
        <v>19202768</v>
      </c>
      <c r="AW142" s="277">
        <v>88927</v>
      </c>
      <c r="AX142" s="277">
        <v>19692</v>
      </c>
      <c r="AY142" s="277">
        <v>2188</v>
      </c>
      <c r="AZ142" s="277">
        <v>110807</v>
      </c>
      <c r="BA142" s="277">
        <v>448164</v>
      </c>
      <c r="BB142" s="277">
        <v>100837</v>
      </c>
      <c r="BC142" s="277">
        <v>11204</v>
      </c>
      <c r="BD142" s="277">
        <v>560205</v>
      </c>
      <c r="BE142" s="277">
        <v>0</v>
      </c>
      <c r="BF142" s="277">
        <v>0</v>
      </c>
      <c r="BG142" s="277">
        <v>0</v>
      </c>
      <c r="BH142" s="277">
        <v>0</v>
      </c>
      <c r="BI142" s="277">
        <v>0</v>
      </c>
      <c r="BJ142" s="277">
        <v>0</v>
      </c>
      <c r="BK142" s="277">
        <v>0</v>
      </c>
      <c r="BL142" s="277">
        <v>0</v>
      </c>
      <c r="BM142" s="277">
        <v>26692</v>
      </c>
      <c r="BN142" s="277">
        <v>6006</v>
      </c>
      <c r="BO142" s="277">
        <v>667</v>
      </c>
      <c r="BP142" s="277">
        <v>33365</v>
      </c>
      <c r="BQ142" s="277">
        <v>149962</v>
      </c>
      <c r="BR142" s="277">
        <v>33741</v>
      </c>
      <c r="BS142" s="277">
        <v>3749</v>
      </c>
      <c r="BT142" s="277">
        <v>187452</v>
      </c>
      <c r="BU142" s="277">
        <v>713745</v>
      </c>
      <c r="BV142" s="277">
        <v>160276</v>
      </c>
      <c r="BW142" s="277">
        <v>17808</v>
      </c>
      <c r="BX142" s="277">
        <v>891829</v>
      </c>
      <c r="BY142" s="278" t="s">
        <v>177</v>
      </c>
      <c r="BZ142" s="279" t="s">
        <v>1022</v>
      </c>
      <c r="CA142" s="280" t="s">
        <v>1009</v>
      </c>
    </row>
    <row r="143" spans="1:79" ht="12.75">
      <c r="A143" s="169">
        <v>136</v>
      </c>
      <c r="B143" s="172" t="s">
        <v>179</v>
      </c>
      <c r="C143" s="258" t="s">
        <v>180</v>
      </c>
      <c r="D143" s="277">
        <v>55954634.6</v>
      </c>
      <c r="E143" s="277">
        <v>80309.77</v>
      </c>
      <c r="F143" s="277">
        <v>0</v>
      </c>
      <c r="G143" s="277">
        <v>193509</v>
      </c>
      <c r="H143" s="277">
        <v>0</v>
      </c>
      <c r="I143" s="277">
        <v>193509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55841435.4</v>
      </c>
      <c r="Q143" s="277">
        <v>27920717.4</v>
      </c>
      <c r="R143" s="277">
        <v>22336574</v>
      </c>
      <c r="S143" s="277">
        <v>5584144</v>
      </c>
      <c r="T143" s="277">
        <v>0</v>
      </c>
      <c r="U143" s="277">
        <v>55841435</v>
      </c>
      <c r="V143" s="277">
        <v>0</v>
      </c>
      <c r="W143" s="277">
        <v>27920717.4</v>
      </c>
      <c r="X143" s="277">
        <v>193509</v>
      </c>
      <c r="Y143" s="277">
        <v>193509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  <c r="AE143" s="277">
        <v>0</v>
      </c>
      <c r="AF143" s="277">
        <v>0</v>
      </c>
      <c r="AG143" s="277">
        <v>0</v>
      </c>
      <c r="AH143" s="277">
        <v>0</v>
      </c>
      <c r="AI143" s="277">
        <v>0</v>
      </c>
      <c r="AJ143" s="277">
        <v>0</v>
      </c>
      <c r="AK143" s="277">
        <v>0</v>
      </c>
      <c r="AL143" s="277">
        <v>0</v>
      </c>
      <c r="AM143" s="277">
        <v>303795</v>
      </c>
      <c r="AN143" s="277">
        <v>243036</v>
      </c>
      <c r="AO143" s="277">
        <v>60759</v>
      </c>
      <c r="AP143" s="277">
        <v>0</v>
      </c>
      <c r="AQ143" s="277">
        <v>607590</v>
      </c>
      <c r="AR143" s="277">
        <v>28224512</v>
      </c>
      <c r="AS143" s="277">
        <v>22773119</v>
      </c>
      <c r="AT143" s="277">
        <v>5644903</v>
      </c>
      <c r="AU143" s="277">
        <v>0</v>
      </c>
      <c r="AV143" s="277">
        <v>56642534</v>
      </c>
      <c r="AW143" s="277">
        <v>239173</v>
      </c>
      <c r="AX143" s="277">
        <v>59280</v>
      </c>
      <c r="AY143" s="277">
        <v>0</v>
      </c>
      <c r="AZ143" s="277">
        <v>298453</v>
      </c>
      <c r="BA143" s="277">
        <v>435262</v>
      </c>
      <c r="BB143" s="277">
        <v>108815</v>
      </c>
      <c r="BC143" s="277">
        <v>0</v>
      </c>
      <c r="BD143" s="277">
        <v>544077</v>
      </c>
      <c r="BE143" s="277">
        <v>8793</v>
      </c>
      <c r="BF143" s="277">
        <v>2198</v>
      </c>
      <c r="BG143" s="277">
        <v>0</v>
      </c>
      <c r="BH143" s="277">
        <v>10991</v>
      </c>
      <c r="BI143" s="277">
        <v>0</v>
      </c>
      <c r="BJ143" s="277">
        <v>0</v>
      </c>
      <c r="BK143" s="277">
        <v>0</v>
      </c>
      <c r="BL143" s="277">
        <v>0</v>
      </c>
      <c r="BM143" s="277">
        <v>60637</v>
      </c>
      <c r="BN143" s="277">
        <v>15159</v>
      </c>
      <c r="BO143" s="277">
        <v>0</v>
      </c>
      <c r="BP143" s="277">
        <v>75796</v>
      </c>
      <c r="BQ143" s="277">
        <v>121274</v>
      </c>
      <c r="BR143" s="277">
        <v>30318</v>
      </c>
      <c r="BS143" s="277">
        <v>0</v>
      </c>
      <c r="BT143" s="277">
        <v>151592</v>
      </c>
      <c r="BU143" s="277">
        <v>865139</v>
      </c>
      <c r="BV143" s="277">
        <v>215770</v>
      </c>
      <c r="BW143" s="277">
        <v>0</v>
      </c>
      <c r="BX143" s="277">
        <v>1080909</v>
      </c>
      <c r="BY143" s="278" t="s">
        <v>179</v>
      </c>
      <c r="BZ143" s="279" t="s">
        <v>994</v>
      </c>
      <c r="CA143" s="280" t="s">
        <v>984</v>
      </c>
    </row>
    <row r="144" spans="1:79" ht="12.75">
      <c r="A144" s="169">
        <v>137</v>
      </c>
      <c r="B144" s="172" t="s">
        <v>181</v>
      </c>
      <c r="C144" s="258" t="s">
        <v>182</v>
      </c>
      <c r="D144" s="277">
        <v>34598426.4</v>
      </c>
      <c r="E144" s="277">
        <v>17809</v>
      </c>
      <c r="F144" s="277">
        <v>0</v>
      </c>
      <c r="G144" s="277">
        <v>251556</v>
      </c>
      <c r="H144" s="277">
        <v>0</v>
      </c>
      <c r="I144" s="277">
        <v>251556</v>
      </c>
      <c r="J144" s="277">
        <v>0</v>
      </c>
      <c r="K144" s="277">
        <v>0</v>
      </c>
      <c r="L144" s="277">
        <v>0</v>
      </c>
      <c r="M144" s="277">
        <v>62832</v>
      </c>
      <c r="N144" s="277">
        <v>62832</v>
      </c>
      <c r="O144" s="277">
        <v>0</v>
      </c>
      <c r="P144" s="277">
        <v>34301847.4</v>
      </c>
      <c r="Q144" s="277">
        <v>17150923.4</v>
      </c>
      <c r="R144" s="277">
        <v>17150924</v>
      </c>
      <c r="S144" s="277">
        <v>0</v>
      </c>
      <c r="T144" s="277">
        <v>0</v>
      </c>
      <c r="U144" s="277">
        <v>34301847</v>
      </c>
      <c r="V144" s="277">
        <v>0</v>
      </c>
      <c r="W144" s="277">
        <v>17150923.4</v>
      </c>
      <c r="X144" s="277">
        <v>251556</v>
      </c>
      <c r="Y144" s="277">
        <v>251556</v>
      </c>
      <c r="Z144" s="277">
        <v>0</v>
      </c>
      <c r="AA144" s="277">
        <v>0</v>
      </c>
      <c r="AB144" s="277">
        <v>0</v>
      </c>
      <c r="AC144" s="277">
        <v>0</v>
      </c>
      <c r="AD144" s="277">
        <v>62832</v>
      </c>
      <c r="AE144" s="277">
        <v>0</v>
      </c>
      <c r="AF144" s="277">
        <v>62832</v>
      </c>
      <c r="AG144" s="277">
        <v>0</v>
      </c>
      <c r="AH144" s="277">
        <v>0</v>
      </c>
      <c r="AI144" s="277">
        <v>0</v>
      </c>
      <c r="AJ144" s="277">
        <v>0</v>
      </c>
      <c r="AK144" s="277">
        <v>0</v>
      </c>
      <c r="AL144" s="277">
        <v>0</v>
      </c>
      <c r="AM144" s="277">
        <v>-1769587.5</v>
      </c>
      <c r="AN144" s="277">
        <v>-1769587.5</v>
      </c>
      <c r="AO144" s="277">
        <v>0</v>
      </c>
      <c r="AP144" s="277">
        <v>0</v>
      </c>
      <c r="AQ144" s="277">
        <v>-3539175</v>
      </c>
      <c r="AR144" s="277">
        <v>15381336</v>
      </c>
      <c r="AS144" s="277">
        <v>15695725</v>
      </c>
      <c r="AT144" s="277">
        <v>0</v>
      </c>
      <c r="AU144" s="277">
        <v>0</v>
      </c>
      <c r="AV144" s="277">
        <v>31077060</v>
      </c>
      <c r="AW144" s="277">
        <v>185407</v>
      </c>
      <c r="AX144" s="277">
        <v>0</v>
      </c>
      <c r="AY144" s="277">
        <v>0</v>
      </c>
      <c r="AZ144" s="277">
        <v>185407</v>
      </c>
      <c r="BA144" s="277">
        <v>1086676</v>
      </c>
      <c r="BB144" s="277">
        <v>0</v>
      </c>
      <c r="BC144" s="277">
        <v>0</v>
      </c>
      <c r="BD144" s="277">
        <v>1086676</v>
      </c>
      <c r="BE144" s="277">
        <v>6064</v>
      </c>
      <c r="BF144" s="277">
        <v>0</v>
      </c>
      <c r="BG144" s="277">
        <v>0</v>
      </c>
      <c r="BH144" s="277">
        <v>6064</v>
      </c>
      <c r="BI144" s="277">
        <v>2527</v>
      </c>
      <c r="BJ144" s="277">
        <v>0</v>
      </c>
      <c r="BK144" s="277">
        <v>0</v>
      </c>
      <c r="BL144" s="277">
        <v>2527</v>
      </c>
      <c r="BM144" s="277">
        <v>50531</v>
      </c>
      <c r="BN144" s="277">
        <v>0</v>
      </c>
      <c r="BO144" s="277">
        <v>0</v>
      </c>
      <c r="BP144" s="277">
        <v>50531</v>
      </c>
      <c r="BQ144" s="277">
        <v>512887</v>
      </c>
      <c r="BR144" s="277">
        <v>0</v>
      </c>
      <c r="BS144" s="277">
        <v>0</v>
      </c>
      <c r="BT144" s="277">
        <v>512887</v>
      </c>
      <c r="BU144" s="277">
        <v>1844092</v>
      </c>
      <c r="BV144" s="277">
        <v>0</v>
      </c>
      <c r="BW144" s="277">
        <v>0</v>
      </c>
      <c r="BX144" s="277">
        <v>1844092</v>
      </c>
      <c r="BY144" s="281" t="s">
        <v>1043</v>
      </c>
      <c r="BZ144" s="279" t="s">
        <v>1003</v>
      </c>
      <c r="CA144" s="280" t="s">
        <v>984</v>
      </c>
    </row>
    <row r="145" spans="1:79" ht="12.75">
      <c r="A145" s="169">
        <v>138</v>
      </c>
      <c r="B145" s="172" t="s">
        <v>183</v>
      </c>
      <c r="C145" s="258" t="s">
        <v>184</v>
      </c>
      <c r="D145" s="277">
        <v>1594473.65</v>
      </c>
      <c r="E145" s="277">
        <v>14309</v>
      </c>
      <c r="F145" s="277">
        <v>0</v>
      </c>
      <c r="G145" s="277">
        <v>25335</v>
      </c>
      <c r="H145" s="277">
        <v>0</v>
      </c>
      <c r="I145" s="277">
        <v>25335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1583447.65</v>
      </c>
      <c r="Q145" s="277">
        <v>791723.65</v>
      </c>
      <c r="R145" s="277">
        <v>791724</v>
      </c>
      <c r="S145" s="277">
        <v>0</v>
      </c>
      <c r="T145" s="277">
        <v>0</v>
      </c>
      <c r="U145" s="277">
        <v>1583448</v>
      </c>
      <c r="V145" s="277">
        <v>0</v>
      </c>
      <c r="W145" s="277">
        <v>791723.65</v>
      </c>
      <c r="X145" s="277">
        <v>25335</v>
      </c>
      <c r="Y145" s="277">
        <v>25335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  <c r="AE145" s="277">
        <v>0</v>
      </c>
      <c r="AF145" s="277">
        <v>0</v>
      </c>
      <c r="AG145" s="277">
        <v>0</v>
      </c>
      <c r="AH145" s="277">
        <v>0</v>
      </c>
      <c r="AI145" s="277">
        <v>0</v>
      </c>
      <c r="AJ145" s="277">
        <v>0</v>
      </c>
      <c r="AK145" s="277">
        <v>0</v>
      </c>
      <c r="AL145" s="277">
        <v>0</v>
      </c>
      <c r="AM145" s="277">
        <v>-85766</v>
      </c>
      <c r="AN145" s="277">
        <v>-85766</v>
      </c>
      <c r="AO145" s="277">
        <v>0</v>
      </c>
      <c r="AP145" s="277">
        <v>0</v>
      </c>
      <c r="AQ145" s="277">
        <v>-171532</v>
      </c>
      <c r="AR145" s="277">
        <v>705958</v>
      </c>
      <c r="AS145" s="277">
        <v>731293</v>
      </c>
      <c r="AT145" s="277">
        <v>0</v>
      </c>
      <c r="AU145" s="277">
        <v>0</v>
      </c>
      <c r="AV145" s="277">
        <v>1437251</v>
      </c>
      <c r="AW145" s="277">
        <v>8674</v>
      </c>
      <c r="AX145" s="277">
        <v>0</v>
      </c>
      <c r="AY145" s="277">
        <v>0</v>
      </c>
      <c r="AZ145" s="277">
        <v>8674</v>
      </c>
      <c r="BA145" s="277">
        <v>75451</v>
      </c>
      <c r="BB145" s="277">
        <v>0</v>
      </c>
      <c r="BC145" s="277">
        <v>0</v>
      </c>
      <c r="BD145" s="277">
        <v>75451</v>
      </c>
      <c r="BE145" s="277">
        <v>0</v>
      </c>
      <c r="BF145" s="277">
        <v>0</v>
      </c>
      <c r="BG145" s="277">
        <v>0</v>
      </c>
      <c r="BH145" s="277">
        <v>0</v>
      </c>
      <c r="BI145" s="277">
        <v>0</v>
      </c>
      <c r="BJ145" s="277">
        <v>0</v>
      </c>
      <c r="BK145" s="277">
        <v>0</v>
      </c>
      <c r="BL145" s="277">
        <v>0</v>
      </c>
      <c r="BM145" s="277">
        <v>0</v>
      </c>
      <c r="BN145" s="277">
        <v>0</v>
      </c>
      <c r="BO145" s="277">
        <v>0</v>
      </c>
      <c r="BP145" s="277">
        <v>0</v>
      </c>
      <c r="BQ145" s="277">
        <v>22234</v>
      </c>
      <c r="BR145" s="277">
        <v>0</v>
      </c>
      <c r="BS145" s="277">
        <v>0</v>
      </c>
      <c r="BT145" s="277">
        <v>22234</v>
      </c>
      <c r="BU145" s="277">
        <v>106359</v>
      </c>
      <c r="BV145" s="277">
        <v>0</v>
      </c>
      <c r="BW145" s="277">
        <v>0</v>
      </c>
      <c r="BX145" s="277">
        <v>106359</v>
      </c>
      <c r="BY145" s="278" t="s">
        <v>183</v>
      </c>
      <c r="BZ145" s="279" t="s">
        <v>1003</v>
      </c>
      <c r="CA145" s="280" t="s">
        <v>984</v>
      </c>
    </row>
    <row r="146" spans="1:79" ht="12.75">
      <c r="A146" s="169">
        <v>139</v>
      </c>
      <c r="B146" s="172" t="s">
        <v>185</v>
      </c>
      <c r="C146" s="258" t="s">
        <v>187</v>
      </c>
      <c r="D146" s="277">
        <v>187719773</v>
      </c>
      <c r="E146" s="277">
        <v>197923</v>
      </c>
      <c r="F146" s="277">
        <v>0</v>
      </c>
      <c r="G146" s="277">
        <v>647463</v>
      </c>
      <c r="H146" s="277">
        <v>0</v>
      </c>
      <c r="I146" s="277">
        <v>647463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187270233</v>
      </c>
      <c r="Q146" s="277">
        <v>93635116</v>
      </c>
      <c r="R146" s="277">
        <v>56181070</v>
      </c>
      <c r="S146" s="277">
        <v>37454047</v>
      </c>
      <c r="T146" s="277">
        <v>0</v>
      </c>
      <c r="U146" s="277">
        <v>187270233</v>
      </c>
      <c r="V146" s="277">
        <v>0</v>
      </c>
      <c r="W146" s="277">
        <v>93635116</v>
      </c>
      <c r="X146" s="277">
        <v>647463</v>
      </c>
      <c r="Y146" s="277">
        <v>647463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  <c r="AE146" s="277">
        <v>0</v>
      </c>
      <c r="AF146" s="277">
        <v>0</v>
      </c>
      <c r="AG146" s="277">
        <v>0</v>
      </c>
      <c r="AH146" s="277">
        <v>0</v>
      </c>
      <c r="AI146" s="277">
        <v>0</v>
      </c>
      <c r="AJ146" s="277">
        <v>0</v>
      </c>
      <c r="AK146" s="277">
        <v>0</v>
      </c>
      <c r="AL146" s="277">
        <v>0</v>
      </c>
      <c r="AM146" s="277">
        <v>-833461</v>
      </c>
      <c r="AN146" s="277">
        <v>-500076.6</v>
      </c>
      <c r="AO146" s="277">
        <v>-333384.4</v>
      </c>
      <c r="AP146" s="277">
        <v>0</v>
      </c>
      <c r="AQ146" s="277">
        <v>-1666922</v>
      </c>
      <c r="AR146" s="277">
        <v>92801655</v>
      </c>
      <c r="AS146" s="277">
        <v>56328456</v>
      </c>
      <c r="AT146" s="277">
        <v>37120663</v>
      </c>
      <c r="AU146" s="277">
        <v>0</v>
      </c>
      <c r="AV146" s="277">
        <v>186250774</v>
      </c>
      <c r="AW146" s="277">
        <v>603275</v>
      </c>
      <c r="AX146" s="277">
        <v>397601</v>
      </c>
      <c r="AY146" s="277">
        <v>0</v>
      </c>
      <c r="AZ146" s="277">
        <v>1000876</v>
      </c>
      <c r="BA146" s="277">
        <v>469242</v>
      </c>
      <c r="BB146" s="277">
        <v>312828</v>
      </c>
      <c r="BC146" s="277">
        <v>0</v>
      </c>
      <c r="BD146" s="277">
        <v>782070</v>
      </c>
      <c r="BE146" s="277">
        <v>3032</v>
      </c>
      <c r="BF146" s="277">
        <v>2021</v>
      </c>
      <c r="BG146" s="277">
        <v>0</v>
      </c>
      <c r="BH146" s="277">
        <v>5053</v>
      </c>
      <c r="BI146" s="277">
        <v>30319</v>
      </c>
      <c r="BJ146" s="277">
        <v>20212</v>
      </c>
      <c r="BK146" s="277">
        <v>0</v>
      </c>
      <c r="BL146" s="277">
        <v>50531</v>
      </c>
      <c r="BM146" s="277">
        <v>78467</v>
      </c>
      <c r="BN146" s="277">
        <v>52312</v>
      </c>
      <c r="BO146" s="277">
        <v>0</v>
      </c>
      <c r="BP146" s="277">
        <v>130779</v>
      </c>
      <c r="BQ146" s="277">
        <v>212381</v>
      </c>
      <c r="BR146" s="277">
        <v>141587</v>
      </c>
      <c r="BS146" s="277">
        <v>0</v>
      </c>
      <c r="BT146" s="277">
        <v>353968</v>
      </c>
      <c r="BU146" s="277">
        <v>1396716</v>
      </c>
      <c r="BV146" s="277">
        <v>926561</v>
      </c>
      <c r="BW146" s="277">
        <v>0</v>
      </c>
      <c r="BX146" s="277">
        <v>2323277</v>
      </c>
      <c r="BY146" s="278" t="s">
        <v>185</v>
      </c>
      <c r="BZ146" s="279" t="s">
        <v>995</v>
      </c>
      <c r="CA146" s="279" t="s">
        <v>983</v>
      </c>
    </row>
    <row r="147" spans="1:79" ht="12.75">
      <c r="A147" s="169">
        <v>140</v>
      </c>
      <c r="B147" s="172" t="s">
        <v>188</v>
      </c>
      <c r="C147" s="258" t="s">
        <v>189</v>
      </c>
      <c r="D147" s="277">
        <v>268050941</v>
      </c>
      <c r="E147" s="277">
        <v>357860</v>
      </c>
      <c r="F147" s="277">
        <v>0</v>
      </c>
      <c r="G147" s="277">
        <v>616397</v>
      </c>
      <c r="H147" s="277">
        <v>0</v>
      </c>
      <c r="I147" s="277">
        <v>616397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267792404</v>
      </c>
      <c r="Q147" s="277">
        <v>133896202</v>
      </c>
      <c r="R147" s="277">
        <v>80337721</v>
      </c>
      <c r="S147" s="277">
        <v>53558481</v>
      </c>
      <c r="T147" s="277">
        <v>0</v>
      </c>
      <c r="U147" s="277">
        <v>267792404</v>
      </c>
      <c r="V147" s="277">
        <v>0</v>
      </c>
      <c r="W147" s="277">
        <v>133896202</v>
      </c>
      <c r="X147" s="277">
        <v>616397</v>
      </c>
      <c r="Y147" s="277">
        <v>616397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  <c r="AE147" s="277">
        <v>0</v>
      </c>
      <c r="AF147" s="277">
        <v>0</v>
      </c>
      <c r="AG147" s="277">
        <v>0</v>
      </c>
      <c r="AH147" s="277">
        <v>0</v>
      </c>
      <c r="AI147" s="277">
        <v>0</v>
      </c>
      <c r="AJ147" s="277">
        <v>0</v>
      </c>
      <c r="AK147" s="277">
        <v>0</v>
      </c>
      <c r="AL147" s="277">
        <v>0</v>
      </c>
      <c r="AM147" s="277">
        <v>0</v>
      </c>
      <c r="AN147" s="277">
        <v>0</v>
      </c>
      <c r="AO147" s="277">
        <v>0</v>
      </c>
      <c r="AP147" s="277">
        <v>0</v>
      </c>
      <c r="AQ147" s="277">
        <v>0</v>
      </c>
      <c r="AR147" s="277">
        <v>133896202</v>
      </c>
      <c r="AS147" s="277">
        <v>80954118</v>
      </c>
      <c r="AT147" s="277">
        <v>53558481</v>
      </c>
      <c r="AU147" s="277">
        <v>0</v>
      </c>
      <c r="AV147" s="277">
        <v>268408801</v>
      </c>
      <c r="AW147" s="277">
        <v>859386</v>
      </c>
      <c r="AX147" s="277">
        <v>568561</v>
      </c>
      <c r="AY147" s="277">
        <v>0</v>
      </c>
      <c r="AZ147" s="277">
        <v>1427947</v>
      </c>
      <c r="BA147" s="277">
        <v>216778</v>
      </c>
      <c r="BB147" s="277">
        <v>144519</v>
      </c>
      <c r="BC147" s="277">
        <v>0</v>
      </c>
      <c r="BD147" s="277">
        <v>361297</v>
      </c>
      <c r="BE147" s="277">
        <v>0</v>
      </c>
      <c r="BF147" s="277">
        <v>0</v>
      </c>
      <c r="BG147" s="277">
        <v>0</v>
      </c>
      <c r="BH147" s="277">
        <v>0</v>
      </c>
      <c r="BI147" s="277">
        <v>18191</v>
      </c>
      <c r="BJ147" s="277">
        <v>12127</v>
      </c>
      <c r="BK147" s="277">
        <v>0</v>
      </c>
      <c r="BL147" s="277">
        <v>30318</v>
      </c>
      <c r="BM147" s="277">
        <v>121274</v>
      </c>
      <c r="BN147" s="277">
        <v>80849</v>
      </c>
      <c r="BO147" s="277">
        <v>0</v>
      </c>
      <c r="BP147" s="277">
        <v>202123</v>
      </c>
      <c r="BQ147" s="277">
        <v>532089</v>
      </c>
      <c r="BR147" s="277">
        <v>354726</v>
      </c>
      <c r="BS147" s="277">
        <v>0</v>
      </c>
      <c r="BT147" s="277">
        <v>886815</v>
      </c>
      <c r="BU147" s="277">
        <v>1747718</v>
      </c>
      <c r="BV147" s="277">
        <v>1160782</v>
      </c>
      <c r="BW147" s="277">
        <v>0</v>
      </c>
      <c r="BX147" s="277">
        <v>2908500</v>
      </c>
      <c r="BY147" s="278" t="s">
        <v>896</v>
      </c>
      <c r="BZ147" s="279" t="s">
        <v>995</v>
      </c>
      <c r="CA147" s="279" t="s">
        <v>983</v>
      </c>
    </row>
    <row r="148" spans="1:79" ht="12.75">
      <c r="A148" s="169">
        <v>141</v>
      </c>
      <c r="B148" s="172" t="s">
        <v>190</v>
      </c>
      <c r="C148" s="258" t="s">
        <v>191</v>
      </c>
      <c r="D148" s="277">
        <v>30655677</v>
      </c>
      <c r="E148" s="277">
        <v>0</v>
      </c>
      <c r="F148" s="277">
        <v>51057</v>
      </c>
      <c r="G148" s="277">
        <v>110664</v>
      </c>
      <c r="H148" s="277">
        <v>0</v>
      </c>
      <c r="I148" s="277">
        <v>110664</v>
      </c>
      <c r="J148" s="277">
        <v>0</v>
      </c>
      <c r="K148" s="277">
        <v>0</v>
      </c>
      <c r="L148" s="277">
        <v>0</v>
      </c>
      <c r="M148" s="277">
        <v>0</v>
      </c>
      <c r="N148" s="277">
        <v>0</v>
      </c>
      <c r="O148" s="277">
        <v>0</v>
      </c>
      <c r="P148" s="277">
        <v>30493956</v>
      </c>
      <c r="Q148" s="277">
        <v>15246978</v>
      </c>
      <c r="R148" s="277">
        <v>12197582</v>
      </c>
      <c r="S148" s="277">
        <v>3049396</v>
      </c>
      <c r="T148" s="277">
        <v>0</v>
      </c>
      <c r="U148" s="277">
        <v>30493956</v>
      </c>
      <c r="V148" s="277">
        <v>0</v>
      </c>
      <c r="W148" s="277">
        <v>15246978</v>
      </c>
      <c r="X148" s="277">
        <v>110664</v>
      </c>
      <c r="Y148" s="277">
        <v>110664</v>
      </c>
      <c r="Z148" s="277">
        <v>0</v>
      </c>
      <c r="AA148" s="277">
        <v>0</v>
      </c>
      <c r="AB148" s="277">
        <v>0</v>
      </c>
      <c r="AC148" s="277">
        <v>0</v>
      </c>
      <c r="AD148" s="277">
        <v>0</v>
      </c>
      <c r="AE148" s="277">
        <v>0</v>
      </c>
      <c r="AF148" s="277">
        <v>0</v>
      </c>
      <c r="AG148" s="277">
        <v>0</v>
      </c>
      <c r="AH148" s="277">
        <v>0</v>
      </c>
      <c r="AI148" s="277">
        <v>0</v>
      </c>
      <c r="AJ148" s="277">
        <v>0</v>
      </c>
      <c r="AK148" s="277">
        <v>0</v>
      </c>
      <c r="AL148" s="277">
        <v>0</v>
      </c>
      <c r="AM148" s="277">
        <v>233992.5</v>
      </c>
      <c r="AN148" s="277">
        <v>187194</v>
      </c>
      <c r="AO148" s="277">
        <v>46798.5</v>
      </c>
      <c r="AP148" s="277">
        <v>0</v>
      </c>
      <c r="AQ148" s="277">
        <v>467985</v>
      </c>
      <c r="AR148" s="277">
        <v>15480971</v>
      </c>
      <c r="AS148" s="277">
        <v>12495440</v>
      </c>
      <c r="AT148" s="277">
        <v>3096195</v>
      </c>
      <c r="AU148" s="277">
        <v>0</v>
      </c>
      <c r="AV148" s="277">
        <v>31072605</v>
      </c>
      <c r="AW148" s="277">
        <v>130661</v>
      </c>
      <c r="AX148" s="277">
        <v>32372</v>
      </c>
      <c r="AY148" s="277">
        <v>0</v>
      </c>
      <c r="AZ148" s="277">
        <v>163033</v>
      </c>
      <c r="BA148" s="277">
        <v>309263</v>
      </c>
      <c r="BB148" s="277">
        <v>77316</v>
      </c>
      <c r="BC148" s="277">
        <v>0</v>
      </c>
      <c r="BD148" s="277">
        <v>386579</v>
      </c>
      <c r="BE148" s="277">
        <v>12623</v>
      </c>
      <c r="BF148" s="277">
        <v>3156</v>
      </c>
      <c r="BG148" s="277">
        <v>0</v>
      </c>
      <c r="BH148" s="277">
        <v>15779</v>
      </c>
      <c r="BI148" s="277">
        <v>0</v>
      </c>
      <c r="BJ148" s="277">
        <v>0</v>
      </c>
      <c r="BK148" s="277">
        <v>0</v>
      </c>
      <c r="BL148" s="277">
        <v>0</v>
      </c>
      <c r="BM148" s="277">
        <v>40930</v>
      </c>
      <c r="BN148" s="277">
        <v>4548</v>
      </c>
      <c r="BO148" s="277">
        <v>0</v>
      </c>
      <c r="BP148" s="277">
        <v>45478</v>
      </c>
      <c r="BQ148" s="277">
        <v>186458</v>
      </c>
      <c r="BR148" s="277">
        <v>20718</v>
      </c>
      <c r="BS148" s="277">
        <v>0</v>
      </c>
      <c r="BT148" s="277">
        <v>207176</v>
      </c>
      <c r="BU148" s="277">
        <v>679935</v>
      </c>
      <c r="BV148" s="277">
        <v>138110</v>
      </c>
      <c r="BW148" s="277">
        <v>0</v>
      </c>
      <c r="BX148" s="277">
        <v>818045</v>
      </c>
      <c r="BY148" s="278" t="s">
        <v>190</v>
      </c>
      <c r="BZ148" s="279" t="s">
        <v>1032</v>
      </c>
      <c r="CA148" s="280" t="s">
        <v>984</v>
      </c>
    </row>
    <row r="149" spans="1:79" ht="12.75">
      <c r="A149" s="169">
        <v>142</v>
      </c>
      <c r="B149" s="172" t="s">
        <v>192</v>
      </c>
      <c r="C149" s="258" t="s">
        <v>193</v>
      </c>
      <c r="D149" s="277">
        <v>40267972</v>
      </c>
      <c r="E149" s="277">
        <v>219374</v>
      </c>
      <c r="F149" s="277">
        <v>0</v>
      </c>
      <c r="G149" s="277">
        <v>217818</v>
      </c>
      <c r="H149" s="277">
        <v>0</v>
      </c>
      <c r="I149" s="277">
        <v>217818</v>
      </c>
      <c r="J149" s="277">
        <v>0</v>
      </c>
      <c r="K149" s="277">
        <v>0</v>
      </c>
      <c r="L149" s="277">
        <v>0</v>
      </c>
      <c r="M149" s="277">
        <v>506100</v>
      </c>
      <c r="N149" s="277">
        <v>506100</v>
      </c>
      <c r="O149" s="277">
        <v>0</v>
      </c>
      <c r="P149" s="277">
        <v>39763428</v>
      </c>
      <c r="Q149" s="277">
        <v>19881714</v>
      </c>
      <c r="R149" s="277">
        <v>15905371</v>
      </c>
      <c r="S149" s="277">
        <v>3976343</v>
      </c>
      <c r="T149" s="277">
        <v>0</v>
      </c>
      <c r="U149" s="277">
        <v>39763428</v>
      </c>
      <c r="V149" s="277">
        <v>0</v>
      </c>
      <c r="W149" s="277">
        <v>19881714</v>
      </c>
      <c r="X149" s="277">
        <v>217818</v>
      </c>
      <c r="Y149" s="277">
        <v>217818</v>
      </c>
      <c r="Z149" s="277">
        <v>0</v>
      </c>
      <c r="AA149" s="277">
        <v>0</v>
      </c>
      <c r="AB149" s="277">
        <v>0</v>
      </c>
      <c r="AC149" s="277">
        <v>0</v>
      </c>
      <c r="AD149" s="277">
        <v>506100</v>
      </c>
      <c r="AE149" s="277">
        <v>0</v>
      </c>
      <c r="AF149" s="277">
        <v>506100</v>
      </c>
      <c r="AG149" s="277">
        <v>0</v>
      </c>
      <c r="AH149" s="277">
        <v>0</v>
      </c>
      <c r="AI149" s="277">
        <v>0</v>
      </c>
      <c r="AJ149" s="277">
        <v>0</v>
      </c>
      <c r="AK149" s="277">
        <v>0</v>
      </c>
      <c r="AL149" s="277">
        <v>0</v>
      </c>
      <c r="AM149" s="277">
        <v>-126974.5</v>
      </c>
      <c r="AN149" s="277">
        <v>-101579.6</v>
      </c>
      <c r="AO149" s="277">
        <v>-25394.9</v>
      </c>
      <c r="AP149" s="277">
        <v>0</v>
      </c>
      <c r="AQ149" s="277">
        <v>-253949</v>
      </c>
      <c r="AR149" s="277">
        <v>19754740</v>
      </c>
      <c r="AS149" s="277">
        <v>16527709</v>
      </c>
      <c r="AT149" s="277">
        <v>3950948</v>
      </c>
      <c r="AU149" s="277">
        <v>0</v>
      </c>
      <c r="AV149" s="277">
        <v>40233397</v>
      </c>
      <c r="AW149" s="277">
        <v>176532</v>
      </c>
      <c r="AX149" s="277">
        <v>42212</v>
      </c>
      <c r="AY149" s="277">
        <v>0</v>
      </c>
      <c r="AZ149" s="277">
        <v>218744</v>
      </c>
      <c r="BA149" s="277">
        <v>629452</v>
      </c>
      <c r="BB149" s="277">
        <v>157363</v>
      </c>
      <c r="BC149" s="277">
        <v>0</v>
      </c>
      <c r="BD149" s="277">
        <v>786815</v>
      </c>
      <c r="BE149" s="277">
        <v>4851</v>
      </c>
      <c r="BF149" s="277">
        <v>1213</v>
      </c>
      <c r="BG149" s="277">
        <v>0</v>
      </c>
      <c r="BH149" s="277">
        <v>6064</v>
      </c>
      <c r="BI149" s="277">
        <v>40425</v>
      </c>
      <c r="BJ149" s="277">
        <v>10106</v>
      </c>
      <c r="BK149" s="277">
        <v>0</v>
      </c>
      <c r="BL149" s="277">
        <v>50531</v>
      </c>
      <c r="BM149" s="277">
        <v>111168</v>
      </c>
      <c r="BN149" s="277">
        <v>27792</v>
      </c>
      <c r="BO149" s="277">
        <v>0</v>
      </c>
      <c r="BP149" s="277">
        <v>138960</v>
      </c>
      <c r="BQ149" s="277">
        <v>515414</v>
      </c>
      <c r="BR149" s="277">
        <v>128854</v>
      </c>
      <c r="BS149" s="277">
        <v>0</v>
      </c>
      <c r="BT149" s="277">
        <v>644268</v>
      </c>
      <c r="BU149" s="277">
        <v>1477842</v>
      </c>
      <c r="BV149" s="277">
        <v>367540</v>
      </c>
      <c r="BW149" s="277">
        <v>0</v>
      </c>
      <c r="BX149" s="277">
        <v>1845382</v>
      </c>
      <c r="BY149" s="278" t="s">
        <v>1044</v>
      </c>
      <c r="BZ149" s="279" t="s">
        <v>1015</v>
      </c>
      <c r="CA149" s="280" t="s">
        <v>984</v>
      </c>
    </row>
    <row r="150" spans="1:79" ht="12.75">
      <c r="A150" s="169">
        <v>143</v>
      </c>
      <c r="B150" s="172" t="s">
        <v>194</v>
      </c>
      <c r="C150" s="258" t="s">
        <v>195</v>
      </c>
      <c r="D150" s="277">
        <v>85180580</v>
      </c>
      <c r="E150" s="277">
        <v>0</v>
      </c>
      <c r="F150" s="277">
        <v>333977</v>
      </c>
      <c r="G150" s="277">
        <v>372932</v>
      </c>
      <c r="H150" s="277">
        <v>20000</v>
      </c>
      <c r="I150" s="277">
        <v>392932</v>
      </c>
      <c r="J150" s="277">
        <v>0</v>
      </c>
      <c r="K150" s="277">
        <v>34383</v>
      </c>
      <c r="L150" s="277">
        <v>0</v>
      </c>
      <c r="M150" s="277">
        <v>0</v>
      </c>
      <c r="N150" s="277">
        <v>0</v>
      </c>
      <c r="O150" s="277">
        <v>0</v>
      </c>
      <c r="P150" s="277">
        <v>84419288</v>
      </c>
      <c r="Q150" s="277">
        <v>42209644</v>
      </c>
      <c r="R150" s="277">
        <v>41365451</v>
      </c>
      <c r="S150" s="277">
        <v>0</v>
      </c>
      <c r="T150" s="277">
        <v>844193</v>
      </c>
      <c r="U150" s="277">
        <v>84419288</v>
      </c>
      <c r="V150" s="277">
        <v>0</v>
      </c>
      <c r="W150" s="277">
        <v>42209644</v>
      </c>
      <c r="X150" s="277">
        <v>392932</v>
      </c>
      <c r="Y150" s="277">
        <v>392932</v>
      </c>
      <c r="Z150" s="277">
        <v>34383</v>
      </c>
      <c r="AA150" s="277">
        <v>34383</v>
      </c>
      <c r="AB150" s="277">
        <v>0</v>
      </c>
      <c r="AC150" s="277">
        <v>0</v>
      </c>
      <c r="AD150" s="277">
        <v>0</v>
      </c>
      <c r="AE150" s="277">
        <v>0</v>
      </c>
      <c r="AF150" s="277">
        <v>0</v>
      </c>
      <c r="AG150" s="277">
        <v>0</v>
      </c>
      <c r="AH150" s="277">
        <v>0</v>
      </c>
      <c r="AI150" s="277">
        <v>0</v>
      </c>
      <c r="AJ150" s="277">
        <v>0</v>
      </c>
      <c r="AK150" s="277">
        <v>0</v>
      </c>
      <c r="AL150" s="277">
        <v>0</v>
      </c>
      <c r="AM150" s="277">
        <v>0</v>
      </c>
      <c r="AN150" s="277">
        <v>0</v>
      </c>
      <c r="AO150" s="277">
        <v>0</v>
      </c>
      <c r="AP150" s="277">
        <v>0</v>
      </c>
      <c r="AQ150" s="277">
        <v>0</v>
      </c>
      <c r="AR150" s="277">
        <v>42209644</v>
      </c>
      <c r="AS150" s="277">
        <v>41792766</v>
      </c>
      <c r="AT150" s="277">
        <v>0</v>
      </c>
      <c r="AU150" s="277">
        <v>844193</v>
      </c>
      <c r="AV150" s="277">
        <v>84846603</v>
      </c>
      <c r="AW150" s="277">
        <v>443660</v>
      </c>
      <c r="AX150" s="277">
        <v>0</v>
      </c>
      <c r="AY150" s="277">
        <v>8962</v>
      </c>
      <c r="AZ150" s="277">
        <v>452622</v>
      </c>
      <c r="BA150" s="277">
        <v>1288484</v>
      </c>
      <c r="BB150" s="277">
        <v>0</v>
      </c>
      <c r="BC150" s="277">
        <v>26296</v>
      </c>
      <c r="BD150" s="277">
        <v>1314780</v>
      </c>
      <c r="BE150" s="277">
        <v>57494</v>
      </c>
      <c r="BF150" s="277">
        <v>0</v>
      </c>
      <c r="BG150" s="277">
        <v>1173</v>
      </c>
      <c r="BH150" s="277">
        <v>58667</v>
      </c>
      <c r="BI150" s="277">
        <v>74280</v>
      </c>
      <c r="BJ150" s="277">
        <v>0</v>
      </c>
      <c r="BK150" s="277">
        <v>1516</v>
      </c>
      <c r="BL150" s="277">
        <v>75796</v>
      </c>
      <c r="BM150" s="277">
        <v>198081</v>
      </c>
      <c r="BN150" s="277">
        <v>0</v>
      </c>
      <c r="BO150" s="277">
        <v>4042</v>
      </c>
      <c r="BP150" s="277">
        <v>202123</v>
      </c>
      <c r="BQ150" s="277">
        <v>580871</v>
      </c>
      <c r="BR150" s="277">
        <v>0</v>
      </c>
      <c r="BS150" s="277">
        <v>11855</v>
      </c>
      <c r="BT150" s="277">
        <v>592726</v>
      </c>
      <c r="BU150" s="277">
        <v>2642870</v>
      </c>
      <c r="BV150" s="277">
        <v>0</v>
      </c>
      <c r="BW150" s="277">
        <v>53844</v>
      </c>
      <c r="BX150" s="277">
        <v>2696714</v>
      </c>
      <c r="BY150" s="281" t="s">
        <v>1045</v>
      </c>
      <c r="BZ150" s="279" t="s">
        <v>1003</v>
      </c>
      <c r="CA150" s="280" t="s">
        <v>1038</v>
      </c>
    </row>
    <row r="151" spans="1:79" ht="12.75">
      <c r="A151" s="169">
        <v>144</v>
      </c>
      <c r="B151" s="172" t="s">
        <v>196</v>
      </c>
      <c r="C151" s="258" t="s">
        <v>197</v>
      </c>
      <c r="D151" s="277">
        <v>82002641</v>
      </c>
      <c r="E151" s="277">
        <v>2272</v>
      </c>
      <c r="F151" s="277">
        <v>0</v>
      </c>
      <c r="G151" s="277">
        <v>257133</v>
      </c>
      <c r="H151" s="277">
        <v>0</v>
      </c>
      <c r="I151" s="277">
        <v>257133</v>
      </c>
      <c r="J151" s="277">
        <v>0</v>
      </c>
      <c r="K151" s="277">
        <v>0</v>
      </c>
      <c r="L151" s="277">
        <v>0</v>
      </c>
      <c r="M151" s="277">
        <v>0</v>
      </c>
      <c r="N151" s="277">
        <v>0</v>
      </c>
      <c r="O151" s="277">
        <v>0</v>
      </c>
      <c r="P151" s="277">
        <v>81747780</v>
      </c>
      <c r="Q151" s="277">
        <v>40873890</v>
      </c>
      <c r="R151" s="277">
        <v>24524334</v>
      </c>
      <c r="S151" s="277">
        <v>16349556</v>
      </c>
      <c r="T151" s="277">
        <v>0</v>
      </c>
      <c r="U151" s="277">
        <v>81747780</v>
      </c>
      <c r="V151" s="277">
        <v>0</v>
      </c>
      <c r="W151" s="277">
        <v>40873890</v>
      </c>
      <c r="X151" s="277">
        <v>257133</v>
      </c>
      <c r="Y151" s="277">
        <v>257133</v>
      </c>
      <c r="Z151" s="277">
        <v>0</v>
      </c>
      <c r="AA151" s="277">
        <v>0</v>
      </c>
      <c r="AB151" s="277">
        <v>0</v>
      </c>
      <c r="AC151" s="277">
        <v>0</v>
      </c>
      <c r="AD151" s="277">
        <v>0</v>
      </c>
      <c r="AE151" s="277">
        <v>0</v>
      </c>
      <c r="AF151" s="277">
        <v>0</v>
      </c>
      <c r="AG151" s="277">
        <v>0</v>
      </c>
      <c r="AH151" s="277">
        <v>0</v>
      </c>
      <c r="AI151" s="277">
        <v>0</v>
      </c>
      <c r="AJ151" s="277">
        <v>0</v>
      </c>
      <c r="AK151" s="277">
        <v>0</v>
      </c>
      <c r="AL151" s="277">
        <v>0</v>
      </c>
      <c r="AM151" s="277">
        <v>-3430809</v>
      </c>
      <c r="AN151" s="277">
        <v>-2058485.4</v>
      </c>
      <c r="AO151" s="277">
        <v>-1372323.6</v>
      </c>
      <c r="AP151" s="277">
        <v>0</v>
      </c>
      <c r="AQ151" s="277">
        <v>-6861618.1</v>
      </c>
      <c r="AR151" s="277">
        <v>37443081</v>
      </c>
      <c r="AS151" s="277">
        <v>22722982</v>
      </c>
      <c r="AT151" s="277">
        <v>14977232</v>
      </c>
      <c r="AU151" s="277">
        <v>0</v>
      </c>
      <c r="AV151" s="277">
        <v>75143295</v>
      </c>
      <c r="AW151" s="277">
        <v>263073</v>
      </c>
      <c r="AX151" s="277">
        <v>173562</v>
      </c>
      <c r="AY151" s="277">
        <v>0</v>
      </c>
      <c r="AZ151" s="277">
        <v>436635</v>
      </c>
      <c r="BA151" s="277">
        <v>338757</v>
      </c>
      <c r="BB151" s="277">
        <v>225838</v>
      </c>
      <c r="BC151" s="277">
        <v>0</v>
      </c>
      <c r="BD151" s="277">
        <v>564595</v>
      </c>
      <c r="BE151" s="277">
        <v>15159</v>
      </c>
      <c r="BF151" s="277">
        <v>10106</v>
      </c>
      <c r="BG151" s="277">
        <v>0</v>
      </c>
      <c r="BH151" s="277">
        <v>25265</v>
      </c>
      <c r="BI151" s="277">
        <v>30319</v>
      </c>
      <c r="BJ151" s="277">
        <v>20212</v>
      </c>
      <c r="BK151" s="277">
        <v>0</v>
      </c>
      <c r="BL151" s="277">
        <v>50531</v>
      </c>
      <c r="BM151" s="277">
        <v>90955</v>
      </c>
      <c r="BN151" s="277">
        <v>60637</v>
      </c>
      <c r="BO151" s="277">
        <v>0</v>
      </c>
      <c r="BP151" s="277">
        <v>151592</v>
      </c>
      <c r="BQ151" s="277">
        <v>272866</v>
      </c>
      <c r="BR151" s="277">
        <v>181911</v>
      </c>
      <c r="BS151" s="277">
        <v>0</v>
      </c>
      <c r="BT151" s="277">
        <v>454777</v>
      </c>
      <c r="BU151" s="277">
        <v>1011129</v>
      </c>
      <c r="BV151" s="277">
        <v>672266</v>
      </c>
      <c r="BW151" s="277">
        <v>0</v>
      </c>
      <c r="BX151" s="277">
        <v>1683395</v>
      </c>
      <c r="BY151" s="281" t="s">
        <v>1046</v>
      </c>
      <c r="BZ151" s="279" t="s">
        <v>995</v>
      </c>
      <c r="CA151" s="279" t="s">
        <v>983</v>
      </c>
    </row>
    <row r="152" spans="1:79" ht="12.75">
      <c r="A152" s="169">
        <v>145</v>
      </c>
      <c r="B152" s="172" t="s">
        <v>198</v>
      </c>
      <c r="C152" s="258" t="s">
        <v>199</v>
      </c>
      <c r="D152" s="277">
        <v>104394258</v>
      </c>
      <c r="E152" s="277">
        <v>258040</v>
      </c>
      <c r="F152" s="277">
        <v>0</v>
      </c>
      <c r="G152" s="277">
        <v>613307</v>
      </c>
      <c r="H152" s="277">
        <v>0</v>
      </c>
      <c r="I152" s="277">
        <v>613307</v>
      </c>
      <c r="J152" s="277">
        <v>0</v>
      </c>
      <c r="K152" s="277">
        <v>0</v>
      </c>
      <c r="L152" s="277">
        <v>0</v>
      </c>
      <c r="M152" s="277">
        <v>0</v>
      </c>
      <c r="N152" s="277">
        <v>0</v>
      </c>
      <c r="O152" s="277">
        <v>0</v>
      </c>
      <c r="P152" s="277">
        <v>104038991</v>
      </c>
      <c r="Q152" s="277">
        <v>52019495</v>
      </c>
      <c r="R152" s="277">
        <v>50979106</v>
      </c>
      <c r="S152" s="277">
        <v>0</v>
      </c>
      <c r="T152" s="277">
        <v>1040390</v>
      </c>
      <c r="U152" s="277">
        <v>104038991</v>
      </c>
      <c r="V152" s="277">
        <v>0</v>
      </c>
      <c r="W152" s="277">
        <v>52019495</v>
      </c>
      <c r="X152" s="277">
        <v>613307</v>
      </c>
      <c r="Y152" s="277">
        <v>613307</v>
      </c>
      <c r="Z152" s="277">
        <v>0</v>
      </c>
      <c r="AA152" s="277">
        <v>0</v>
      </c>
      <c r="AB152" s="277">
        <v>0</v>
      </c>
      <c r="AC152" s="277">
        <v>0</v>
      </c>
      <c r="AD152" s="277">
        <v>0</v>
      </c>
      <c r="AE152" s="277">
        <v>0</v>
      </c>
      <c r="AF152" s="277">
        <v>0</v>
      </c>
      <c r="AG152" s="277">
        <v>0</v>
      </c>
      <c r="AH152" s="277">
        <v>0</v>
      </c>
      <c r="AI152" s="277">
        <v>0</v>
      </c>
      <c r="AJ152" s="277">
        <v>0</v>
      </c>
      <c r="AK152" s="277">
        <v>0</v>
      </c>
      <c r="AL152" s="277">
        <v>0</v>
      </c>
      <c r="AM152" s="277">
        <v>-1652145.5</v>
      </c>
      <c r="AN152" s="277">
        <v>-1619102.6</v>
      </c>
      <c r="AO152" s="277">
        <v>0</v>
      </c>
      <c r="AP152" s="277">
        <v>-33042.91</v>
      </c>
      <c r="AQ152" s="277">
        <v>-3304291</v>
      </c>
      <c r="AR152" s="277">
        <v>50367350</v>
      </c>
      <c r="AS152" s="277">
        <v>49973310</v>
      </c>
      <c r="AT152" s="277">
        <v>0</v>
      </c>
      <c r="AU152" s="277">
        <v>1007347</v>
      </c>
      <c r="AV152" s="277">
        <v>101348007</v>
      </c>
      <c r="AW152" s="277">
        <v>547690</v>
      </c>
      <c r="AX152" s="277">
        <v>0</v>
      </c>
      <c r="AY152" s="277">
        <v>11044</v>
      </c>
      <c r="AZ152" s="277">
        <v>558734</v>
      </c>
      <c r="BA152" s="277">
        <v>2821435</v>
      </c>
      <c r="BB152" s="277">
        <v>0</v>
      </c>
      <c r="BC152" s="277">
        <v>57580</v>
      </c>
      <c r="BD152" s="277">
        <v>2879015</v>
      </c>
      <c r="BE152" s="277">
        <v>69972</v>
      </c>
      <c r="BF152" s="277">
        <v>0</v>
      </c>
      <c r="BG152" s="277">
        <v>1428</v>
      </c>
      <c r="BH152" s="277">
        <v>71400</v>
      </c>
      <c r="BI152" s="277">
        <v>22391</v>
      </c>
      <c r="BJ152" s="277">
        <v>0</v>
      </c>
      <c r="BK152" s="277">
        <v>457</v>
      </c>
      <c r="BL152" s="277">
        <v>22848</v>
      </c>
      <c r="BM152" s="277">
        <v>104958</v>
      </c>
      <c r="BN152" s="277">
        <v>0</v>
      </c>
      <c r="BO152" s="277">
        <v>2142</v>
      </c>
      <c r="BP152" s="277">
        <v>107100</v>
      </c>
      <c r="BQ152" s="277">
        <v>495202</v>
      </c>
      <c r="BR152" s="277">
        <v>0</v>
      </c>
      <c r="BS152" s="277">
        <v>10106</v>
      </c>
      <c r="BT152" s="277">
        <v>505308</v>
      </c>
      <c r="BU152" s="277">
        <v>4061648</v>
      </c>
      <c r="BV152" s="277">
        <v>0</v>
      </c>
      <c r="BW152" s="277">
        <v>82757</v>
      </c>
      <c r="BX152" s="277">
        <v>4144405</v>
      </c>
      <c r="BY152" s="278" t="s">
        <v>198</v>
      </c>
      <c r="BZ152" s="279" t="s">
        <v>996</v>
      </c>
      <c r="CA152" s="280" t="s">
        <v>1014</v>
      </c>
    </row>
    <row r="153" spans="1:79" ht="12.75">
      <c r="A153" s="169">
        <v>146</v>
      </c>
      <c r="B153" s="172" t="s">
        <v>200</v>
      </c>
      <c r="C153" s="258" t="s">
        <v>201</v>
      </c>
      <c r="D153" s="277">
        <v>39858367</v>
      </c>
      <c r="E153" s="277">
        <v>1114</v>
      </c>
      <c r="F153" s="277">
        <v>0</v>
      </c>
      <c r="G153" s="277">
        <v>139232</v>
      </c>
      <c r="H153" s="277">
        <v>0</v>
      </c>
      <c r="I153" s="277">
        <v>139232</v>
      </c>
      <c r="J153" s="277">
        <v>0</v>
      </c>
      <c r="K153" s="277">
        <v>0</v>
      </c>
      <c r="L153" s="277">
        <v>0</v>
      </c>
      <c r="M153" s="277">
        <v>0</v>
      </c>
      <c r="N153" s="277">
        <v>0</v>
      </c>
      <c r="O153" s="277">
        <v>0</v>
      </c>
      <c r="P153" s="277">
        <v>39720249</v>
      </c>
      <c r="Q153" s="277">
        <v>19860125</v>
      </c>
      <c r="R153" s="277">
        <v>19462922</v>
      </c>
      <c r="S153" s="277">
        <v>0</v>
      </c>
      <c r="T153" s="277">
        <v>397202</v>
      </c>
      <c r="U153" s="277">
        <v>39720249</v>
      </c>
      <c r="V153" s="277">
        <v>0</v>
      </c>
      <c r="W153" s="277">
        <v>19860125</v>
      </c>
      <c r="X153" s="277">
        <v>139232</v>
      </c>
      <c r="Y153" s="277">
        <v>139232</v>
      </c>
      <c r="Z153" s="277">
        <v>0</v>
      </c>
      <c r="AA153" s="277">
        <v>0</v>
      </c>
      <c r="AB153" s="277">
        <v>0</v>
      </c>
      <c r="AC153" s="277">
        <v>0</v>
      </c>
      <c r="AD153" s="277">
        <v>0</v>
      </c>
      <c r="AE153" s="277">
        <v>0</v>
      </c>
      <c r="AF153" s="277">
        <v>0</v>
      </c>
      <c r="AG153" s="277">
        <v>0</v>
      </c>
      <c r="AH153" s="277">
        <v>0</v>
      </c>
      <c r="AI153" s="277">
        <v>0</v>
      </c>
      <c r="AJ153" s="277">
        <v>0</v>
      </c>
      <c r="AK153" s="277">
        <v>0</v>
      </c>
      <c r="AL153" s="277">
        <v>0</v>
      </c>
      <c r="AM153" s="277">
        <v>-106291</v>
      </c>
      <c r="AN153" s="277">
        <v>-104165.18</v>
      </c>
      <c r="AO153" s="277">
        <v>0</v>
      </c>
      <c r="AP153" s="277">
        <v>-2125.82</v>
      </c>
      <c r="AQ153" s="277">
        <v>-212582</v>
      </c>
      <c r="AR153" s="277">
        <v>19753834</v>
      </c>
      <c r="AS153" s="277">
        <v>19497989</v>
      </c>
      <c r="AT153" s="277">
        <v>0</v>
      </c>
      <c r="AU153" s="277">
        <v>395076</v>
      </c>
      <c r="AV153" s="277">
        <v>39646899</v>
      </c>
      <c r="AW153" s="277">
        <v>208091</v>
      </c>
      <c r="AX153" s="277">
        <v>0</v>
      </c>
      <c r="AY153" s="277">
        <v>4217</v>
      </c>
      <c r="AZ153" s="277">
        <v>212308</v>
      </c>
      <c r="BA153" s="277">
        <v>416688</v>
      </c>
      <c r="BB153" s="277">
        <v>0</v>
      </c>
      <c r="BC153" s="277">
        <v>8504</v>
      </c>
      <c r="BD153" s="277">
        <v>425192</v>
      </c>
      <c r="BE153" s="277">
        <v>0</v>
      </c>
      <c r="BF153" s="277">
        <v>0</v>
      </c>
      <c r="BG153" s="277">
        <v>0</v>
      </c>
      <c r="BH153" s="277">
        <v>0</v>
      </c>
      <c r="BI153" s="277">
        <v>0</v>
      </c>
      <c r="BJ153" s="277">
        <v>0</v>
      </c>
      <c r="BK153" s="277">
        <v>0</v>
      </c>
      <c r="BL153" s="277">
        <v>0</v>
      </c>
      <c r="BM153" s="277">
        <v>0</v>
      </c>
      <c r="BN153" s="277">
        <v>0</v>
      </c>
      <c r="BO153" s="277">
        <v>0</v>
      </c>
      <c r="BP153" s="277">
        <v>0</v>
      </c>
      <c r="BQ153" s="277">
        <v>247601</v>
      </c>
      <c r="BR153" s="277">
        <v>0</v>
      </c>
      <c r="BS153" s="277">
        <v>5053</v>
      </c>
      <c r="BT153" s="277">
        <v>252654</v>
      </c>
      <c r="BU153" s="277">
        <v>872380</v>
      </c>
      <c r="BV153" s="277">
        <v>0</v>
      </c>
      <c r="BW153" s="277">
        <v>17774</v>
      </c>
      <c r="BX153" s="277">
        <v>890154</v>
      </c>
      <c r="BY153" s="278" t="s">
        <v>200</v>
      </c>
      <c r="BZ153" s="279" t="s">
        <v>996</v>
      </c>
      <c r="CA153" s="280" t="s">
        <v>1047</v>
      </c>
    </row>
    <row r="154" spans="1:79" ht="12.75">
      <c r="A154" s="169">
        <v>147</v>
      </c>
      <c r="B154" s="172" t="s">
        <v>202</v>
      </c>
      <c r="C154" s="258" t="s">
        <v>203</v>
      </c>
      <c r="D154" s="277">
        <v>121132033</v>
      </c>
      <c r="E154" s="277">
        <v>376397.66</v>
      </c>
      <c r="F154" s="277">
        <v>0</v>
      </c>
      <c r="G154" s="277">
        <v>481327</v>
      </c>
      <c r="H154" s="277">
        <v>0</v>
      </c>
      <c r="I154" s="277">
        <v>481327</v>
      </c>
      <c r="J154" s="277">
        <v>0</v>
      </c>
      <c r="K154" s="277">
        <v>0</v>
      </c>
      <c r="L154" s="277">
        <v>0</v>
      </c>
      <c r="M154" s="277">
        <v>0</v>
      </c>
      <c r="N154" s="277">
        <v>0</v>
      </c>
      <c r="O154" s="277">
        <v>0</v>
      </c>
      <c r="P154" s="277">
        <v>121027104</v>
      </c>
      <c r="Q154" s="277">
        <v>60513551.7</v>
      </c>
      <c r="R154" s="277">
        <v>36308131</v>
      </c>
      <c r="S154" s="277">
        <v>24205421</v>
      </c>
      <c r="T154" s="277">
        <v>0</v>
      </c>
      <c r="U154" s="277">
        <v>121027104</v>
      </c>
      <c r="V154" s="277">
        <v>0</v>
      </c>
      <c r="W154" s="277">
        <v>60513551.7</v>
      </c>
      <c r="X154" s="277">
        <v>481327</v>
      </c>
      <c r="Y154" s="277">
        <v>481327</v>
      </c>
      <c r="Z154" s="277">
        <v>0</v>
      </c>
      <c r="AA154" s="277">
        <v>0</v>
      </c>
      <c r="AB154" s="277">
        <v>0</v>
      </c>
      <c r="AC154" s="277">
        <v>0</v>
      </c>
      <c r="AD154" s="277">
        <v>0</v>
      </c>
      <c r="AE154" s="277">
        <v>0</v>
      </c>
      <c r="AF154" s="277">
        <v>0</v>
      </c>
      <c r="AG154" s="277">
        <v>0</v>
      </c>
      <c r="AH154" s="277">
        <v>0</v>
      </c>
      <c r="AI154" s="277">
        <v>0</v>
      </c>
      <c r="AJ154" s="277">
        <v>0</v>
      </c>
      <c r="AK154" s="277">
        <v>0</v>
      </c>
      <c r="AL154" s="277">
        <v>0</v>
      </c>
      <c r="AM154" s="277">
        <v>-333908</v>
      </c>
      <c r="AN154" s="277">
        <v>-200344.8</v>
      </c>
      <c r="AO154" s="277">
        <v>-133563.2</v>
      </c>
      <c r="AP154" s="277">
        <v>0</v>
      </c>
      <c r="AQ154" s="277">
        <v>-667816</v>
      </c>
      <c r="AR154" s="277">
        <v>60179644</v>
      </c>
      <c r="AS154" s="277">
        <v>36589113</v>
      </c>
      <c r="AT154" s="277">
        <v>24071858</v>
      </c>
      <c r="AU154" s="277">
        <v>0</v>
      </c>
      <c r="AV154" s="277">
        <v>120840615</v>
      </c>
      <c r="AW154" s="277">
        <v>390546</v>
      </c>
      <c r="AX154" s="277">
        <v>256958</v>
      </c>
      <c r="AY154" s="277">
        <v>0</v>
      </c>
      <c r="AZ154" s="277">
        <v>647504</v>
      </c>
      <c r="BA154" s="277">
        <v>795370</v>
      </c>
      <c r="BB154" s="277">
        <v>530246</v>
      </c>
      <c r="BC154" s="277">
        <v>0</v>
      </c>
      <c r="BD154" s="277">
        <v>1325616</v>
      </c>
      <c r="BE154" s="277">
        <v>0</v>
      </c>
      <c r="BF154" s="277">
        <v>0</v>
      </c>
      <c r="BG154" s="277">
        <v>0</v>
      </c>
      <c r="BH154" s="277">
        <v>0</v>
      </c>
      <c r="BI154" s="277">
        <v>60119</v>
      </c>
      <c r="BJ154" s="277">
        <v>40079</v>
      </c>
      <c r="BK154" s="277">
        <v>0</v>
      </c>
      <c r="BL154" s="277">
        <v>100198</v>
      </c>
      <c r="BM154" s="277">
        <v>0</v>
      </c>
      <c r="BN154" s="277">
        <v>0</v>
      </c>
      <c r="BO154" s="277">
        <v>0</v>
      </c>
      <c r="BP154" s="277">
        <v>0</v>
      </c>
      <c r="BQ154" s="277">
        <v>891666</v>
      </c>
      <c r="BR154" s="277">
        <v>594444</v>
      </c>
      <c r="BS154" s="277">
        <v>0</v>
      </c>
      <c r="BT154" s="277">
        <v>1486110</v>
      </c>
      <c r="BU154" s="277">
        <v>2137701</v>
      </c>
      <c r="BV154" s="277">
        <v>1421727</v>
      </c>
      <c r="BW154" s="277">
        <v>0</v>
      </c>
      <c r="BX154" s="277">
        <v>3559428</v>
      </c>
      <c r="BY154" s="278" t="s">
        <v>202</v>
      </c>
      <c r="BZ154" s="279" t="s">
        <v>995</v>
      </c>
      <c r="CA154" s="279" t="s">
        <v>983</v>
      </c>
    </row>
    <row r="155" spans="1:79" ht="12.75">
      <c r="A155" s="169">
        <v>148</v>
      </c>
      <c r="B155" s="172" t="s">
        <v>204</v>
      </c>
      <c r="C155" s="258" t="s">
        <v>205</v>
      </c>
      <c r="D155" s="277">
        <v>46570182</v>
      </c>
      <c r="E155" s="277">
        <v>16952043</v>
      </c>
      <c r="F155" s="277">
        <v>0</v>
      </c>
      <c r="G155" s="277">
        <v>228713</v>
      </c>
      <c r="H155" s="277">
        <v>0</v>
      </c>
      <c r="I155" s="277">
        <v>228713</v>
      </c>
      <c r="J155" s="277">
        <v>0</v>
      </c>
      <c r="K155" s="277">
        <v>0</v>
      </c>
      <c r="L155" s="277">
        <v>0</v>
      </c>
      <c r="M155" s="277">
        <v>0</v>
      </c>
      <c r="N155" s="277">
        <v>0</v>
      </c>
      <c r="O155" s="277">
        <v>0</v>
      </c>
      <c r="P155" s="277">
        <v>63293512</v>
      </c>
      <c r="Q155" s="277">
        <v>31646756</v>
      </c>
      <c r="R155" s="277">
        <v>25317405</v>
      </c>
      <c r="S155" s="277">
        <v>5696416</v>
      </c>
      <c r="T155" s="277">
        <v>632935</v>
      </c>
      <c r="U155" s="277">
        <v>63293512</v>
      </c>
      <c r="V155" s="277">
        <v>0</v>
      </c>
      <c r="W155" s="277">
        <v>31646756</v>
      </c>
      <c r="X155" s="277">
        <v>228713</v>
      </c>
      <c r="Y155" s="277">
        <v>228713</v>
      </c>
      <c r="Z155" s="277">
        <v>0</v>
      </c>
      <c r="AA155" s="277">
        <v>0</v>
      </c>
      <c r="AB155" s="277">
        <v>0</v>
      </c>
      <c r="AC155" s="277">
        <v>0</v>
      </c>
      <c r="AD155" s="277">
        <v>0</v>
      </c>
      <c r="AE155" s="277">
        <v>0</v>
      </c>
      <c r="AF155" s="277">
        <v>0</v>
      </c>
      <c r="AG155" s="277">
        <v>0</v>
      </c>
      <c r="AH155" s="277">
        <v>0</v>
      </c>
      <c r="AI155" s="277">
        <v>0</v>
      </c>
      <c r="AJ155" s="277">
        <v>0</v>
      </c>
      <c r="AK155" s="277">
        <v>0</v>
      </c>
      <c r="AL155" s="277">
        <v>0</v>
      </c>
      <c r="AM155" s="277">
        <v>-6282447.3</v>
      </c>
      <c r="AN155" s="277">
        <v>-5025957.8</v>
      </c>
      <c r="AO155" s="277">
        <v>-1130840.5</v>
      </c>
      <c r="AP155" s="277">
        <v>-125648.95</v>
      </c>
      <c r="AQ155" s="277">
        <v>-12564895</v>
      </c>
      <c r="AR155" s="277">
        <v>25364308.7</v>
      </c>
      <c r="AS155" s="277">
        <v>20520160.2</v>
      </c>
      <c r="AT155" s="277">
        <v>4565575.49</v>
      </c>
      <c r="AU155" s="277">
        <v>507286.06</v>
      </c>
      <c r="AV155" s="277">
        <v>50957330.5</v>
      </c>
      <c r="AW155" s="277">
        <v>271190</v>
      </c>
      <c r="AX155" s="277">
        <v>60472</v>
      </c>
      <c r="AY155" s="277">
        <v>6719</v>
      </c>
      <c r="AZ155" s="277">
        <v>338381</v>
      </c>
      <c r="BA155" s="277">
        <v>648098</v>
      </c>
      <c r="BB155" s="277">
        <v>145822</v>
      </c>
      <c r="BC155" s="277">
        <v>16202</v>
      </c>
      <c r="BD155" s="277">
        <v>810122</v>
      </c>
      <c r="BE155" s="277">
        <v>0</v>
      </c>
      <c r="BF155" s="277">
        <v>0</v>
      </c>
      <c r="BG155" s="277">
        <v>0</v>
      </c>
      <c r="BH155" s="277">
        <v>0</v>
      </c>
      <c r="BI155" s="277">
        <v>0</v>
      </c>
      <c r="BJ155" s="277">
        <v>0</v>
      </c>
      <c r="BK155" s="277">
        <v>0</v>
      </c>
      <c r="BL155" s="277">
        <v>0</v>
      </c>
      <c r="BM155" s="277">
        <v>14253</v>
      </c>
      <c r="BN155" s="277">
        <v>3207</v>
      </c>
      <c r="BO155" s="277">
        <v>356</v>
      </c>
      <c r="BP155" s="277">
        <v>17816</v>
      </c>
      <c r="BQ155" s="277">
        <v>265687</v>
      </c>
      <c r="BR155" s="277">
        <v>59779</v>
      </c>
      <c r="BS155" s="277">
        <v>6642</v>
      </c>
      <c r="BT155" s="277">
        <v>332108</v>
      </c>
      <c r="BU155" s="277">
        <v>1199228</v>
      </c>
      <c r="BV155" s="277">
        <v>269280</v>
      </c>
      <c r="BW155" s="277">
        <v>29919</v>
      </c>
      <c r="BX155" s="277">
        <v>1498427</v>
      </c>
      <c r="BY155" s="278" t="s">
        <v>204</v>
      </c>
      <c r="BZ155" s="279" t="s">
        <v>1022</v>
      </c>
      <c r="CA155" s="280" t="s">
        <v>1009</v>
      </c>
    </row>
    <row r="156" spans="1:79" ht="12.75">
      <c r="A156" s="169">
        <v>149</v>
      </c>
      <c r="B156" s="172" t="s">
        <v>206</v>
      </c>
      <c r="C156" s="258" t="s">
        <v>207</v>
      </c>
      <c r="D156" s="277">
        <v>372831939</v>
      </c>
      <c r="E156" s="277">
        <v>484945</v>
      </c>
      <c r="F156" s="277">
        <v>0</v>
      </c>
      <c r="G156" s="277">
        <v>1235172</v>
      </c>
      <c r="H156" s="277">
        <v>0</v>
      </c>
      <c r="I156" s="277">
        <v>1235172</v>
      </c>
      <c r="J156" s="277">
        <v>0</v>
      </c>
      <c r="K156" s="277">
        <v>0</v>
      </c>
      <c r="L156" s="277">
        <v>0</v>
      </c>
      <c r="M156" s="277">
        <v>0</v>
      </c>
      <c r="N156" s="277">
        <v>0</v>
      </c>
      <c r="O156" s="277">
        <v>0</v>
      </c>
      <c r="P156" s="277">
        <v>372081712</v>
      </c>
      <c r="Q156" s="277">
        <v>186040856</v>
      </c>
      <c r="R156" s="277">
        <v>182320039</v>
      </c>
      <c r="S156" s="277">
        <v>0</v>
      </c>
      <c r="T156" s="277">
        <v>3720817</v>
      </c>
      <c r="U156" s="277">
        <v>372081712</v>
      </c>
      <c r="V156" s="277">
        <v>220000</v>
      </c>
      <c r="W156" s="277">
        <v>185820856</v>
      </c>
      <c r="X156" s="277">
        <v>1235172</v>
      </c>
      <c r="Y156" s="277">
        <v>1235172</v>
      </c>
      <c r="Z156" s="277">
        <v>0</v>
      </c>
      <c r="AA156" s="277">
        <v>0</v>
      </c>
      <c r="AB156" s="277">
        <v>0</v>
      </c>
      <c r="AC156" s="277">
        <v>0</v>
      </c>
      <c r="AD156" s="277">
        <v>0</v>
      </c>
      <c r="AE156" s="277">
        <v>0</v>
      </c>
      <c r="AF156" s="277">
        <v>0</v>
      </c>
      <c r="AG156" s="277">
        <v>220000</v>
      </c>
      <c r="AH156" s="277">
        <v>0</v>
      </c>
      <c r="AI156" s="277">
        <v>0</v>
      </c>
      <c r="AJ156" s="277">
        <v>220000</v>
      </c>
      <c r="AK156" s="277">
        <v>0</v>
      </c>
      <c r="AL156" s="277">
        <v>0</v>
      </c>
      <c r="AM156" s="277">
        <v>552042.5</v>
      </c>
      <c r="AN156" s="277">
        <v>541001.65</v>
      </c>
      <c r="AO156" s="277">
        <v>0</v>
      </c>
      <c r="AP156" s="277">
        <v>11040.85</v>
      </c>
      <c r="AQ156" s="277">
        <v>1104085</v>
      </c>
      <c r="AR156" s="277">
        <v>186372899</v>
      </c>
      <c r="AS156" s="277">
        <v>184316213</v>
      </c>
      <c r="AT156" s="277">
        <v>0</v>
      </c>
      <c r="AU156" s="277">
        <v>3731858</v>
      </c>
      <c r="AV156" s="277">
        <v>374420969</v>
      </c>
      <c r="AW156" s="277">
        <v>1950905</v>
      </c>
      <c r="AX156" s="277">
        <v>0</v>
      </c>
      <c r="AY156" s="277">
        <v>39499</v>
      </c>
      <c r="AZ156" s="277">
        <v>1990404</v>
      </c>
      <c r="BA156" s="277">
        <v>3807996</v>
      </c>
      <c r="BB156" s="277">
        <v>0</v>
      </c>
      <c r="BC156" s="277">
        <v>77714</v>
      </c>
      <c r="BD156" s="277">
        <v>3885710</v>
      </c>
      <c r="BE156" s="277">
        <v>4952</v>
      </c>
      <c r="BF156" s="277">
        <v>0</v>
      </c>
      <c r="BG156" s="277">
        <v>101</v>
      </c>
      <c r="BH156" s="277">
        <v>5053</v>
      </c>
      <c r="BI156" s="277">
        <v>99041</v>
      </c>
      <c r="BJ156" s="277">
        <v>0</v>
      </c>
      <c r="BK156" s="277">
        <v>2021</v>
      </c>
      <c r="BL156" s="277">
        <v>101062</v>
      </c>
      <c r="BM156" s="277">
        <v>99041</v>
      </c>
      <c r="BN156" s="277">
        <v>0</v>
      </c>
      <c r="BO156" s="277">
        <v>2021</v>
      </c>
      <c r="BP156" s="277">
        <v>101062</v>
      </c>
      <c r="BQ156" s="277">
        <v>1485606</v>
      </c>
      <c r="BR156" s="277">
        <v>0</v>
      </c>
      <c r="BS156" s="277">
        <v>30318</v>
      </c>
      <c r="BT156" s="277">
        <v>1515924</v>
      </c>
      <c r="BU156" s="277">
        <v>7447541</v>
      </c>
      <c r="BV156" s="277">
        <v>0</v>
      </c>
      <c r="BW156" s="277">
        <v>151674</v>
      </c>
      <c r="BX156" s="277">
        <v>7599215</v>
      </c>
      <c r="BY156" s="278" t="s">
        <v>206</v>
      </c>
      <c r="BZ156" s="279" t="s">
        <v>996</v>
      </c>
      <c r="CA156" s="280" t="s">
        <v>1014</v>
      </c>
    </row>
    <row r="157" spans="1:79" ht="12.75">
      <c r="A157" s="169">
        <v>150</v>
      </c>
      <c r="B157" s="172" t="s">
        <v>208</v>
      </c>
      <c r="C157" s="258" t="s">
        <v>209</v>
      </c>
      <c r="D157" s="277">
        <v>101751519</v>
      </c>
      <c r="E157" s="277">
        <v>0</v>
      </c>
      <c r="F157" s="277">
        <v>25708.17</v>
      </c>
      <c r="G157" s="277">
        <v>489707</v>
      </c>
      <c r="H157" s="277">
        <v>0</v>
      </c>
      <c r="I157" s="277">
        <v>489707</v>
      </c>
      <c r="J157" s="277">
        <v>0</v>
      </c>
      <c r="K157" s="277">
        <v>0</v>
      </c>
      <c r="L157" s="277">
        <v>0</v>
      </c>
      <c r="M157" s="277">
        <v>0</v>
      </c>
      <c r="N157" s="277">
        <v>0</v>
      </c>
      <c r="O157" s="277">
        <v>0</v>
      </c>
      <c r="P157" s="277">
        <v>101236104</v>
      </c>
      <c r="Q157" s="277">
        <v>50618051.9</v>
      </c>
      <c r="R157" s="277">
        <v>49605691</v>
      </c>
      <c r="S157" s="277">
        <v>0</v>
      </c>
      <c r="T157" s="277">
        <v>1012361</v>
      </c>
      <c r="U157" s="277">
        <v>101236104</v>
      </c>
      <c r="V157" s="277">
        <v>0</v>
      </c>
      <c r="W157" s="277">
        <v>50618051.9</v>
      </c>
      <c r="X157" s="277">
        <v>489707</v>
      </c>
      <c r="Y157" s="277">
        <v>489707</v>
      </c>
      <c r="Z157" s="277">
        <v>0</v>
      </c>
      <c r="AA157" s="277">
        <v>0</v>
      </c>
      <c r="AB157" s="277">
        <v>0</v>
      </c>
      <c r="AC157" s="277">
        <v>0</v>
      </c>
      <c r="AD157" s="277">
        <v>0</v>
      </c>
      <c r="AE157" s="277">
        <v>0</v>
      </c>
      <c r="AF157" s="277">
        <v>0</v>
      </c>
      <c r="AG157" s="277">
        <v>0</v>
      </c>
      <c r="AH157" s="277">
        <v>0</v>
      </c>
      <c r="AI157" s="277">
        <v>0</v>
      </c>
      <c r="AJ157" s="277">
        <v>0</v>
      </c>
      <c r="AK157" s="277">
        <v>0</v>
      </c>
      <c r="AL157" s="277">
        <v>0</v>
      </c>
      <c r="AM157" s="277">
        <v>-979999.75</v>
      </c>
      <c r="AN157" s="277">
        <v>-960399.76</v>
      </c>
      <c r="AO157" s="277">
        <v>0</v>
      </c>
      <c r="AP157" s="277">
        <v>-19600</v>
      </c>
      <c r="AQ157" s="277">
        <v>-1959999.5</v>
      </c>
      <c r="AR157" s="277">
        <v>49638052</v>
      </c>
      <c r="AS157" s="277">
        <v>49134998</v>
      </c>
      <c r="AT157" s="277">
        <v>0</v>
      </c>
      <c r="AU157" s="277">
        <v>992761</v>
      </c>
      <c r="AV157" s="277">
        <v>99765811</v>
      </c>
      <c r="AW157" s="277">
        <v>531798</v>
      </c>
      <c r="AX157" s="277">
        <v>0</v>
      </c>
      <c r="AY157" s="277">
        <v>10747</v>
      </c>
      <c r="AZ157" s="277">
        <v>542545</v>
      </c>
      <c r="BA157" s="277">
        <v>1927961</v>
      </c>
      <c r="BB157" s="277">
        <v>0</v>
      </c>
      <c r="BC157" s="277">
        <v>39346</v>
      </c>
      <c r="BD157" s="277">
        <v>1967307</v>
      </c>
      <c r="BE157" s="277">
        <v>29712</v>
      </c>
      <c r="BF157" s="277">
        <v>0</v>
      </c>
      <c r="BG157" s="277">
        <v>606</v>
      </c>
      <c r="BH157" s="277">
        <v>30318</v>
      </c>
      <c r="BI157" s="277">
        <v>59424</v>
      </c>
      <c r="BJ157" s="277">
        <v>0</v>
      </c>
      <c r="BK157" s="277">
        <v>1213</v>
      </c>
      <c r="BL157" s="277">
        <v>60637</v>
      </c>
      <c r="BM157" s="277">
        <v>188415</v>
      </c>
      <c r="BN157" s="277">
        <v>0</v>
      </c>
      <c r="BO157" s="277">
        <v>3845</v>
      </c>
      <c r="BP157" s="277">
        <v>192260</v>
      </c>
      <c r="BQ157" s="277">
        <v>866603</v>
      </c>
      <c r="BR157" s="277">
        <v>0</v>
      </c>
      <c r="BS157" s="277">
        <v>17686</v>
      </c>
      <c r="BT157" s="277">
        <v>884289</v>
      </c>
      <c r="BU157" s="277">
        <v>3603913</v>
      </c>
      <c r="BV157" s="277">
        <v>0</v>
      </c>
      <c r="BW157" s="277">
        <v>73443</v>
      </c>
      <c r="BX157" s="277">
        <v>3677356</v>
      </c>
      <c r="BY157" s="281" t="s">
        <v>897</v>
      </c>
      <c r="BZ157" s="279" t="s">
        <v>1003</v>
      </c>
      <c r="CA157" s="280" t="s">
        <v>1008</v>
      </c>
    </row>
    <row r="158" spans="1:79" ht="12.75">
      <c r="A158" s="169">
        <v>151</v>
      </c>
      <c r="B158" s="172" t="s">
        <v>210</v>
      </c>
      <c r="C158" s="258" t="s">
        <v>211</v>
      </c>
      <c r="D158" s="277">
        <v>23411285</v>
      </c>
      <c r="E158" s="277">
        <v>74458.08</v>
      </c>
      <c r="F158" s="277">
        <v>0</v>
      </c>
      <c r="G158" s="277">
        <v>128644</v>
      </c>
      <c r="H158" s="277">
        <v>0</v>
      </c>
      <c r="I158" s="277">
        <v>128644</v>
      </c>
      <c r="J158" s="277">
        <v>0</v>
      </c>
      <c r="K158" s="277">
        <v>0</v>
      </c>
      <c r="L158" s="277">
        <v>0</v>
      </c>
      <c r="M158" s="277">
        <v>0</v>
      </c>
      <c r="N158" s="277">
        <v>0</v>
      </c>
      <c r="O158" s="277">
        <v>0</v>
      </c>
      <c r="P158" s="277">
        <v>23357099</v>
      </c>
      <c r="Q158" s="277">
        <v>11678549</v>
      </c>
      <c r="R158" s="277">
        <v>9342840</v>
      </c>
      <c r="S158" s="277">
        <v>2102139</v>
      </c>
      <c r="T158" s="277">
        <v>233571</v>
      </c>
      <c r="U158" s="277">
        <v>23357099</v>
      </c>
      <c r="V158" s="277">
        <v>0</v>
      </c>
      <c r="W158" s="277">
        <v>11678549</v>
      </c>
      <c r="X158" s="277">
        <v>128644</v>
      </c>
      <c r="Y158" s="277">
        <v>128644</v>
      </c>
      <c r="Z158" s="277">
        <v>0</v>
      </c>
      <c r="AA158" s="277">
        <v>0</v>
      </c>
      <c r="AB158" s="277">
        <v>0</v>
      </c>
      <c r="AC158" s="277">
        <v>0</v>
      </c>
      <c r="AD158" s="277">
        <v>0</v>
      </c>
      <c r="AE158" s="277">
        <v>0</v>
      </c>
      <c r="AF158" s="277">
        <v>0</v>
      </c>
      <c r="AG158" s="277">
        <v>0</v>
      </c>
      <c r="AH158" s="277">
        <v>0</v>
      </c>
      <c r="AI158" s="277">
        <v>0</v>
      </c>
      <c r="AJ158" s="277">
        <v>0</v>
      </c>
      <c r="AK158" s="277">
        <v>0</v>
      </c>
      <c r="AL158" s="277">
        <v>0</v>
      </c>
      <c r="AM158" s="277">
        <v>0</v>
      </c>
      <c r="AN158" s="277">
        <v>0</v>
      </c>
      <c r="AO158" s="277">
        <v>0</v>
      </c>
      <c r="AP158" s="277">
        <v>0</v>
      </c>
      <c r="AQ158" s="277">
        <v>0</v>
      </c>
      <c r="AR158" s="277">
        <v>11678549</v>
      </c>
      <c r="AS158" s="277">
        <v>9471484</v>
      </c>
      <c r="AT158" s="277">
        <v>2102139</v>
      </c>
      <c r="AU158" s="277">
        <v>233571</v>
      </c>
      <c r="AV158" s="277">
        <v>23485743</v>
      </c>
      <c r="AW158" s="277">
        <v>100547</v>
      </c>
      <c r="AX158" s="277">
        <v>22316</v>
      </c>
      <c r="AY158" s="277">
        <v>2480</v>
      </c>
      <c r="AZ158" s="277">
        <v>125343</v>
      </c>
      <c r="BA158" s="277">
        <v>429734</v>
      </c>
      <c r="BB158" s="277">
        <v>96690</v>
      </c>
      <c r="BC158" s="277">
        <v>10743</v>
      </c>
      <c r="BD158" s="277">
        <v>537167</v>
      </c>
      <c r="BE158" s="277">
        <v>0</v>
      </c>
      <c r="BF158" s="277">
        <v>0</v>
      </c>
      <c r="BG158" s="277">
        <v>0</v>
      </c>
      <c r="BH158" s="277">
        <v>0</v>
      </c>
      <c r="BI158" s="277">
        <v>0</v>
      </c>
      <c r="BJ158" s="277">
        <v>0</v>
      </c>
      <c r="BK158" s="277">
        <v>0</v>
      </c>
      <c r="BL158" s="277">
        <v>0</v>
      </c>
      <c r="BM158" s="277">
        <v>0</v>
      </c>
      <c r="BN158" s="277">
        <v>0</v>
      </c>
      <c r="BO158" s="277">
        <v>0</v>
      </c>
      <c r="BP158" s="277">
        <v>0</v>
      </c>
      <c r="BQ158" s="277">
        <v>369279</v>
      </c>
      <c r="BR158" s="277">
        <v>36928</v>
      </c>
      <c r="BS158" s="277">
        <v>4103</v>
      </c>
      <c r="BT158" s="277">
        <v>410310</v>
      </c>
      <c r="BU158" s="277">
        <v>899560</v>
      </c>
      <c r="BV158" s="277">
        <v>155934</v>
      </c>
      <c r="BW158" s="277">
        <v>17326</v>
      </c>
      <c r="BX158" s="277">
        <v>1072820</v>
      </c>
      <c r="BY158" s="278" t="s">
        <v>210</v>
      </c>
      <c r="BZ158" s="279" t="s">
        <v>1039</v>
      </c>
      <c r="CA158" s="280" t="s">
        <v>1017</v>
      </c>
    </row>
    <row r="159" spans="1:79" ht="12.75">
      <c r="A159" s="169">
        <v>152</v>
      </c>
      <c r="B159" s="172" t="s">
        <v>212</v>
      </c>
      <c r="C159" s="258" t="s">
        <v>213</v>
      </c>
      <c r="D159" s="277">
        <v>46467582.6</v>
      </c>
      <c r="E159" s="277">
        <v>87829</v>
      </c>
      <c r="F159" s="277">
        <v>0</v>
      </c>
      <c r="G159" s="277">
        <v>306394</v>
      </c>
      <c r="H159" s="277">
        <v>3500</v>
      </c>
      <c r="I159" s="277">
        <v>309894</v>
      </c>
      <c r="J159" s="277">
        <v>0</v>
      </c>
      <c r="K159" s="277">
        <v>0</v>
      </c>
      <c r="L159" s="277">
        <v>0</v>
      </c>
      <c r="M159" s="277">
        <v>0</v>
      </c>
      <c r="N159" s="277">
        <v>0</v>
      </c>
      <c r="O159" s="277">
        <v>0</v>
      </c>
      <c r="P159" s="277">
        <v>46245517.6</v>
      </c>
      <c r="Q159" s="277">
        <v>23122758.6</v>
      </c>
      <c r="R159" s="277">
        <v>13873655</v>
      </c>
      <c r="S159" s="277">
        <v>9249104</v>
      </c>
      <c r="T159" s="277">
        <v>0</v>
      </c>
      <c r="U159" s="277">
        <v>46245518</v>
      </c>
      <c r="V159" s="277">
        <v>0</v>
      </c>
      <c r="W159" s="277">
        <v>23122758.6</v>
      </c>
      <c r="X159" s="277">
        <v>309894</v>
      </c>
      <c r="Y159" s="277">
        <v>309894</v>
      </c>
      <c r="Z159" s="277">
        <v>0</v>
      </c>
      <c r="AA159" s="277">
        <v>0</v>
      </c>
      <c r="AB159" s="277">
        <v>0</v>
      </c>
      <c r="AC159" s="277">
        <v>0</v>
      </c>
      <c r="AD159" s="277">
        <v>0</v>
      </c>
      <c r="AE159" s="277">
        <v>0</v>
      </c>
      <c r="AF159" s="277">
        <v>0</v>
      </c>
      <c r="AG159" s="277">
        <v>0</v>
      </c>
      <c r="AH159" s="277">
        <v>0</v>
      </c>
      <c r="AI159" s="277">
        <v>0</v>
      </c>
      <c r="AJ159" s="277">
        <v>0</v>
      </c>
      <c r="AK159" s="277">
        <v>0</v>
      </c>
      <c r="AL159" s="277">
        <v>0</v>
      </c>
      <c r="AM159" s="277">
        <v>1126190.1</v>
      </c>
      <c r="AN159" s="277">
        <v>675714.06</v>
      </c>
      <c r="AO159" s="277">
        <v>450476.04</v>
      </c>
      <c r="AP159" s="277">
        <v>0</v>
      </c>
      <c r="AQ159" s="277">
        <v>2252380.2</v>
      </c>
      <c r="AR159" s="277">
        <v>24248949</v>
      </c>
      <c r="AS159" s="277">
        <v>14859263</v>
      </c>
      <c r="AT159" s="277">
        <v>9699580</v>
      </c>
      <c r="AU159" s="277">
        <v>0</v>
      </c>
      <c r="AV159" s="277">
        <v>48807792</v>
      </c>
      <c r="AW159" s="277">
        <v>150568</v>
      </c>
      <c r="AX159" s="277">
        <v>98186</v>
      </c>
      <c r="AY159" s="277">
        <v>0</v>
      </c>
      <c r="AZ159" s="277">
        <v>248754</v>
      </c>
      <c r="BA159" s="277">
        <v>693032</v>
      </c>
      <c r="BB159" s="277">
        <v>462022</v>
      </c>
      <c r="BC159" s="277">
        <v>0</v>
      </c>
      <c r="BD159" s="277">
        <v>1155054</v>
      </c>
      <c r="BE159" s="277">
        <v>0</v>
      </c>
      <c r="BF159" s="277">
        <v>0</v>
      </c>
      <c r="BG159" s="277">
        <v>0</v>
      </c>
      <c r="BH159" s="277">
        <v>0</v>
      </c>
      <c r="BI159" s="277">
        <v>0</v>
      </c>
      <c r="BJ159" s="277">
        <v>0</v>
      </c>
      <c r="BK159" s="277">
        <v>0</v>
      </c>
      <c r="BL159" s="277">
        <v>0</v>
      </c>
      <c r="BM159" s="277">
        <v>24092</v>
      </c>
      <c r="BN159" s="277">
        <v>16061</v>
      </c>
      <c r="BO159" s="277">
        <v>0</v>
      </c>
      <c r="BP159" s="277">
        <v>40153</v>
      </c>
      <c r="BQ159" s="277">
        <v>479065</v>
      </c>
      <c r="BR159" s="277">
        <v>319377</v>
      </c>
      <c r="BS159" s="277">
        <v>0</v>
      </c>
      <c r="BT159" s="277">
        <v>798442</v>
      </c>
      <c r="BU159" s="277">
        <v>1346757</v>
      </c>
      <c r="BV159" s="277">
        <v>895646</v>
      </c>
      <c r="BW159" s="277">
        <v>0</v>
      </c>
      <c r="BX159" s="277">
        <v>2242403</v>
      </c>
      <c r="BY159" s="278" t="s">
        <v>212</v>
      </c>
      <c r="BZ159" s="279" t="s">
        <v>995</v>
      </c>
      <c r="CA159" s="279" t="s">
        <v>983</v>
      </c>
    </row>
    <row r="160" spans="1:79" ht="12.75">
      <c r="A160" s="169">
        <v>153</v>
      </c>
      <c r="B160" s="172" t="s">
        <v>214</v>
      </c>
      <c r="C160" s="258" t="s">
        <v>215</v>
      </c>
      <c r="D160" s="277">
        <v>31347505</v>
      </c>
      <c r="E160" s="277">
        <v>67350</v>
      </c>
      <c r="F160" s="277">
        <v>0</v>
      </c>
      <c r="G160" s="277">
        <v>124697</v>
      </c>
      <c r="H160" s="277">
        <v>0</v>
      </c>
      <c r="I160" s="277">
        <v>124697</v>
      </c>
      <c r="J160" s="277">
        <v>0</v>
      </c>
      <c r="K160" s="277">
        <v>0</v>
      </c>
      <c r="L160" s="277">
        <v>0</v>
      </c>
      <c r="M160" s="277">
        <v>0</v>
      </c>
      <c r="N160" s="277">
        <v>0</v>
      </c>
      <c r="O160" s="277">
        <v>0</v>
      </c>
      <c r="P160" s="277">
        <v>31290158</v>
      </c>
      <c r="Q160" s="277">
        <v>15645079</v>
      </c>
      <c r="R160" s="277">
        <v>12516063</v>
      </c>
      <c r="S160" s="277">
        <v>2816114</v>
      </c>
      <c r="T160" s="277">
        <v>312902</v>
      </c>
      <c r="U160" s="277">
        <v>31290158</v>
      </c>
      <c r="V160" s="277">
        <v>0</v>
      </c>
      <c r="W160" s="277">
        <v>15645079</v>
      </c>
      <c r="X160" s="277">
        <v>124697</v>
      </c>
      <c r="Y160" s="277">
        <v>124697</v>
      </c>
      <c r="Z160" s="277">
        <v>0</v>
      </c>
      <c r="AA160" s="277">
        <v>0</v>
      </c>
      <c r="AB160" s="277">
        <v>0</v>
      </c>
      <c r="AC160" s="277">
        <v>0</v>
      </c>
      <c r="AD160" s="277">
        <v>0</v>
      </c>
      <c r="AE160" s="277">
        <v>0</v>
      </c>
      <c r="AF160" s="277">
        <v>0</v>
      </c>
      <c r="AG160" s="277">
        <v>0</v>
      </c>
      <c r="AH160" s="277">
        <v>0</v>
      </c>
      <c r="AI160" s="277">
        <v>0</v>
      </c>
      <c r="AJ160" s="277">
        <v>0</v>
      </c>
      <c r="AK160" s="277">
        <v>0</v>
      </c>
      <c r="AL160" s="277">
        <v>0</v>
      </c>
      <c r="AM160" s="277">
        <v>-320198.5</v>
      </c>
      <c r="AN160" s="277">
        <v>-256158.8</v>
      </c>
      <c r="AO160" s="277">
        <v>-57635.73</v>
      </c>
      <c r="AP160" s="277">
        <v>-6403.97</v>
      </c>
      <c r="AQ160" s="277">
        <v>-640397</v>
      </c>
      <c r="AR160" s="277">
        <v>15324881</v>
      </c>
      <c r="AS160" s="277">
        <v>12384601</v>
      </c>
      <c r="AT160" s="277">
        <v>2758478</v>
      </c>
      <c r="AU160" s="277">
        <v>306498</v>
      </c>
      <c r="AV160" s="277">
        <v>30774458</v>
      </c>
      <c r="AW160" s="277">
        <v>134191</v>
      </c>
      <c r="AX160" s="277">
        <v>29895</v>
      </c>
      <c r="AY160" s="277">
        <v>3322</v>
      </c>
      <c r="AZ160" s="277">
        <v>167408</v>
      </c>
      <c r="BA160" s="277">
        <v>313108</v>
      </c>
      <c r="BB160" s="277">
        <v>70449</v>
      </c>
      <c r="BC160" s="277">
        <v>7828</v>
      </c>
      <c r="BD160" s="277">
        <v>391385</v>
      </c>
      <c r="BE160" s="277">
        <v>0</v>
      </c>
      <c r="BF160" s="277">
        <v>0</v>
      </c>
      <c r="BG160" s="277">
        <v>0</v>
      </c>
      <c r="BH160" s="277">
        <v>0</v>
      </c>
      <c r="BI160" s="277">
        <v>0</v>
      </c>
      <c r="BJ160" s="277">
        <v>0</v>
      </c>
      <c r="BK160" s="277">
        <v>0</v>
      </c>
      <c r="BL160" s="277">
        <v>0</v>
      </c>
      <c r="BM160" s="277">
        <v>321882</v>
      </c>
      <c r="BN160" s="277">
        <v>72423</v>
      </c>
      <c r="BO160" s="277">
        <v>8047</v>
      </c>
      <c r="BP160" s="277">
        <v>402352</v>
      </c>
      <c r="BQ160" s="277">
        <v>217080</v>
      </c>
      <c r="BR160" s="277">
        <v>48843</v>
      </c>
      <c r="BS160" s="277">
        <v>5427</v>
      </c>
      <c r="BT160" s="277">
        <v>271350</v>
      </c>
      <c r="BU160" s="277">
        <v>986261</v>
      </c>
      <c r="BV160" s="277">
        <v>221610</v>
      </c>
      <c r="BW160" s="277">
        <v>24624</v>
      </c>
      <c r="BX160" s="277">
        <v>1232495</v>
      </c>
      <c r="BY160" s="278" t="s">
        <v>214</v>
      </c>
      <c r="BZ160" s="279" t="s">
        <v>1025</v>
      </c>
      <c r="CA160" s="280" t="s">
        <v>1026</v>
      </c>
    </row>
    <row r="161" spans="1:79" ht="12.75">
      <c r="A161" s="169">
        <v>154</v>
      </c>
      <c r="B161" s="172" t="s">
        <v>216</v>
      </c>
      <c r="C161" s="258" t="s">
        <v>217</v>
      </c>
      <c r="D161" s="277">
        <v>41077472</v>
      </c>
      <c r="E161" s="277">
        <v>0</v>
      </c>
      <c r="F161" s="277">
        <v>5083</v>
      </c>
      <c r="G161" s="277">
        <v>150379</v>
      </c>
      <c r="H161" s="277">
        <v>0</v>
      </c>
      <c r="I161" s="277">
        <v>150379</v>
      </c>
      <c r="J161" s="277">
        <v>0</v>
      </c>
      <c r="K161" s="277">
        <v>0</v>
      </c>
      <c r="L161" s="277">
        <v>0</v>
      </c>
      <c r="M161" s="277">
        <v>0</v>
      </c>
      <c r="N161" s="277">
        <v>0</v>
      </c>
      <c r="O161" s="277">
        <v>0</v>
      </c>
      <c r="P161" s="277">
        <v>40922010</v>
      </c>
      <c r="Q161" s="277">
        <v>20461005</v>
      </c>
      <c r="R161" s="277">
        <v>16368804</v>
      </c>
      <c r="S161" s="277">
        <v>4092201</v>
      </c>
      <c r="T161" s="277">
        <v>0</v>
      </c>
      <c r="U161" s="277">
        <v>40922010</v>
      </c>
      <c r="V161" s="277">
        <v>0</v>
      </c>
      <c r="W161" s="277">
        <v>20461005</v>
      </c>
      <c r="X161" s="277">
        <v>150379</v>
      </c>
      <c r="Y161" s="277">
        <v>150379</v>
      </c>
      <c r="Z161" s="277">
        <v>0</v>
      </c>
      <c r="AA161" s="277">
        <v>0</v>
      </c>
      <c r="AB161" s="277">
        <v>0</v>
      </c>
      <c r="AC161" s="277">
        <v>0</v>
      </c>
      <c r="AD161" s="277">
        <v>0</v>
      </c>
      <c r="AE161" s="277">
        <v>0</v>
      </c>
      <c r="AF161" s="277">
        <v>0</v>
      </c>
      <c r="AG161" s="277">
        <v>0</v>
      </c>
      <c r="AH161" s="277">
        <v>0</v>
      </c>
      <c r="AI161" s="277">
        <v>0</v>
      </c>
      <c r="AJ161" s="277">
        <v>0</v>
      </c>
      <c r="AK161" s="277">
        <v>0</v>
      </c>
      <c r="AL161" s="277">
        <v>0</v>
      </c>
      <c r="AM161" s="277">
        <v>-702797.5</v>
      </c>
      <c r="AN161" s="277">
        <v>-562238</v>
      </c>
      <c r="AO161" s="277">
        <v>-140559.5</v>
      </c>
      <c r="AP161" s="277">
        <v>0</v>
      </c>
      <c r="AQ161" s="277">
        <v>-1405595</v>
      </c>
      <c r="AR161" s="277">
        <v>19758208</v>
      </c>
      <c r="AS161" s="277">
        <v>15956945</v>
      </c>
      <c r="AT161" s="277">
        <v>3951642</v>
      </c>
      <c r="AU161" s="277">
        <v>0</v>
      </c>
      <c r="AV161" s="277">
        <v>39666794</v>
      </c>
      <c r="AW161" s="277">
        <v>175363</v>
      </c>
      <c r="AX161" s="277">
        <v>43442</v>
      </c>
      <c r="AY161" s="277">
        <v>0</v>
      </c>
      <c r="AZ161" s="277">
        <v>218805</v>
      </c>
      <c r="BA161" s="277">
        <v>356694</v>
      </c>
      <c r="BB161" s="277">
        <v>89174</v>
      </c>
      <c r="BC161" s="277">
        <v>0</v>
      </c>
      <c r="BD161" s="277">
        <v>445868</v>
      </c>
      <c r="BE161" s="277">
        <v>4042</v>
      </c>
      <c r="BF161" s="277">
        <v>1011</v>
      </c>
      <c r="BG161" s="277">
        <v>0</v>
      </c>
      <c r="BH161" s="277">
        <v>5053</v>
      </c>
      <c r="BI161" s="277">
        <v>36382</v>
      </c>
      <c r="BJ161" s="277">
        <v>9096</v>
      </c>
      <c r="BK161" s="277">
        <v>0</v>
      </c>
      <c r="BL161" s="277">
        <v>45478</v>
      </c>
      <c r="BM161" s="277">
        <v>63062</v>
      </c>
      <c r="BN161" s="277">
        <v>15766</v>
      </c>
      <c r="BO161" s="277">
        <v>0</v>
      </c>
      <c r="BP161" s="277">
        <v>78828</v>
      </c>
      <c r="BQ161" s="277">
        <v>303185</v>
      </c>
      <c r="BR161" s="277">
        <v>75796</v>
      </c>
      <c r="BS161" s="277">
        <v>0</v>
      </c>
      <c r="BT161" s="277">
        <v>378981</v>
      </c>
      <c r="BU161" s="277">
        <v>938728</v>
      </c>
      <c r="BV161" s="277">
        <v>234285</v>
      </c>
      <c r="BW161" s="277">
        <v>0</v>
      </c>
      <c r="BX161" s="277">
        <v>1173013</v>
      </c>
      <c r="BY161" s="278" t="s">
        <v>216</v>
      </c>
      <c r="BZ161" s="279" t="s">
        <v>1011</v>
      </c>
      <c r="CA161" s="280" t="s">
        <v>984</v>
      </c>
    </row>
    <row r="162" spans="1:79" ht="12.75">
      <c r="A162" s="169">
        <v>155</v>
      </c>
      <c r="B162" s="172" t="s">
        <v>218</v>
      </c>
      <c r="C162" s="258" t="s">
        <v>219</v>
      </c>
      <c r="D162" s="277">
        <v>191454699</v>
      </c>
      <c r="E162" s="277">
        <v>171015</v>
      </c>
      <c r="F162" s="277">
        <v>0</v>
      </c>
      <c r="G162" s="277">
        <v>768610</v>
      </c>
      <c r="H162" s="277">
        <v>0</v>
      </c>
      <c r="I162" s="277">
        <v>768610</v>
      </c>
      <c r="J162" s="277">
        <v>0</v>
      </c>
      <c r="K162" s="277">
        <v>0</v>
      </c>
      <c r="L162" s="277">
        <v>0</v>
      </c>
      <c r="M162" s="277">
        <v>0</v>
      </c>
      <c r="N162" s="277">
        <v>0</v>
      </c>
      <c r="O162" s="277">
        <v>0</v>
      </c>
      <c r="P162" s="277">
        <v>190857104</v>
      </c>
      <c r="Q162" s="277">
        <v>95428551.5</v>
      </c>
      <c r="R162" s="277">
        <v>93519981</v>
      </c>
      <c r="S162" s="277">
        <v>0</v>
      </c>
      <c r="T162" s="277">
        <v>1908571</v>
      </c>
      <c r="U162" s="277">
        <v>190857104</v>
      </c>
      <c r="V162" s="277">
        <v>0</v>
      </c>
      <c r="W162" s="277">
        <v>95428551.5</v>
      </c>
      <c r="X162" s="277">
        <v>768610</v>
      </c>
      <c r="Y162" s="277">
        <v>768610</v>
      </c>
      <c r="Z162" s="277">
        <v>0</v>
      </c>
      <c r="AA162" s="277">
        <v>0</v>
      </c>
      <c r="AB162" s="277">
        <v>0</v>
      </c>
      <c r="AC162" s="277">
        <v>0</v>
      </c>
      <c r="AD162" s="277">
        <v>0</v>
      </c>
      <c r="AE162" s="277">
        <v>0</v>
      </c>
      <c r="AF162" s="277">
        <v>0</v>
      </c>
      <c r="AG162" s="277">
        <v>0</v>
      </c>
      <c r="AH162" s="277">
        <v>0</v>
      </c>
      <c r="AI162" s="277">
        <v>0</v>
      </c>
      <c r="AJ162" s="277">
        <v>0</v>
      </c>
      <c r="AK162" s="277">
        <v>0</v>
      </c>
      <c r="AL162" s="277">
        <v>0</v>
      </c>
      <c r="AM162" s="277">
        <v>-2351779.5</v>
      </c>
      <c r="AN162" s="277">
        <v>-2304743.9</v>
      </c>
      <c r="AO162" s="277">
        <v>0</v>
      </c>
      <c r="AP162" s="277">
        <v>-47035.59</v>
      </c>
      <c r="AQ162" s="277">
        <v>-4703559</v>
      </c>
      <c r="AR162" s="277">
        <v>93076772</v>
      </c>
      <c r="AS162" s="277">
        <v>91983847</v>
      </c>
      <c r="AT162" s="277">
        <v>0</v>
      </c>
      <c r="AU162" s="277">
        <v>1861535</v>
      </c>
      <c r="AV162" s="277">
        <v>186922155</v>
      </c>
      <c r="AW162" s="277">
        <v>1000940</v>
      </c>
      <c r="AX162" s="277">
        <v>0</v>
      </c>
      <c r="AY162" s="277">
        <v>20261</v>
      </c>
      <c r="AZ162" s="277">
        <v>1021201</v>
      </c>
      <c r="BA162" s="277">
        <v>1816863</v>
      </c>
      <c r="BB162" s="277">
        <v>0</v>
      </c>
      <c r="BC162" s="277">
        <v>37079</v>
      </c>
      <c r="BD162" s="277">
        <v>1853942</v>
      </c>
      <c r="BE162" s="277">
        <v>191249</v>
      </c>
      <c r="BF162" s="277">
        <v>0</v>
      </c>
      <c r="BG162" s="277">
        <v>3903</v>
      </c>
      <c r="BH162" s="277">
        <v>195152</v>
      </c>
      <c r="BI162" s="277">
        <v>198081</v>
      </c>
      <c r="BJ162" s="277">
        <v>0</v>
      </c>
      <c r="BK162" s="277">
        <v>4042</v>
      </c>
      <c r="BL162" s="277">
        <v>202123</v>
      </c>
      <c r="BM162" s="277">
        <v>36809</v>
      </c>
      <c r="BN162" s="277">
        <v>0</v>
      </c>
      <c r="BO162" s="277">
        <v>751</v>
      </c>
      <c r="BP162" s="277">
        <v>37560</v>
      </c>
      <c r="BQ162" s="277">
        <v>1139805</v>
      </c>
      <c r="BR162" s="277">
        <v>0</v>
      </c>
      <c r="BS162" s="277">
        <v>23261</v>
      </c>
      <c r="BT162" s="277">
        <v>1163066</v>
      </c>
      <c r="BU162" s="277">
        <v>4383747</v>
      </c>
      <c r="BV162" s="277">
        <v>0</v>
      </c>
      <c r="BW162" s="277">
        <v>89297</v>
      </c>
      <c r="BX162" s="277">
        <v>4473044</v>
      </c>
      <c r="BY162" s="278" t="s">
        <v>218</v>
      </c>
      <c r="BZ162" s="279" t="s">
        <v>996</v>
      </c>
      <c r="CA162" s="280" t="s">
        <v>1047</v>
      </c>
    </row>
    <row r="163" spans="1:79" ht="12.75">
      <c r="A163" s="169">
        <v>156</v>
      </c>
      <c r="B163" s="172" t="s">
        <v>220</v>
      </c>
      <c r="C163" s="258" t="s">
        <v>221</v>
      </c>
      <c r="D163" s="277">
        <v>60517449</v>
      </c>
      <c r="E163" s="277">
        <v>0</v>
      </c>
      <c r="F163" s="277">
        <v>207724</v>
      </c>
      <c r="G163" s="277">
        <v>259109</v>
      </c>
      <c r="H163" s="277">
        <v>0</v>
      </c>
      <c r="I163" s="277">
        <v>259109</v>
      </c>
      <c r="J163" s="277">
        <v>0</v>
      </c>
      <c r="K163" s="277">
        <v>0</v>
      </c>
      <c r="L163" s="277">
        <v>0</v>
      </c>
      <c r="M163" s="277">
        <v>0</v>
      </c>
      <c r="N163" s="277">
        <v>0</v>
      </c>
      <c r="O163" s="277">
        <v>0</v>
      </c>
      <c r="P163" s="277">
        <v>60050616</v>
      </c>
      <c r="Q163" s="277">
        <v>30025308</v>
      </c>
      <c r="R163" s="277">
        <v>29424802</v>
      </c>
      <c r="S163" s="277">
        <v>0</v>
      </c>
      <c r="T163" s="277">
        <v>600506</v>
      </c>
      <c r="U163" s="277">
        <v>60050616</v>
      </c>
      <c r="V163" s="277">
        <v>0</v>
      </c>
      <c r="W163" s="277">
        <v>30025308</v>
      </c>
      <c r="X163" s="277">
        <v>259109</v>
      </c>
      <c r="Y163" s="277">
        <v>259109</v>
      </c>
      <c r="Z163" s="277">
        <v>0</v>
      </c>
      <c r="AA163" s="277">
        <v>0</v>
      </c>
      <c r="AB163" s="277">
        <v>0</v>
      </c>
      <c r="AC163" s="277">
        <v>0</v>
      </c>
      <c r="AD163" s="277">
        <v>0</v>
      </c>
      <c r="AE163" s="277">
        <v>0</v>
      </c>
      <c r="AF163" s="277">
        <v>0</v>
      </c>
      <c r="AG163" s="277">
        <v>0</v>
      </c>
      <c r="AH163" s="277">
        <v>0</v>
      </c>
      <c r="AI163" s="277">
        <v>0</v>
      </c>
      <c r="AJ163" s="277">
        <v>0</v>
      </c>
      <c r="AK163" s="277">
        <v>0</v>
      </c>
      <c r="AL163" s="277">
        <v>0</v>
      </c>
      <c r="AM163" s="277">
        <v>-1795960.5</v>
      </c>
      <c r="AN163" s="277">
        <v>-1760041.3</v>
      </c>
      <c r="AO163" s="277">
        <v>0</v>
      </c>
      <c r="AP163" s="277">
        <v>-35919.21</v>
      </c>
      <c r="AQ163" s="277">
        <v>-3591921</v>
      </c>
      <c r="AR163" s="277">
        <v>28229347</v>
      </c>
      <c r="AS163" s="277">
        <v>27923870</v>
      </c>
      <c r="AT163" s="277">
        <v>0</v>
      </c>
      <c r="AU163" s="277">
        <v>564587</v>
      </c>
      <c r="AV163" s="277">
        <v>56717804</v>
      </c>
      <c r="AW163" s="277">
        <v>315116</v>
      </c>
      <c r="AX163" s="277">
        <v>0</v>
      </c>
      <c r="AY163" s="277">
        <v>6375</v>
      </c>
      <c r="AZ163" s="277">
        <v>321491</v>
      </c>
      <c r="BA163" s="277">
        <v>631919</v>
      </c>
      <c r="BB163" s="277">
        <v>0</v>
      </c>
      <c r="BC163" s="277">
        <v>12896</v>
      </c>
      <c r="BD163" s="277">
        <v>644815</v>
      </c>
      <c r="BE163" s="277">
        <v>0</v>
      </c>
      <c r="BF163" s="277">
        <v>0</v>
      </c>
      <c r="BG163" s="277">
        <v>0</v>
      </c>
      <c r="BH163" s="277">
        <v>0</v>
      </c>
      <c r="BI163" s="277">
        <v>0</v>
      </c>
      <c r="BJ163" s="277">
        <v>0</v>
      </c>
      <c r="BK163" s="277">
        <v>0</v>
      </c>
      <c r="BL163" s="277">
        <v>0</v>
      </c>
      <c r="BM163" s="277">
        <v>14938</v>
      </c>
      <c r="BN163" s="277">
        <v>0</v>
      </c>
      <c r="BO163" s="277">
        <v>305</v>
      </c>
      <c r="BP163" s="277">
        <v>15243</v>
      </c>
      <c r="BQ163" s="277">
        <v>509794</v>
      </c>
      <c r="BR163" s="277">
        <v>0</v>
      </c>
      <c r="BS163" s="277">
        <v>10404</v>
      </c>
      <c r="BT163" s="277">
        <v>520198</v>
      </c>
      <c r="BU163" s="277">
        <v>1471767</v>
      </c>
      <c r="BV163" s="277">
        <v>0</v>
      </c>
      <c r="BW163" s="277">
        <v>29980</v>
      </c>
      <c r="BX163" s="277">
        <v>1501747</v>
      </c>
      <c r="BY163" s="278" t="s">
        <v>898</v>
      </c>
      <c r="BZ163" s="279" t="s">
        <v>1003</v>
      </c>
      <c r="CA163" s="280" t="s">
        <v>1005</v>
      </c>
    </row>
    <row r="164" spans="1:79" ht="12.75">
      <c r="A164" s="169">
        <v>157</v>
      </c>
      <c r="B164" s="172" t="s">
        <v>222</v>
      </c>
      <c r="C164" s="258" t="s">
        <v>223</v>
      </c>
      <c r="D164" s="277">
        <v>55669649</v>
      </c>
      <c r="E164" s="277">
        <v>0</v>
      </c>
      <c r="F164" s="277">
        <v>20373</v>
      </c>
      <c r="G164" s="277">
        <v>208056</v>
      </c>
      <c r="H164" s="277">
        <v>0</v>
      </c>
      <c r="I164" s="277">
        <v>208056</v>
      </c>
      <c r="J164" s="277">
        <v>0</v>
      </c>
      <c r="K164" s="277">
        <v>0</v>
      </c>
      <c r="L164" s="277">
        <v>0</v>
      </c>
      <c r="M164" s="277">
        <v>0</v>
      </c>
      <c r="N164" s="277">
        <v>0</v>
      </c>
      <c r="O164" s="277">
        <v>0</v>
      </c>
      <c r="P164" s="277">
        <v>55441220</v>
      </c>
      <c r="Q164" s="277">
        <v>27720610</v>
      </c>
      <c r="R164" s="277">
        <v>22176488</v>
      </c>
      <c r="S164" s="277">
        <v>4989710</v>
      </c>
      <c r="T164" s="277">
        <v>554412</v>
      </c>
      <c r="U164" s="277">
        <v>55441220</v>
      </c>
      <c r="V164" s="277">
        <v>0</v>
      </c>
      <c r="W164" s="277">
        <v>27720610</v>
      </c>
      <c r="X164" s="277">
        <v>208056</v>
      </c>
      <c r="Y164" s="277">
        <v>208056</v>
      </c>
      <c r="Z164" s="277">
        <v>0</v>
      </c>
      <c r="AA164" s="277">
        <v>0</v>
      </c>
      <c r="AB164" s="277">
        <v>0</v>
      </c>
      <c r="AC164" s="277">
        <v>0</v>
      </c>
      <c r="AD164" s="277">
        <v>0</v>
      </c>
      <c r="AE164" s="277">
        <v>0</v>
      </c>
      <c r="AF164" s="277">
        <v>0</v>
      </c>
      <c r="AG164" s="277">
        <v>0</v>
      </c>
      <c r="AH164" s="277">
        <v>0</v>
      </c>
      <c r="AI164" s="277">
        <v>0</v>
      </c>
      <c r="AJ164" s="277">
        <v>0</v>
      </c>
      <c r="AK164" s="277">
        <v>0</v>
      </c>
      <c r="AL164" s="277">
        <v>0</v>
      </c>
      <c r="AM164" s="277">
        <v>-895031</v>
      </c>
      <c r="AN164" s="277">
        <v>-716024</v>
      </c>
      <c r="AO164" s="277">
        <v>-161105</v>
      </c>
      <c r="AP164" s="277">
        <v>-17901</v>
      </c>
      <c r="AQ164" s="277">
        <v>-1790061</v>
      </c>
      <c r="AR164" s="277">
        <v>26825579</v>
      </c>
      <c r="AS164" s="277">
        <v>21668520</v>
      </c>
      <c r="AT164" s="277">
        <v>4828605</v>
      </c>
      <c r="AU164" s="277">
        <v>536511</v>
      </c>
      <c r="AV164" s="277">
        <v>53859215</v>
      </c>
      <c r="AW164" s="277">
        <v>237628</v>
      </c>
      <c r="AX164" s="277">
        <v>52969</v>
      </c>
      <c r="AY164" s="277">
        <v>5885</v>
      </c>
      <c r="AZ164" s="277">
        <v>296482</v>
      </c>
      <c r="BA164" s="277">
        <v>626794</v>
      </c>
      <c r="BB164" s="277">
        <v>141029</v>
      </c>
      <c r="BC164" s="277">
        <v>15670</v>
      </c>
      <c r="BD164" s="277">
        <v>783493</v>
      </c>
      <c r="BE164" s="277">
        <v>40575</v>
      </c>
      <c r="BF164" s="277">
        <v>9129</v>
      </c>
      <c r="BG164" s="277">
        <v>1014</v>
      </c>
      <c r="BH164" s="277">
        <v>50718</v>
      </c>
      <c r="BI164" s="277">
        <v>3638</v>
      </c>
      <c r="BJ164" s="277">
        <v>819</v>
      </c>
      <c r="BK164" s="277">
        <v>91</v>
      </c>
      <c r="BL164" s="277">
        <v>4548</v>
      </c>
      <c r="BM164" s="277">
        <v>67736</v>
      </c>
      <c r="BN164" s="277">
        <v>15240</v>
      </c>
      <c r="BO164" s="277">
        <v>1693</v>
      </c>
      <c r="BP164" s="277">
        <v>84669</v>
      </c>
      <c r="BQ164" s="277">
        <v>217727</v>
      </c>
      <c r="BR164" s="277">
        <v>48989</v>
      </c>
      <c r="BS164" s="277">
        <v>5443</v>
      </c>
      <c r="BT164" s="277">
        <v>272159</v>
      </c>
      <c r="BU164" s="277">
        <v>1194098</v>
      </c>
      <c r="BV164" s="277">
        <v>268175</v>
      </c>
      <c r="BW164" s="277">
        <v>29796</v>
      </c>
      <c r="BX164" s="277">
        <v>1492069</v>
      </c>
      <c r="BY164" s="278" t="s">
        <v>222</v>
      </c>
      <c r="BZ164" s="279" t="s">
        <v>990</v>
      </c>
      <c r="CA164" s="280" t="s">
        <v>991</v>
      </c>
    </row>
    <row r="165" spans="1:79" ht="12.75">
      <c r="A165" s="169">
        <v>158</v>
      </c>
      <c r="B165" s="172" t="s">
        <v>224</v>
      </c>
      <c r="C165" s="258" t="s">
        <v>225</v>
      </c>
      <c r="D165" s="277">
        <v>13529103.5</v>
      </c>
      <c r="E165" s="277">
        <v>28187</v>
      </c>
      <c r="F165" s="277">
        <v>0</v>
      </c>
      <c r="G165" s="277">
        <v>92245</v>
      </c>
      <c r="H165" s="277">
        <v>0</v>
      </c>
      <c r="I165" s="277">
        <v>92245</v>
      </c>
      <c r="J165" s="277">
        <v>0</v>
      </c>
      <c r="K165" s="277">
        <v>0</v>
      </c>
      <c r="L165" s="277">
        <v>0</v>
      </c>
      <c r="M165" s="277">
        <v>399920</v>
      </c>
      <c r="N165" s="277">
        <v>399920</v>
      </c>
      <c r="O165" s="277">
        <v>0</v>
      </c>
      <c r="P165" s="277">
        <v>13065125.5</v>
      </c>
      <c r="Q165" s="277">
        <v>6532563.54</v>
      </c>
      <c r="R165" s="277">
        <v>5226050</v>
      </c>
      <c r="S165" s="277">
        <v>1175861</v>
      </c>
      <c r="T165" s="277">
        <v>130651</v>
      </c>
      <c r="U165" s="277">
        <v>13065126</v>
      </c>
      <c r="V165" s="277">
        <v>0</v>
      </c>
      <c r="W165" s="277">
        <v>6532563.54</v>
      </c>
      <c r="X165" s="277">
        <v>92245</v>
      </c>
      <c r="Y165" s="277">
        <v>92245</v>
      </c>
      <c r="Z165" s="277">
        <v>0</v>
      </c>
      <c r="AA165" s="277">
        <v>0</v>
      </c>
      <c r="AB165" s="277">
        <v>0</v>
      </c>
      <c r="AC165" s="277">
        <v>0</v>
      </c>
      <c r="AD165" s="277">
        <v>399920</v>
      </c>
      <c r="AE165" s="277">
        <v>0</v>
      </c>
      <c r="AF165" s="277">
        <v>399920</v>
      </c>
      <c r="AG165" s="277">
        <v>0</v>
      </c>
      <c r="AH165" s="277">
        <v>0</v>
      </c>
      <c r="AI165" s="277">
        <v>0</v>
      </c>
      <c r="AJ165" s="277">
        <v>0</v>
      </c>
      <c r="AK165" s="277">
        <v>0</v>
      </c>
      <c r="AL165" s="277">
        <v>0</v>
      </c>
      <c r="AM165" s="277">
        <v>37257.3</v>
      </c>
      <c r="AN165" s="277">
        <v>29805.84</v>
      </c>
      <c r="AO165" s="277">
        <v>6706.31</v>
      </c>
      <c r="AP165" s="277">
        <v>745.15</v>
      </c>
      <c r="AQ165" s="277">
        <v>74514.59</v>
      </c>
      <c r="AR165" s="277">
        <v>6569821</v>
      </c>
      <c r="AS165" s="277">
        <v>5748021</v>
      </c>
      <c r="AT165" s="277">
        <v>1182567</v>
      </c>
      <c r="AU165" s="277">
        <v>131396</v>
      </c>
      <c r="AV165" s="277">
        <v>13631806</v>
      </c>
      <c r="AW165" s="277">
        <v>60703</v>
      </c>
      <c r="AX165" s="277">
        <v>12483</v>
      </c>
      <c r="AY165" s="277">
        <v>1387</v>
      </c>
      <c r="AZ165" s="277">
        <v>74573</v>
      </c>
      <c r="BA165" s="277">
        <v>341959</v>
      </c>
      <c r="BB165" s="277">
        <v>76941</v>
      </c>
      <c r="BC165" s="277">
        <v>8549</v>
      </c>
      <c r="BD165" s="277">
        <v>427449</v>
      </c>
      <c r="BE165" s="277">
        <v>6064</v>
      </c>
      <c r="BF165" s="277">
        <v>1364</v>
      </c>
      <c r="BG165" s="277">
        <v>152</v>
      </c>
      <c r="BH165" s="277">
        <v>7580</v>
      </c>
      <c r="BI165" s="277">
        <v>0</v>
      </c>
      <c r="BJ165" s="277">
        <v>0</v>
      </c>
      <c r="BK165" s="277">
        <v>0</v>
      </c>
      <c r="BL165" s="277">
        <v>0</v>
      </c>
      <c r="BM165" s="277">
        <v>2086</v>
      </c>
      <c r="BN165" s="277">
        <v>469</v>
      </c>
      <c r="BO165" s="277">
        <v>52</v>
      </c>
      <c r="BP165" s="277">
        <v>2607</v>
      </c>
      <c r="BQ165" s="277">
        <v>127349</v>
      </c>
      <c r="BR165" s="277">
        <v>28654</v>
      </c>
      <c r="BS165" s="277">
        <v>3184</v>
      </c>
      <c r="BT165" s="277">
        <v>159187</v>
      </c>
      <c r="BU165" s="277">
        <v>538161</v>
      </c>
      <c r="BV165" s="277">
        <v>119911</v>
      </c>
      <c r="BW165" s="277">
        <v>13324</v>
      </c>
      <c r="BX165" s="277">
        <v>671396</v>
      </c>
      <c r="BY165" s="278" t="s">
        <v>224</v>
      </c>
      <c r="BZ165" s="279" t="s">
        <v>998</v>
      </c>
      <c r="CA165" s="280" t="s">
        <v>999</v>
      </c>
    </row>
    <row r="166" spans="1:79" ht="12.75">
      <c r="A166" s="169">
        <v>159</v>
      </c>
      <c r="B166" s="172" t="s">
        <v>226</v>
      </c>
      <c r="C166" s="258" t="s">
        <v>227</v>
      </c>
      <c r="D166" s="277">
        <v>15154868.2</v>
      </c>
      <c r="E166" s="277">
        <v>47439</v>
      </c>
      <c r="F166" s="277">
        <v>0</v>
      </c>
      <c r="G166" s="277">
        <v>107874</v>
      </c>
      <c r="H166" s="277">
        <v>0</v>
      </c>
      <c r="I166" s="277">
        <v>107874</v>
      </c>
      <c r="J166" s="277">
        <v>0</v>
      </c>
      <c r="K166" s="277">
        <v>0</v>
      </c>
      <c r="L166" s="277">
        <v>0</v>
      </c>
      <c r="M166" s="277">
        <v>0</v>
      </c>
      <c r="N166" s="277">
        <v>0</v>
      </c>
      <c r="O166" s="277">
        <v>0</v>
      </c>
      <c r="P166" s="277">
        <v>15094433.2</v>
      </c>
      <c r="Q166" s="277">
        <v>7547217.17</v>
      </c>
      <c r="R166" s="277">
        <v>6037773</v>
      </c>
      <c r="S166" s="277">
        <v>1358499</v>
      </c>
      <c r="T166" s="277">
        <v>150944</v>
      </c>
      <c r="U166" s="277">
        <v>15094433</v>
      </c>
      <c r="V166" s="277">
        <v>0</v>
      </c>
      <c r="W166" s="277">
        <v>7547217.17</v>
      </c>
      <c r="X166" s="277">
        <v>107874</v>
      </c>
      <c r="Y166" s="277">
        <v>107874</v>
      </c>
      <c r="Z166" s="277">
        <v>0</v>
      </c>
      <c r="AA166" s="277">
        <v>0</v>
      </c>
      <c r="AB166" s="277">
        <v>0</v>
      </c>
      <c r="AC166" s="277">
        <v>0</v>
      </c>
      <c r="AD166" s="277">
        <v>0</v>
      </c>
      <c r="AE166" s="277">
        <v>0</v>
      </c>
      <c r="AF166" s="277">
        <v>0</v>
      </c>
      <c r="AG166" s="277">
        <v>0</v>
      </c>
      <c r="AH166" s="277">
        <v>0</v>
      </c>
      <c r="AI166" s="277">
        <v>0</v>
      </c>
      <c r="AJ166" s="277">
        <v>0</v>
      </c>
      <c r="AK166" s="277">
        <v>0</v>
      </c>
      <c r="AL166" s="277">
        <v>0</v>
      </c>
      <c r="AM166" s="277">
        <v>0</v>
      </c>
      <c r="AN166" s="277">
        <v>0</v>
      </c>
      <c r="AO166" s="277">
        <v>0</v>
      </c>
      <c r="AP166" s="277">
        <v>0</v>
      </c>
      <c r="AQ166" s="277">
        <v>0</v>
      </c>
      <c r="AR166" s="277">
        <v>7547217</v>
      </c>
      <c r="AS166" s="277">
        <v>6145647</v>
      </c>
      <c r="AT166" s="277">
        <v>1358499</v>
      </c>
      <c r="AU166" s="277">
        <v>150944</v>
      </c>
      <c r="AV166" s="277">
        <v>15202307</v>
      </c>
      <c r="AW166" s="277">
        <v>65240</v>
      </c>
      <c r="AX166" s="277">
        <v>14421</v>
      </c>
      <c r="AY166" s="277">
        <v>1602</v>
      </c>
      <c r="AZ166" s="277">
        <v>81263</v>
      </c>
      <c r="BA166" s="277">
        <v>384699</v>
      </c>
      <c r="BB166" s="277">
        <v>86558</v>
      </c>
      <c r="BC166" s="277">
        <v>9618</v>
      </c>
      <c r="BD166" s="277">
        <v>480875</v>
      </c>
      <c r="BE166" s="277">
        <v>0</v>
      </c>
      <c r="BF166" s="277">
        <v>0</v>
      </c>
      <c r="BG166" s="277">
        <v>0</v>
      </c>
      <c r="BH166" s="277">
        <v>0</v>
      </c>
      <c r="BI166" s="277">
        <v>0</v>
      </c>
      <c r="BJ166" s="277">
        <v>0</v>
      </c>
      <c r="BK166" s="277">
        <v>0</v>
      </c>
      <c r="BL166" s="277">
        <v>0</v>
      </c>
      <c r="BM166" s="277">
        <v>1727</v>
      </c>
      <c r="BN166" s="277">
        <v>388</v>
      </c>
      <c r="BO166" s="277">
        <v>43</v>
      </c>
      <c r="BP166" s="277">
        <v>2158</v>
      </c>
      <c r="BQ166" s="277">
        <v>134081</v>
      </c>
      <c r="BR166" s="277">
        <v>30168</v>
      </c>
      <c r="BS166" s="277">
        <v>3352</v>
      </c>
      <c r="BT166" s="277">
        <v>167601</v>
      </c>
      <c r="BU166" s="277">
        <v>585747</v>
      </c>
      <c r="BV166" s="277">
        <v>131535</v>
      </c>
      <c r="BW166" s="277">
        <v>14615</v>
      </c>
      <c r="BX166" s="277">
        <v>731897</v>
      </c>
      <c r="BY166" s="278" t="s">
        <v>226</v>
      </c>
      <c r="BZ166" s="279" t="s">
        <v>1019</v>
      </c>
      <c r="CA166" s="280" t="s">
        <v>1020</v>
      </c>
    </row>
    <row r="167" spans="1:79" ht="12.75">
      <c r="A167" s="169">
        <v>160</v>
      </c>
      <c r="B167" s="172" t="s">
        <v>228</v>
      </c>
      <c r="C167" s="258" t="s">
        <v>229</v>
      </c>
      <c r="D167" s="277">
        <v>310570697</v>
      </c>
      <c r="E167" s="277">
        <v>467686</v>
      </c>
      <c r="F167" s="277">
        <v>0</v>
      </c>
      <c r="G167" s="277">
        <v>1109516</v>
      </c>
      <c r="H167" s="277">
        <v>0</v>
      </c>
      <c r="I167" s="277">
        <v>1109516</v>
      </c>
      <c r="J167" s="277">
        <v>0</v>
      </c>
      <c r="K167" s="277">
        <v>0</v>
      </c>
      <c r="L167" s="277">
        <v>0</v>
      </c>
      <c r="M167" s="277">
        <v>0</v>
      </c>
      <c r="N167" s="277">
        <v>0</v>
      </c>
      <c r="O167" s="277">
        <v>0</v>
      </c>
      <c r="P167" s="277">
        <v>309928867</v>
      </c>
      <c r="Q167" s="277">
        <v>154964433</v>
      </c>
      <c r="R167" s="277">
        <v>151865145</v>
      </c>
      <c r="S167" s="277">
        <v>0</v>
      </c>
      <c r="T167" s="277">
        <v>3099289</v>
      </c>
      <c r="U167" s="277">
        <v>309928867</v>
      </c>
      <c r="V167" s="277">
        <v>0</v>
      </c>
      <c r="W167" s="277">
        <v>154964433</v>
      </c>
      <c r="X167" s="277">
        <v>1109516</v>
      </c>
      <c r="Y167" s="277">
        <v>1109516</v>
      </c>
      <c r="Z167" s="277">
        <v>0</v>
      </c>
      <c r="AA167" s="277">
        <v>0</v>
      </c>
      <c r="AB167" s="277">
        <v>0</v>
      </c>
      <c r="AC167" s="277">
        <v>0</v>
      </c>
      <c r="AD167" s="277">
        <v>0</v>
      </c>
      <c r="AE167" s="277">
        <v>0</v>
      </c>
      <c r="AF167" s="277">
        <v>0</v>
      </c>
      <c r="AG167" s="277">
        <v>0</v>
      </c>
      <c r="AH167" s="277">
        <v>0</v>
      </c>
      <c r="AI167" s="277">
        <v>0</v>
      </c>
      <c r="AJ167" s="277">
        <v>0</v>
      </c>
      <c r="AK167" s="277">
        <v>0</v>
      </c>
      <c r="AL167" s="277">
        <v>0</v>
      </c>
      <c r="AM167" s="277">
        <v>-13851839</v>
      </c>
      <c r="AN167" s="277">
        <v>-13574802</v>
      </c>
      <c r="AO167" s="277">
        <v>0</v>
      </c>
      <c r="AP167" s="277">
        <v>-277036.78</v>
      </c>
      <c r="AQ167" s="277">
        <v>-27703678</v>
      </c>
      <c r="AR167" s="277">
        <v>141112594</v>
      </c>
      <c r="AS167" s="277">
        <v>139399859</v>
      </c>
      <c r="AT167" s="277">
        <v>0</v>
      </c>
      <c r="AU167" s="277">
        <v>2822252</v>
      </c>
      <c r="AV167" s="277">
        <v>283334705</v>
      </c>
      <c r="AW167" s="277">
        <v>1623935</v>
      </c>
      <c r="AX167" s="277">
        <v>0</v>
      </c>
      <c r="AY167" s="277">
        <v>32901</v>
      </c>
      <c r="AZ167" s="277">
        <v>1656836</v>
      </c>
      <c r="BA167" s="277">
        <v>2256268</v>
      </c>
      <c r="BB167" s="277">
        <v>0</v>
      </c>
      <c r="BC167" s="277">
        <v>46046</v>
      </c>
      <c r="BD167" s="277">
        <v>2302314</v>
      </c>
      <c r="BE167" s="277">
        <v>0</v>
      </c>
      <c r="BF167" s="277">
        <v>0</v>
      </c>
      <c r="BG167" s="277">
        <v>0</v>
      </c>
      <c r="BH167" s="277">
        <v>0</v>
      </c>
      <c r="BI167" s="277">
        <v>0</v>
      </c>
      <c r="BJ167" s="277">
        <v>0</v>
      </c>
      <c r="BK167" s="277">
        <v>0</v>
      </c>
      <c r="BL167" s="277">
        <v>0</v>
      </c>
      <c r="BM167" s="277">
        <v>0</v>
      </c>
      <c r="BN167" s="277">
        <v>0</v>
      </c>
      <c r="BO167" s="277">
        <v>0</v>
      </c>
      <c r="BP167" s="277">
        <v>0</v>
      </c>
      <c r="BQ167" s="277">
        <v>1629018</v>
      </c>
      <c r="BR167" s="277">
        <v>0</v>
      </c>
      <c r="BS167" s="277">
        <v>33245</v>
      </c>
      <c r="BT167" s="277">
        <v>1662263</v>
      </c>
      <c r="BU167" s="277">
        <v>5509221</v>
      </c>
      <c r="BV167" s="277">
        <v>0</v>
      </c>
      <c r="BW167" s="277">
        <v>112192</v>
      </c>
      <c r="BX167" s="277">
        <v>5621413</v>
      </c>
      <c r="BY167" s="278" t="s">
        <v>228</v>
      </c>
      <c r="BZ167" s="279" t="s">
        <v>996</v>
      </c>
      <c r="CA167" s="280" t="s">
        <v>1010</v>
      </c>
    </row>
    <row r="168" spans="1:79" ht="12.75">
      <c r="A168" s="169">
        <v>161</v>
      </c>
      <c r="B168" s="172" t="s">
        <v>230</v>
      </c>
      <c r="C168" s="258" t="s">
        <v>231</v>
      </c>
      <c r="D168" s="277">
        <v>28850112</v>
      </c>
      <c r="E168" s="277">
        <v>0</v>
      </c>
      <c r="F168" s="277">
        <v>18723</v>
      </c>
      <c r="G168" s="277">
        <v>128485</v>
      </c>
      <c r="H168" s="277">
        <v>0</v>
      </c>
      <c r="I168" s="277">
        <v>128485</v>
      </c>
      <c r="J168" s="277">
        <v>0</v>
      </c>
      <c r="K168" s="277">
        <v>0</v>
      </c>
      <c r="L168" s="277">
        <v>0</v>
      </c>
      <c r="M168" s="277">
        <v>0</v>
      </c>
      <c r="N168" s="277">
        <v>0</v>
      </c>
      <c r="O168" s="277">
        <v>0</v>
      </c>
      <c r="P168" s="277">
        <v>28702904</v>
      </c>
      <c r="Q168" s="277">
        <v>14351452</v>
      </c>
      <c r="R168" s="277">
        <v>11481162</v>
      </c>
      <c r="S168" s="277">
        <v>2583261</v>
      </c>
      <c r="T168" s="277">
        <v>287029</v>
      </c>
      <c r="U168" s="277">
        <v>28702904</v>
      </c>
      <c r="V168" s="277">
        <v>0</v>
      </c>
      <c r="W168" s="277">
        <v>14351452</v>
      </c>
      <c r="X168" s="277">
        <v>128485</v>
      </c>
      <c r="Y168" s="277">
        <v>128485</v>
      </c>
      <c r="Z168" s="277">
        <v>0</v>
      </c>
      <c r="AA168" s="277">
        <v>0</v>
      </c>
      <c r="AB168" s="277">
        <v>0</v>
      </c>
      <c r="AC168" s="277">
        <v>0</v>
      </c>
      <c r="AD168" s="277">
        <v>0</v>
      </c>
      <c r="AE168" s="277">
        <v>0</v>
      </c>
      <c r="AF168" s="277">
        <v>0</v>
      </c>
      <c r="AG168" s="277">
        <v>0</v>
      </c>
      <c r="AH168" s="277">
        <v>0</v>
      </c>
      <c r="AI168" s="277">
        <v>0</v>
      </c>
      <c r="AJ168" s="277">
        <v>0</v>
      </c>
      <c r="AK168" s="277">
        <v>0</v>
      </c>
      <c r="AL168" s="277">
        <v>0</v>
      </c>
      <c r="AM168" s="277">
        <v>-746347.5</v>
      </c>
      <c r="AN168" s="277">
        <v>-597078</v>
      </c>
      <c r="AO168" s="277">
        <v>-134342.55</v>
      </c>
      <c r="AP168" s="277">
        <v>-14926.95</v>
      </c>
      <c r="AQ168" s="277">
        <v>-1492695</v>
      </c>
      <c r="AR168" s="277">
        <v>13605105</v>
      </c>
      <c r="AS168" s="277">
        <v>11012569</v>
      </c>
      <c r="AT168" s="277">
        <v>2448918</v>
      </c>
      <c r="AU168" s="277">
        <v>272102</v>
      </c>
      <c r="AV168" s="277">
        <v>27338694</v>
      </c>
      <c r="AW168" s="277">
        <v>123245</v>
      </c>
      <c r="AX168" s="277">
        <v>27423</v>
      </c>
      <c r="AY168" s="277">
        <v>3047</v>
      </c>
      <c r="AZ168" s="277">
        <v>153715</v>
      </c>
      <c r="BA168" s="277">
        <v>324847</v>
      </c>
      <c r="BB168" s="277">
        <v>73091</v>
      </c>
      <c r="BC168" s="277">
        <v>8121</v>
      </c>
      <c r="BD168" s="277">
        <v>406059</v>
      </c>
      <c r="BE168" s="277">
        <v>0</v>
      </c>
      <c r="BF168" s="277">
        <v>0</v>
      </c>
      <c r="BG168" s="277">
        <v>0</v>
      </c>
      <c r="BH168" s="277">
        <v>0</v>
      </c>
      <c r="BI168" s="277">
        <v>20212</v>
      </c>
      <c r="BJ168" s="277">
        <v>4548</v>
      </c>
      <c r="BK168" s="277">
        <v>505</v>
      </c>
      <c r="BL168" s="277">
        <v>25265</v>
      </c>
      <c r="BM168" s="277">
        <v>0</v>
      </c>
      <c r="BN168" s="277">
        <v>0</v>
      </c>
      <c r="BO168" s="277">
        <v>0</v>
      </c>
      <c r="BP168" s="277">
        <v>0</v>
      </c>
      <c r="BQ168" s="277">
        <v>184740</v>
      </c>
      <c r="BR168" s="277">
        <v>41567</v>
      </c>
      <c r="BS168" s="277">
        <v>4619</v>
      </c>
      <c r="BT168" s="277">
        <v>230926</v>
      </c>
      <c r="BU168" s="277">
        <v>653044</v>
      </c>
      <c r="BV168" s="277">
        <v>146629</v>
      </c>
      <c r="BW168" s="277">
        <v>16292</v>
      </c>
      <c r="BX168" s="277">
        <v>815965</v>
      </c>
      <c r="BY168" s="278" t="s">
        <v>230</v>
      </c>
      <c r="BZ168" s="279" t="s">
        <v>988</v>
      </c>
      <c r="CA168" s="280" t="s">
        <v>989</v>
      </c>
    </row>
    <row r="169" spans="1:79" ht="12.75">
      <c r="A169" s="169">
        <v>162</v>
      </c>
      <c r="B169" s="172" t="s">
        <v>232</v>
      </c>
      <c r="C169" s="258" t="s">
        <v>233</v>
      </c>
      <c r="D169" s="277">
        <v>85261270.7</v>
      </c>
      <c r="E169" s="277">
        <v>1013065.41</v>
      </c>
      <c r="F169" s="277">
        <v>0</v>
      </c>
      <c r="G169" s="277">
        <v>288985</v>
      </c>
      <c r="H169" s="277">
        <v>0</v>
      </c>
      <c r="I169" s="277">
        <v>288985</v>
      </c>
      <c r="J169" s="277">
        <v>0</v>
      </c>
      <c r="K169" s="277">
        <v>0</v>
      </c>
      <c r="L169" s="277">
        <v>0</v>
      </c>
      <c r="M169" s="277">
        <v>0</v>
      </c>
      <c r="N169" s="277">
        <v>0</v>
      </c>
      <c r="O169" s="277">
        <v>0</v>
      </c>
      <c r="P169" s="277">
        <v>85985351.1</v>
      </c>
      <c r="Q169" s="277">
        <v>42992675.1</v>
      </c>
      <c r="R169" s="277">
        <v>42132822</v>
      </c>
      <c r="S169" s="277">
        <v>0</v>
      </c>
      <c r="T169" s="277">
        <v>859854</v>
      </c>
      <c r="U169" s="277">
        <v>85985351</v>
      </c>
      <c r="V169" s="277">
        <v>0</v>
      </c>
      <c r="W169" s="277">
        <v>42992675.1</v>
      </c>
      <c r="X169" s="277">
        <v>288985</v>
      </c>
      <c r="Y169" s="277">
        <v>288985</v>
      </c>
      <c r="Z169" s="277">
        <v>0</v>
      </c>
      <c r="AA169" s="277">
        <v>0</v>
      </c>
      <c r="AB169" s="277">
        <v>0</v>
      </c>
      <c r="AC169" s="277">
        <v>0</v>
      </c>
      <c r="AD169" s="277">
        <v>0</v>
      </c>
      <c r="AE169" s="277">
        <v>0</v>
      </c>
      <c r="AF169" s="277">
        <v>0</v>
      </c>
      <c r="AG169" s="277">
        <v>0</v>
      </c>
      <c r="AH169" s="277">
        <v>0</v>
      </c>
      <c r="AI169" s="277">
        <v>0</v>
      </c>
      <c r="AJ169" s="277">
        <v>0</v>
      </c>
      <c r="AK169" s="277">
        <v>0</v>
      </c>
      <c r="AL169" s="277">
        <v>0</v>
      </c>
      <c r="AM169" s="277">
        <v>547767</v>
      </c>
      <c r="AN169" s="277">
        <v>536811.66</v>
      </c>
      <c r="AO169" s="277">
        <v>0</v>
      </c>
      <c r="AP169" s="277">
        <v>10955.34</v>
      </c>
      <c r="AQ169" s="277">
        <v>1095534</v>
      </c>
      <c r="AR169" s="277">
        <v>43540442</v>
      </c>
      <c r="AS169" s="277">
        <v>42958619</v>
      </c>
      <c r="AT169" s="277">
        <v>0</v>
      </c>
      <c r="AU169" s="277">
        <v>870809</v>
      </c>
      <c r="AV169" s="277">
        <v>87369870</v>
      </c>
      <c r="AW169" s="277">
        <v>450338</v>
      </c>
      <c r="AX169" s="277">
        <v>0</v>
      </c>
      <c r="AY169" s="277">
        <v>9128</v>
      </c>
      <c r="AZ169" s="277">
        <v>459466</v>
      </c>
      <c r="BA169" s="277">
        <v>897882</v>
      </c>
      <c r="BB169" s="277">
        <v>0</v>
      </c>
      <c r="BC169" s="277">
        <v>18324</v>
      </c>
      <c r="BD169" s="277">
        <v>916206</v>
      </c>
      <c r="BE169" s="277">
        <v>0</v>
      </c>
      <c r="BF169" s="277">
        <v>0</v>
      </c>
      <c r="BG169" s="277">
        <v>0</v>
      </c>
      <c r="BH169" s="277">
        <v>0</v>
      </c>
      <c r="BI169" s="277">
        <v>0</v>
      </c>
      <c r="BJ169" s="277">
        <v>0</v>
      </c>
      <c r="BK169" s="277">
        <v>0</v>
      </c>
      <c r="BL169" s="277">
        <v>0</v>
      </c>
      <c r="BM169" s="277">
        <v>315544</v>
      </c>
      <c r="BN169" s="277">
        <v>0</v>
      </c>
      <c r="BO169" s="277">
        <v>6440</v>
      </c>
      <c r="BP169" s="277">
        <v>321984</v>
      </c>
      <c r="BQ169" s="277">
        <v>511246</v>
      </c>
      <c r="BR169" s="277">
        <v>0</v>
      </c>
      <c r="BS169" s="277">
        <v>10434</v>
      </c>
      <c r="BT169" s="277">
        <v>521680</v>
      </c>
      <c r="BU169" s="277">
        <v>2175010</v>
      </c>
      <c r="BV169" s="277">
        <v>0</v>
      </c>
      <c r="BW169" s="277">
        <v>44326</v>
      </c>
      <c r="BX169" s="277">
        <v>2219336</v>
      </c>
      <c r="BY169" s="278" t="s">
        <v>899</v>
      </c>
      <c r="BZ169" s="279" t="s">
        <v>1003</v>
      </c>
      <c r="CA169" s="280" t="s">
        <v>991</v>
      </c>
    </row>
    <row r="170" spans="1:79" ht="12.75">
      <c r="A170" s="169">
        <v>163</v>
      </c>
      <c r="B170" s="172" t="s">
        <v>234</v>
      </c>
      <c r="C170" s="258" t="s">
        <v>235</v>
      </c>
      <c r="D170" s="277">
        <v>12410587</v>
      </c>
      <c r="E170" s="277">
        <v>40264</v>
      </c>
      <c r="F170" s="277">
        <v>0</v>
      </c>
      <c r="G170" s="277">
        <v>61448</v>
      </c>
      <c r="H170" s="277">
        <v>0</v>
      </c>
      <c r="I170" s="277">
        <v>61448</v>
      </c>
      <c r="J170" s="277">
        <v>0</v>
      </c>
      <c r="K170" s="277">
        <v>0</v>
      </c>
      <c r="L170" s="277">
        <v>0</v>
      </c>
      <c r="M170" s="277">
        <v>0</v>
      </c>
      <c r="N170" s="277">
        <v>0</v>
      </c>
      <c r="O170" s="277">
        <v>0</v>
      </c>
      <c r="P170" s="277">
        <v>12389403</v>
      </c>
      <c r="Q170" s="277">
        <v>6194702</v>
      </c>
      <c r="R170" s="277">
        <v>4955761</v>
      </c>
      <c r="S170" s="277">
        <v>1115046</v>
      </c>
      <c r="T170" s="277">
        <v>123894</v>
      </c>
      <c r="U170" s="277">
        <v>12389403</v>
      </c>
      <c r="V170" s="277">
        <v>0</v>
      </c>
      <c r="W170" s="277">
        <v>6194702</v>
      </c>
      <c r="X170" s="277">
        <v>61448</v>
      </c>
      <c r="Y170" s="277">
        <v>61448</v>
      </c>
      <c r="Z170" s="277">
        <v>0</v>
      </c>
      <c r="AA170" s="277">
        <v>0</v>
      </c>
      <c r="AB170" s="277">
        <v>0</v>
      </c>
      <c r="AC170" s="277">
        <v>0</v>
      </c>
      <c r="AD170" s="277">
        <v>0</v>
      </c>
      <c r="AE170" s="277">
        <v>0</v>
      </c>
      <c r="AF170" s="277">
        <v>0</v>
      </c>
      <c r="AG170" s="277">
        <v>0</v>
      </c>
      <c r="AH170" s="277">
        <v>0</v>
      </c>
      <c r="AI170" s="277">
        <v>0</v>
      </c>
      <c r="AJ170" s="277">
        <v>0</v>
      </c>
      <c r="AK170" s="277">
        <v>0</v>
      </c>
      <c r="AL170" s="277">
        <v>0</v>
      </c>
      <c r="AM170" s="277">
        <v>-141985</v>
      </c>
      <c r="AN170" s="277">
        <v>-113588</v>
      </c>
      <c r="AO170" s="277">
        <v>-25557.3</v>
      </c>
      <c r="AP170" s="277">
        <v>-2839.7</v>
      </c>
      <c r="AQ170" s="277">
        <v>-283970</v>
      </c>
      <c r="AR170" s="277">
        <v>6052717</v>
      </c>
      <c r="AS170" s="277">
        <v>4903621</v>
      </c>
      <c r="AT170" s="277">
        <v>1089489</v>
      </c>
      <c r="AU170" s="277">
        <v>121054</v>
      </c>
      <c r="AV170" s="277">
        <v>12166881</v>
      </c>
      <c r="AW170" s="277">
        <v>53261</v>
      </c>
      <c r="AX170" s="277">
        <v>11837</v>
      </c>
      <c r="AY170" s="277">
        <v>1315</v>
      </c>
      <c r="AZ170" s="277">
        <v>66413</v>
      </c>
      <c r="BA170" s="277">
        <v>241278</v>
      </c>
      <c r="BB170" s="277">
        <v>54287</v>
      </c>
      <c r="BC170" s="277">
        <v>6032</v>
      </c>
      <c r="BD170" s="277">
        <v>301597</v>
      </c>
      <c r="BE170" s="277">
        <v>3670</v>
      </c>
      <c r="BF170" s="277">
        <v>826</v>
      </c>
      <c r="BG170" s="277">
        <v>92</v>
      </c>
      <c r="BH170" s="277">
        <v>4588</v>
      </c>
      <c r="BI170" s="277">
        <v>404</v>
      </c>
      <c r="BJ170" s="277">
        <v>91</v>
      </c>
      <c r="BK170" s="277">
        <v>10</v>
      </c>
      <c r="BL170" s="277">
        <v>505</v>
      </c>
      <c r="BM170" s="277">
        <v>2384</v>
      </c>
      <c r="BN170" s="277">
        <v>537</v>
      </c>
      <c r="BO170" s="277">
        <v>60</v>
      </c>
      <c r="BP170" s="277">
        <v>2981</v>
      </c>
      <c r="BQ170" s="277">
        <v>121273</v>
      </c>
      <c r="BR170" s="277">
        <v>27287</v>
      </c>
      <c r="BS170" s="277">
        <v>3032</v>
      </c>
      <c r="BT170" s="277">
        <v>151592</v>
      </c>
      <c r="BU170" s="277">
        <v>422270</v>
      </c>
      <c r="BV170" s="277">
        <v>94865</v>
      </c>
      <c r="BW170" s="277">
        <v>10541</v>
      </c>
      <c r="BX170" s="277">
        <v>527676</v>
      </c>
      <c r="BY170" s="278" t="s">
        <v>234</v>
      </c>
      <c r="BZ170" s="279" t="s">
        <v>1007</v>
      </c>
      <c r="CA170" s="280" t="s">
        <v>1008</v>
      </c>
    </row>
    <row r="171" spans="1:79" ht="12.75">
      <c r="A171" s="169">
        <v>164</v>
      </c>
      <c r="B171" s="172" t="s">
        <v>236</v>
      </c>
      <c r="C171" s="258" t="s">
        <v>237</v>
      </c>
      <c r="D171" s="277">
        <v>33084204.8</v>
      </c>
      <c r="E171" s="277">
        <v>97322.24</v>
      </c>
      <c r="F171" s="277">
        <v>0</v>
      </c>
      <c r="G171" s="277">
        <v>164793</v>
      </c>
      <c r="H171" s="277">
        <v>0</v>
      </c>
      <c r="I171" s="277">
        <v>164793</v>
      </c>
      <c r="J171" s="277">
        <v>0</v>
      </c>
      <c r="K171" s="277">
        <v>0</v>
      </c>
      <c r="L171" s="277">
        <v>0</v>
      </c>
      <c r="M171" s="277">
        <v>0</v>
      </c>
      <c r="N171" s="277">
        <v>0</v>
      </c>
      <c r="O171" s="277">
        <v>0</v>
      </c>
      <c r="P171" s="277">
        <v>33016734.1</v>
      </c>
      <c r="Q171" s="277">
        <v>16508367.1</v>
      </c>
      <c r="R171" s="277">
        <v>13206694</v>
      </c>
      <c r="S171" s="277">
        <v>2971506</v>
      </c>
      <c r="T171" s="277">
        <v>330167</v>
      </c>
      <c r="U171" s="277">
        <v>33016734</v>
      </c>
      <c r="V171" s="277">
        <v>0</v>
      </c>
      <c r="W171" s="277">
        <v>16508367.1</v>
      </c>
      <c r="X171" s="277">
        <v>164793</v>
      </c>
      <c r="Y171" s="277">
        <v>164793</v>
      </c>
      <c r="Z171" s="277">
        <v>0</v>
      </c>
      <c r="AA171" s="277">
        <v>0</v>
      </c>
      <c r="AB171" s="277">
        <v>0</v>
      </c>
      <c r="AC171" s="277">
        <v>0</v>
      </c>
      <c r="AD171" s="277">
        <v>0</v>
      </c>
      <c r="AE171" s="277">
        <v>0</v>
      </c>
      <c r="AF171" s="277">
        <v>0</v>
      </c>
      <c r="AG171" s="277">
        <v>0</v>
      </c>
      <c r="AH171" s="277">
        <v>0</v>
      </c>
      <c r="AI171" s="277">
        <v>0</v>
      </c>
      <c r="AJ171" s="277">
        <v>0</v>
      </c>
      <c r="AK171" s="277">
        <v>0</v>
      </c>
      <c r="AL171" s="277">
        <v>0</v>
      </c>
      <c r="AM171" s="277">
        <v>289796.43</v>
      </c>
      <c r="AN171" s="277">
        <v>231837.14</v>
      </c>
      <c r="AO171" s="277">
        <v>52163.36</v>
      </c>
      <c r="AP171" s="277">
        <v>5795.93</v>
      </c>
      <c r="AQ171" s="277">
        <v>579592.85</v>
      </c>
      <c r="AR171" s="277">
        <v>16798163</v>
      </c>
      <c r="AS171" s="277">
        <v>13603324</v>
      </c>
      <c r="AT171" s="277">
        <v>3023669</v>
      </c>
      <c r="AU171" s="277">
        <v>335963</v>
      </c>
      <c r="AV171" s="277">
        <v>33761120</v>
      </c>
      <c r="AW171" s="277">
        <v>141948</v>
      </c>
      <c r="AX171" s="277">
        <v>31545</v>
      </c>
      <c r="AY171" s="277">
        <v>3505</v>
      </c>
      <c r="AZ171" s="277">
        <v>176998</v>
      </c>
      <c r="BA171" s="277">
        <v>580674</v>
      </c>
      <c r="BB171" s="277">
        <v>130652</v>
      </c>
      <c r="BC171" s="277">
        <v>14517</v>
      </c>
      <c r="BD171" s="277">
        <v>725843</v>
      </c>
      <c r="BE171" s="277">
        <v>0</v>
      </c>
      <c r="BF171" s="277">
        <v>0</v>
      </c>
      <c r="BG171" s="277">
        <v>0</v>
      </c>
      <c r="BH171" s="277">
        <v>0</v>
      </c>
      <c r="BI171" s="277">
        <v>0</v>
      </c>
      <c r="BJ171" s="277">
        <v>0</v>
      </c>
      <c r="BK171" s="277">
        <v>0</v>
      </c>
      <c r="BL171" s="277">
        <v>0</v>
      </c>
      <c r="BM171" s="277">
        <v>0</v>
      </c>
      <c r="BN171" s="277">
        <v>0</v>
      </c>
      <c r="BO171" s="277">
        <v>0</v>
      </c>
      <c r="BP171" s="277">
        <v>0</v>
      </c>
      <c r="BQ171" s="277">
        <v>221149</v>
      </c>
      <c r="BR171" s="277">
        <v>49759</v>
      </c>
      <c r="BS171" s="277">
        <v>5529</v>
      </c>
      <c r="BT171" s="277">
        <v>276437</v>
      </c>
      <c r="BU171" s="277">
        <v>943771</v>
      </c>
      <c r="BV171" s="277">
        <v>211956</v>
      </c>
      <c r="BW171" s="277">
        <v>23551</v>
      </c>
      <c r="BX171" s="277">
        <v>1179278</v>
      </c>
      <c r="BY171" s="278" t="s">
        <v>236</v>
      </c>
      <c r="BZ171" s="279" t="s">
        <v>1048</v>
      </c>
      <c r="CA171" s="280" t="s">
        <v>1037</v>
      </c>
    </row>
    <row r="172" spans="1:79" ht="12.75">
      <c r="A172" s="169">
        <v>165</v>
      </c>
      <c r="B172" s="172" t="s">
        <v>238</v>
      </c>
      <c r="C172" s="258" t="s">
        <v>239</v>
      </c>
      <c r="D172" s="277">
        <v>84507035</v>
      </c>
      <c r="E172" s="277">
        <v>35684</v>
      </c>
      <c r="F172" s="277">
        <v>0</v>
      </c>
      <c r="G172" s="277">
        <v>280951</v>
      </c>
      <c r="H172" s="277">
        <v>0</v>
      </c>
      <c r="I172" s="277">
        <v>280951</v>
      </c>
      <c r="J172" s="277">
        <v>0</v>
      </c>
      <c r="K172" s="277">
        <v>0</v>
      </c>
      <c r="L172" s="277">
        <v>0</v>
      </c>
      <c r="M172" s="277">
        <v>0</v>
      </c>
      <c r="N172" s="277">
        <v>0</v>
      </c>
      <c r="O172" s="277">
        <v>0</v>
      </c>
      <c r="P172" s="277">
        <v>84261768</v>
      </c>
      <c r="Q172" s="277">
        <v>42130884</v>
      </c>
      <c r="R172" s="277">
        <v>25278530</v>
      </c>
      <c r="S172" s="277">
        <v>16852354</v>
      </c>
      <c r="T172" s="277">
        <v>0</v>
      </c>
      <c r="U172" s="277">
        <v>84261768</v>
      </c>
      <c r="V172" s="277">
        <v>0</v>
      </c>
      <c r="W172" s="277">
        <v>42130884</v>
      </c>
      <c r="X172" s="277">
        <v>280951</v>
      </c>
      <c r="Y172" s="277">
        <v>280951</v>
      </c>
      <c r="Z172" s="277">
        <v>0</v>
      </c>
      <c r="AA172" s="277">
        <v>0</v>
      </c>
      <c r="AB172" s="277">
        <v>0</v>
      </c>
      <c r="AC172" s="277">
        <v>0</v>
      </c>
      <c r="AD172" s="277">
        <v>0</v>
      </c>
      <c r="AE172" s="277">
        <v>0</v>
      </c>
      <c r="AF172" s="277">
        <v>0</v>
      </c>
      <c r="AG172" s="277">
        <v>0</v>
      </c>
      <c r="AH172" s="277">
        <v>0</v>
      </c>
      <c r="AI172" s="277">
        <v>0</v>
      </c>
      <c r="AJ172" s="277">
        <v>0</v>
      </c>
      <c r="AK172" s="277">
        <v>0</v>
      </c>
      <c r="AL172" s="277">
        <v>0</v>
      </c>
      <c r="AM172" s="277">
        <v>-619900.5</v>
      </c>
      <c r="AN172" s="277">
        <v>-371940.3</v>
      </c>
      <c r="AO172" s="277">
        <v>-247960.2</v>
      </c>
      <c r="AP172" s="277">
        <v>0</v>
      </c>
      <c r="AQ172" s="277">
        <v>-1239801</v>
      </c>
      <c r="AR172" s="277">
        <v>41510983</v>
      </c>
      <c r="AS172" s="277">
        <v>25187541</v>
      </c>
      <c r="AT172" s="277">
        <v>16604394</v>
      </c>
      <c r="AU172" s="277">
        <v>0</v>
      </c>
      <c r="AV172" s="277">
        <v>83302918</v>
      </c>
      <c r="AW172" s="277">
        <v>271332</v>
      </c>
      <c r="AX172" s="277">
        <v>178900</v>
      </c>
      <c r="AY172" s="277">
        <v>0</v>
      </c>
      <c r="AZ172" s="277">
        <v>450232</v>
      </c>
      <c r="BA172" s="277">
        <v>400119</v>
      </c>
      <c r="BB172" s="277">
        <v>266746</v>
      </c>
      <c r="BC172" s="277">
        <v>0</v>
      </c>
      <c r="BD172" s="277">
        <v>666865</v>
      </c>
      <c r="BE172" s="277">
        <v>16331</v>
      </c>
      <c r="BF172" s="277">
        <v>10888</v>
      </c>
      <c r="BG172" s="277">
        <v>0</v>
      </c>
      <c r="BH172" s="277">
        <v>27219</v>
      </c>
      <c r="BI172" s="277">
        <v>0</v>
      </c>
      <c r="BJ172" s="277">
        <v>0</v>
      </c>
      <c r="BK172" s="277">
        <v>0</v>
      </c>
      <c r="BL172" s="277">
        <v>0</v>
      </c>
      <c r="BM172" s="277">
        <v>31363</v>
      </c>
      <c r="BN172" s="277">
        <v>20909</v>
      </c>
      <c r="BO172" s="277">
        <v>0</v>
      </c>
      <c r="BP172" s="277">
        <v>52272</v>
      </c>
      <c r="BQ172" s="277">
        <v>398385</v>
      </c>
      <c r="BR172" s="277">
        <v>265590</v>
      </c>
      <c r="BS172" s="277">
        <v>0</v>
      </c>
      <c r="BT172" s="277">
        <v>663975</v>
      </c>
      <c r="BU172" s="277">
        <v>1117530</v>
      </c>
      <c r="BV172" s="277">
        <v>743033</v>
      </c>
      <c r="BW172" s="277">
        <v>0</v>
      </c>
      <c r="BX172" s="277">
        <v>1860563</v>
      </c>
      <c r="BY172" s="278" t="s">
        <v>238</v>
      </c>
      <c r="BZ172" s="279" t="s">
        <v>995</v>
      </c>
      <c r="CA172" s="279" t="s">
        <v>983</v>
      </c>
    </row>
    <row r="173" spans="1:79" ht="12.75">
      <c r="A173" s="169">
        <v>166</v>
      </c>
      <c r="B173" s="172" t="s">
        <v>240</v>
      </c>
      <c r="C173" s="258" t="s">
        <v>241</v>
      </c>
      <c r="D173" s="277">
        <v>14548106.1</v>
      </c>
      <c r="E173" s="277">
        <v>84370</v>
      </c>
      <c r="F173" s="277">
        <v>0</v>
      </c>
      <c r="G173" s="277">
        <v>106197</v>
      </c>
      <c r="H173" s="277">
        <v>0</v>
      </c>
      <c r="I173" s="277">
        <v>106197</v>
      </c>
      <c r="J173" s="277">
        <v>0</v>
      </c>
      <c r="K173" s="277">
        <v>0</v>
      </c>
      <c r="L173" s="277">
        <v>0</v>
      </c>
      <c r="M173" s="277">
        <v>42000</v>
      </c>
      <c r="N173" s="277">
        <v>42000</v>
      </c>
      <c r="O173" s="277">
        <v>0</v>
      </c>
      <c r="P173" s="277">
        <v>14484279</v>
      </c>
      <c r="Q173" s="277">
        <v>7242139</v>
      </c>
      <c r="R173" s="277">
        <v>5793712</v>
      </c>
      <c r="S173" s="277">
        <v>1303585</v>
      </c>
      <c r="T173" s="277">
        <v>144843</v>
      </c>
      <c r="U173" s="277">
        <v>14484279</v>
      </c>
      <c r="V173" s="277">
        <v>0</v>
      </c>
      <c r="W173" s="277">
        <v>7242139</v>
      </c>
      <c r="X173" s="277">
        <v>106197</v>
      </c>
      <c r="Y173" s="277">
        <v>106197</v>
      </c>
      <c r="Z173" s="277">
        <v>0</v>
      </c>
      <c r="AA173" s="277">
        <v>0</v>
      </c>
      <c r="AB173" s="277">
        <v>0</v>
      </c>
      <c r="AC173" s="277">
        <v>0</v>
      </c>
      <c r="AD173" s="277">
        <v>42000</v>
      </c>
      <c r="AE173" s="277">
        <v>0</v>
      </c>
      <c r="AF173" s="277">
        <v>42000</v>
      </c>
      <c r="AG173" s="277">
        <v>0</v>
      </c>
      <c r="AH173" s="277">
        <v>0</v>
      </c>
      <c r="AI173" s="277">
        <v>0</v>
      </c>
      <c r="AJ173" s="277">
        <v>0</v>
      </c>
      <c r="AK173" s="277">
        <v>0</v>
      </c>
      <c r="AL173" s="277">
        <v>0</v>
      </c>
      <c r="AM173" s="277">
        <v>-143974</v>
      </c>
      <c r="AN173" s="277">
        <v>-115180</v>
      </c>
      <c r="AO173" s="277">
        <v>-25916</v>
      </c>
      <c r="AP173" s="277">
        <v>-2880</v>
      </c>
      <c r="AQ173" s="277">
        <v>-287950</v>
      </c>
      <c r="AR173" s="277">
        <v>7098165</v>
      </c>
      <c r="AS173" s="277">
        <v>5826729</v>
      </c>
      <c r="AT173" s="277">
        <v>1277669</v>
      </c>
      <c r="AU173" s="277">
        <v>141963</v>
      </c>
      <c r="AV173" s="277">
        <v>14344526</v>
      </c>
      <c r="AW173" s="277">
        <v>63078</v>
      </c>
      <c r="AX173" s="277">
        <v>13838</v>
      </c>
      <c r="AY173" s="277">
        <v>1538</v>
      </c>
      <c r="AZ173" s="277">
        <v>78454</v>
      </c>
      <c r="BA173" s="277">
        <v>393430</v>
      </c>
      <c r="BB173" s="277">
        <v>88522</v>
      </c>
      <c r="BC173" s="277">
        <v>9836</v>
      </c>
      <c r="BD173" s="277">
        <v>491788</v>
      </c>
      <c r="BE173" s="277">
        <v>1617</v>
      </c>
      <c r="BF173" s="277">
        <v>364</v>
      </c>
      <c r="BG173" s="277">
        <v>40</v>
      </c>
      <c r="BH173" s="277">
        <v>2021</v>
      </c>
      <c r="BI173" s="277">
        <v>4042</v>
      </c>
      <c r="BJ173" s="277">
        <v>910</v>
      </c>
      <c r="BK173" s="277">
        <v>101</v>
      </c>
      <c r="BL173" s="277">
        <v>5053</v>
      </c>
      <c r="BM173" s="277">
        <v>6064</v>
      </c>
      <c r="BN173" s="277">
        <v>1364</v>
      </c>
      <c r="BO173" s="277">
        <v>152</v>
      </c>
      <c r="BP173" s="277">
        <v>7580</v>
      </c>
      <c r="BQ173" s="277">
        <v>121273</v>
      </c>
      <c r="BR173" s="277">
        <v>27287</v>
      </c>
      <c r="BS173" s="277">
        <v>3032</v>
      </c>
      <c r="BT173" s="277">
        <v>151592</v>
      </c>
      <c r="BU173" s="277">
        <v>589504</v>
      </c>
      <c r="BV173" s="277">
        <v>132285</v>
      </c>
      <c r="BW173" s="277">
        <v>14699</v>
      </c>
      <c r="BX173" s="277">
        <v>736488</v>
      </c>
      <c r="BY173" s="278" t="s">
        <v>240</v>
      </c>
      <c r="BZ173" s="279" t="s">
        <v>1036</v>
      </c>
      <c r="CA173" s="280" t="s">
        <v>1037</v>
      </c>
    </row>
    <row r="174" spans="1:79" ht="12.75">
      <c r="A174" s="169">
        <v>167</v>
      </c>
      <c r="B174" s="172" t="s">
        <v>242</v>
      </c>
      <c r="C174" s="258" t="s">
        <v>243</v>
      </c>
      <c r="D174" s="277">
        <v>21522410.4</v>
      </c>
      <c r="E174" s="277">
        <v>33821.33</v>
      </c>
      <c r="F174" s="277">
        <v>0</v>
      </c>
      <c r="G174" s="277">
        <v>128904</v>
      </c>
      <c r="H174" s="277">
        <v>0</v>
      </c>
      <c r="I174" s="277">
        <v>128904</v>
      </c>
      <c r="J174" s="277">
        <v>0</v>
      </c>
      <c r="K174" s="277">
        <v>0</v>
      </c>
      <c r="L174" s="277">
        <v>0</v>
      </c>
      <c r="M174" s="277">
        <v>51092</v>
      </c>
      <c r="N174" s="277">
        <v>51092</v>
      </c>
      <c r="O174" s="277">
        <v>0</v>
      </c>
      <c r="P174" s="277">
        <v>21376235.7</v>
      </c>
      <c r="Q174" s="277">
        <v>10688117.7</v>
      </c>
      <c r="R174" s="277">
        <v>8550494</v>
      </c>
      <c r="S174" s="277">
        <v>2137624</v>
      </c>
      <c r="T174" s="277">
        <v>0</v>
      </c>
      <c r="U174" s="277">
        <v>21376236</v>
      </c>
      <c r="V174" s="277">
        <v>0</v>
      </c>
      <c r="W174" s="277">
        <v>10688117.7</v>
      </c>
      <c r="X174" s="277">
        <v>128904</v>
      </c>
      <c r="Y174" s="277">
        <v>128904</v>
      </c>
      <c r="Z174" s="277">
        <v>0</v>
      </c>
      <c r="AA174" s="277">
        <v>0</v>
      </c>
      <c r="AB174" s="277">
        <v>0</v>
      </c>
      <c r="AC174" s="277">
        <v>0</v>
      </c>
      <c r="AD174" s="277">
        <v>51092</v>
      </c>
      <c r="AE174" s="277">
        <v>0</v>
      </c>
      <c r="AF174" s="277">
        <v>51092</v>
      </c>
      <c r="AG174" s="277">
        <v>0</v>
      </c>
      <c r="AH174" s="277">
        <v>0</v>
      </c>
      <c r="AI174" s="277">
        <v>0</v>
      </c>
      <c r="AJ174" s="277">
        <v>0</v>
      </c>
      <c r="AK174" s="277">
        <v>0</v>
      </c>
      <c r="AL174" s="277">
        <v>0</v>
      </c>
      <c r="AM174" s="277">
        <v>-176850</v>
      </c>
      <c r="AN174" s="277">
        <v>-141480</v>
      </c>
      <c r="AO174" s="277">
        <v>-35370</v>
      </c>
      <c r="AP174" s="277">
        <v>0</v>
      </c>
      <c r="AQ174" s="277">
        <v>-353700</v>
      </c>
      <c r="AR174" s="277">
        <v>10511268</v>
      </c>
      <c r="AS174" s="277">
        <v>8589010</v>
      </c>
      <c r="AT174" s="277">
        <v>2102254</v>
      </c>
      <c r="AU174" s="277">
        <v>0</v>
      </c>
      <c r="AV174" s="277">
        <v>21202532</v>
      </c>
      <c r="AW174" s="277">
        <v>92680</v>
      </c>
      <c r="AX174" s="277">
        <v>22692</v>
      </c>
      <c r="AY174" s="277">
        <v>0</v>
      </c>
      <c r="AZ174" s="277">
        <v>115372</v>
      </c>
      <c r="BA174" s="277">
        <v>360202</v>
      </c>
      <c r="BB174" s="277">
        <v>90051</v>
      </c>
      <c r="BC174" s="277">
        <v>0</v>
      </c>
      <c r="BD174" s="277">
        <v>450253</v>
      </c>
      <c r="BE174" s="277">
        <v>7277</v>
      </c>
      <c r="BF174" s="277">
        <v>1819</v>
      </c>
      <c r="BG174" s="277">
        <v>0</v>
      </c>
      <c r="BH174" s="277">
        <v>9096</v>
      </c>
      <c r="BI174" s="277">
        <v>0</v>
      </c>
      <c r="BJ174" s="277">
        <v>0</v>
      </c>
      <c r="BK174" s="277">
        <v>0</v>
      </c>
      <c r="BL174" s="277">
        <v>0</v>
      </c>
      <c r="BM174" s="277">
        <v>4931</v>
      </c>
      <c r="BN174" s="277">
        <v>1233</v>
      </c>
      <c r="BO174" s="277">
        <v>0</v>
      </c>
      <c r="BP174" s="277">
        <v>6164</v>
      </c>
      <c r="BQ174" s="277">
        <v>40425</v>
      </c>
      <c r="BR174" s="277">
        <v>10106</v>
      </c>
      <c r="BS174" s="277">
        <v>0</v>
      </c>
      <c r="BT174" s="277">
        <v>50531</v>
      </c>
      <c r="BU174" s="277">
        <v>505515</v>
      </c>
      <c r="BV174" s="277">
        <v>125901</v>
      </c>
      <c r="BW174" s="277">
        <v>0</v>
      </c>
      <c r="BX174" s="277">
        <v>631416</v>
      </c>
      <c r="BY174" s="278" t="s">
        <v>242</v>
      </c>
      <c r="BZ174" s="279" t="s">
        <v>994</v>
      </c>
      <c r="CA174" s="280" t="s">
        <v>984</v>
      </c>
    </row>
    <row r="175" spans="1:79" ht="12.75">
      <c r="A175" s="169">
        <v>168</v>
      </c>
      <c r="B175" s="172" t="s">
        <v>244</v>
      </c>
      <c r="C175" s="258" t="s">
        <v>245</v>
      </c>
      <c r="D175" s="277">
        <v>41847876.2</v>
      </c>
      <c r="E175" s="277">
        <v>47971.41</v>
      </c>
      <c r="F175" s="277">
        <v>0</v>
      </c>
      <c r="G175" s="277">
        <v>171742</v>
      </c>
      <c r="H175" s="277">
        <v>0</v>
      </c>
      <c r="I175" s="277">
        <v>171742</v>
      </c>
      <c r="J175" s="277">
        <v>0</v>
      </c>
      <c r="K175" s="277">
        <v>0</v>
      </c>
      <c r="L175" s="277">
        <v>0</v>
      </c>
      <c r="M175" s="277">
        <v>0</v>
      </c>
      <c r="N175" s="277">
        <v>0</v>
      </c>
      <c r="O175" s="277">
        <v>0</v>
      </c>
      <c r="P175" s="277">
        <v>41724105.7</v>
      </c>
      <c r="Q175" s="277">
        <v>20862052.7</v>
      </c>
      <c r="R175" s="277">
        <v>16689642</v>
      </c>
      <c r="S175" s="277">
        <v>4172411</v>
      </c>
      <c r="T175" s="277">
        <v>0</v>
      </c>
      <c r="U175" s="277">
        <v>41724106</v>
      </c>
      <c r="V175" s="277">
        <v>0</v>
      </c>
      <c r="W175" s="277">
        <v>20862052.7</v>
      </c>
      <c r="X175" s="277">
        <v>171742</v>
      </c>
      <c r="Y175" s="277">
        <v>171742</v>
      </c>
      <c r="Z175" s="277">
        <v>0</v>
      </c>
      <c r="AA175" s="277">
        <v>0</v>
      </c>
      <c r="AB175" s="277">
        <v>0</v>
      </c>
      <c r="AC175" s="277">
        <v>0</v>
      </c>
      <c r="AD175" s="277">
        <v>0</v>
      </c>
      <c r="AE175" s="277">
        <v>0</v>
      </c>
      <c r="AF175" s="277">
        <v>0</v>
      </c>
      <c r="AG175" s="277">
        <v>0</v>
      </c>
      <c r="AH175" s="277">
        <v>0</v>
      </c>
      <c r="AI175" s="277">
        <v>0</v>
      </c>
      <c r="AJ175" s="277">
        <v>0</v>
      </c>
      <c r="AK175" s="277">
        <v>0</v>
      </c>
      <c r="AL175" s="277">
        <v>0</v>
      </c>
      <c r="AM175" s="277">
        <v>69221.87</v>
      </c>
      <c r="AN175" s="277">
        <v>55377.5</v>
      </c>
      <c r="AO175" s="277">
        <v>13844.37</v>
      </c>
      <c r="AP175" s="277">
        <v>0</v>
      </c>
      <c r="AQ175" s="277">
        <v>138443.74</v>
      </c>
      <c r="AR175" s="277">
        <v>20931275</v>
      </c>
      <c r="AS175" s="277">
        <v>16916761</v>
      </c>
      <c r="AT175" s="277">
        <v>4186255</v>
      </c>
      <c r="AU175" s="277">
        <v>0</v>
      </c>
      <c r="AV175" s="277">
        <v>42034292</v>
      </c>
      <c r="AW175" s="277">
        <v>178996</v>
      </c>
      <c r="AX175" s="277">
        <v>44293</v>
      </c>
      <c r="AY175" s="277">
        <v>0</v>
      </c>
      <c r="AZ175" s="277">
        <v>223289</v>
      </c>
      <c r="BA175" s="277">
        <v>429034</v>
      </c>
      <c r="BB175" s="277">
        <v>107259</v>
      </c>
      <c r="BC175" s="277">
        <v>0</v>
      </c>
      <c r="BD175" s="277">
        <v>536293</v>
      </c>
      <c r="BE175" s="277">
        <v>8562</v>
      </c>
      <c r="BF175" s="277">
        <v>2140</v>
      </c>
      <c r="BG175" s="277">
        <v>0</v>
      </c>
      <c r="BH175" s="277">
        <v>10702</v>
      </c>
      <c r="BI175" s="277">
        <v>4807</v>
      </c>
      <c r="BJ175" s="277">
        <v>1202</v>
      </c>
      <c r="BK175" s="277">
        <v>0</v>
      </c>
      <c r="BL175" s="277">
        <v>6009</v>
      </c>
      <c r="BM175" s="277">
        <v>4923</v>
      </c>
      <c r="BN175" s="277">
        <v>1231</v>
      </c>
      <c r="BO175" s="277">
        <v>0</v>
      </c>
      <c r="BP175" s="277">
        <v>6154</v>
      </c>
      <c r="BQ175" s="277">
        <v>330058</v>
      </c>
      <c r="BR175" s="277">
        <v>82515</v>
      </c>
      <c r="BS175" s="277">
        <v>0</v>
      </c>
      <c r="BT175" s="277">
        <v>412573</v>
      </c>
      <c r="BU175" s="277">
        <v>956380</v>
      </c>
      <c r="BV175" s="277">
        <v>238640</v>
      </c>
      <c r="BW175" s="277">
        <v>0</v>
      </c>
      <c r="BX175" s="277">
        <v>1195020</v>
      </c>
      <c r="BY175" s="278" t="s">
        <v>244</v>
      </c>
      <c r="BZ175" s="279" t="s">
        <v>982</v>
      </c>
      <c r="CA175" s="280" t="s">
        <v>984</v>
      </c>
    </row>
    <row r="176" spans="1:79" ht="12.75">
      <c r="A176" s="169">
        <v>169</v>
      </c>
      <c r="B176" s="172" t="s">
        <v>246</v>
      </c>
      <c r="C176" s="258" t="s">
        <v>247</v>
      </c>
      <c r="D176" s="277">
        <v>38944545.2</v>
      </c>
      <c r="E176" s="277">
        <v>3092.71</v>
      </c>
      <c r="F176" s="277">
        <v>0</v>
      </c>
      <c r="G176" s="277">
        <v>177799</v>
      </c>
      <c r="H176" s="277">
        <v>0</v>
      </c>
      <c r="I176" s="277">
        <v>177799</v>
      </c>
      <c r="J176" s="277">
        <v>0</v>
      </c>
      <c r="K176" s="277">
        <v>0</v>
      </c>
      <c r="L176" s="277">
        <v>0</v>
      </c>
      <c r="M176" s="277">
        <v>0</v>
      </c>
      <c r="N176" s="277">
        <v>0</v>
      </c>
      <c r="O176" s="277">
        <v>0</v>
      </c>
      <c r="P176" s="277">
        <v>38769838.9</v>
      </c>
      <c r="Q176" s="277">
        <v>19384919.9</v>
      </c>
      <c r="R176" s="277">
        <v>18997221</v>
      </c>
      <c r="S176" s="277">
        <v>0</v>
      </c>
      <c r="T176" s="277">
        <v>387698</v>
      </c>
      <c r="U176" s="277">
        <v>38769839</v>
      </c>
      <c r="V176" s="277">
        <v>0</v>
      </c>
      <c r="W176" s="277">
        <v>19384919.9</v>
      </c>
      <c r="X176" s="277">
        <v>177799</v>
      </c>
      <c r="Y176" s="277">
        <v>177799</v>
      </c>
      <c r="Z176" s="277">
        <v>0</v>
      </c>
      <c r="AA176" s="277">
        <v>0</v>
      </c>
      <c r="AB176" s="277">
        <v>0</v>
      </c>
      <c r="AC176" s="277">
        <v>0</v>
      </c>
      <c r="AD176" s="277">
        <v>0</v>
      </c>
      <c r="AE176" s="277">
        <v>0</v>
      </c>
      <c r="AF176" s="277">
        <v>0</v>
      </c>
      <c r="AG176" s="277">
        <v>0</v>
      </c>
      <c r="AH176" s="277">
        <v>0</v>
      </c>
      <c r="AI176" s="277">
        <v>0</v>
      </c>
      <c r="AJ176" s="277">
        <v>0</v>
      </c>
      <c r="AK176" s="277">
        <v>0</v>
      </c>
      <c r="AL176" s="277">
        <v>0</v>
      </c>
      <c r="AM176" s="277">
        <v>-39065.5</v>
      </c>
      <c r="AN176" s="277">
        <v>-38284.19</v>
      </c>
      <c r="AO176" s="277">
        <v>0</v>
      </c>
      <c r="AP176" s="277">
        <v>-781.31</v>
      </c>
      <c r="AQ176" s="277">
        <v>-78131</v>
      </c>
      <c r="AR176" s="277">
        <v>19345854</v>
      </c>
      <c r="AS176" s="277">
        <v>19136736</v>
      </c>
      <c r="AT176" s="277">
        <v>0</v>
      </c>
      <c r="AU176" s="277">
        <v>386917</v>
      </c>
      <c r="AV176" s="277">
        <v>38869507</v>
      </c>
      <c r="AW176" s="277">
        <v>203556</v>
      </c>
      <c r="AX176" s="277">
        <v>0</v>
      </c>
      <c r="AY176" s="277">
        <v>4116</v>
      </c>
      <c r="AZ176" s="277">
        <v>207672</v>
      </c>
      <c r="BA176" s="277">
        <v>594242</v>
      </c>
      <c r="BB176" s="277">
        <v>0</v>
      </c>
      <c r="BC176" s="277">
        <v>12127</v>
      </c>
      <c r="BD176" s="277">
        <v>606369</v>
      </c>
      <c r="BE176" s="277">
        <v>0</v>
      </c>
      <c r="BF176" s="277">
        <v>0</v>
      </c>
      <c r="BG176" s="277">
        <v>0</v>
      </c>
      <c r="BH176" s="277">
        <v>0</v>
      </c>
      <c r="BI176" s="277">
        <v>8</v>
      </c>
      <c r="BJ176" s="277">
        <v>0</v>
      </c>
      <c r="BK176" s="277">
        <v>0</v>
      </c>
      <c r="BL176" s="277">
        <v>8</v>
      </c>
      <c r="BM176" s="277">
        <v>45927</v>
      </c>
      <c r="BN176" s="277">
        <v>0</v>
      </c>
      <c r="BO176" s="277">
        <v>937</v>
      </c>
      <c r="BP176" s="277">
        <v>46864</v>
      </c>
      <c r="BQ176" s="277">
        <v>198081</v>
      </c>
      <c r="BR176" s="277">
        <v>0</v>
      </c>
      <c r="BS176" s="277">
        <v>4042</v>
      </c>
      <c r="BT176" s="277">
        <v>202123</v>
      </c>
      <c r="BU176" s="277">
        <v>1041814</v>
      </c>
      <c r="BV176" s="277">
        <v>0</v>
      </c>
      <c r="BW176" s="277">
        <v>21222</v>
      </c>
      <c r="BX176" s="277">
        <v>1063036</v>
      </c>
      <c r="BY176" s="278" t="s">
        <v>900</v>
      </c>
      <c r="BZ176" s="279" t="s">
        <v>1003</v>
      </c>
      <c r="CA176" s="280" t="s">
        <v>1042</v>
      </c>
    </row>
    <row r="177" spans="1:79" ht="12.75">
      <c r="A177" s="169">
        <v>170</v>
      </c>
      <c r="B177" s="172" t="s">
        <v>248</v>
      </c>
      <c r="C177" s="258" t="s">
        <v>249</v>
      </c>
      <c r="D177" s="277">
        <v>142589870</v>
      </c>
      <c r="E177" s="277">
        <v>0</v>
      </c>
      <c r="F177" s="277">
        <v>1041000</v>
      </c>
      <c r="G177" s="277">
        <v>374347</v>
      </c>
      <c r="H177" s="277">
        <v>0</v>
      </c>
      <c r="I177" s="277">
        <v>374347</v>
      </c>
      <c r="J177" s="277">
        <v>0</v>
      </c>
      <c r="K177" s="277">
        <v>0</v>
      </c>
      <c r="L177" s="277">
        <v>0</v>
      </c>
      <c r="M177" s="277">
        <v>0</v>
      </c>
      <c r="N177" s="277">
        <v>0</v>
      </c>
      <c r="O177" s="277">
        <v>0</v>
      </c>
      <c r="P177" s="277">
        <v>141174523</v>
      </c>
      <c r="Q177" s="277">
        <v>70587262</v>
      </c>
      <c r="R177" s="277">
        <v>69175516</v>
      </c>
      <c r="S177" s="277">
        <v>0</v>
      </c>
      <c r="T177" s="277">
        <v>1411745</v>
      </c>
      <c r="U177" s="277">
        <v>141174523</v>
      </c>
      <c r="V177" s="277">
        <v>0</v>
      </c>
      <c r="W177" s="277">
        <v>70587262</v>
      </c>
      <c r="X177" s="277">
        <v>374347</v>
      </c>
      <c r="Y177" s="277">
        <v>374347</v>
      </c>
      <c r="Z177" s="277">
        <v>0</v>
      </c>
      <c r="AA177" s="277">
        <v>0</v>
      </c>
      <c r="AB177" s="277">
        <v>0</v>
      </c>
      <c r="AC177" s="277">
        <v>0</v>
      </c>
      <c r="AD177" s="277">
        <v>0</v>
      </c>
      <c r="AE177" s="277">
        <v>0</v>
      </c>
      <c r="AF177" s="277">
        <v>0</v>
      </c>
      <c r="AG177" s="277">
        <v>0</v>
      </c>
      <c r="AH177" s="277">
        <v>0</v>
      </c>
      <c r="AI177" s="277">
        <v>0</v>
      </c>
      <c r="AJ177" s="277">
        <v>0</v>
      </c>
      <c r="AK177" s="277">
        <v>0</v>
      </c>
      <c r="AL177" s="277">
        <v>0</v>
      </c>
      <c r="AM177" s="277">
        <v>-2401982.5</v>
      </c>
      <c r="AN177" s="277">
        <v>-2353942.9</v>
      </c>
      <c r="AO177" s="277">
        <v>0</v>
      </c>
      <c r="AP177" s="277">
        <v>-48039.65</v>
      </c>
      <c r="AQ177" s="277">
        <v>-4803965</v>
      </c>
      <c r="AR177" s="277">
        <v>68185280</v>
      </c>
      <c r="AS177" s="277">
        <v>67195920</v>
      </c>
      <c r="AT177" s="277">
        <v>0</v>
      </c>
      <c r="AU177" s="277">
        <v>1363705</v>
      </c>
      <c r="AV177" s="277">
        <v>136744905</v>
      </c>
      <c r="AW177" s="277">
        <v>738321</v>
      </c>
      <c r="AX177" s="277">
        <v>0</v>
      </c>
      <c r="AY177" s="277">
        <v>14987</v>
      </c>
      <c r="AZ177" s="277">
        <v>753308</v>
      </c>
      <c r="BA177" s="277">
        <v>757659</v>
      </c>
      <c r="BB177" s="277">
        <v>0</v>
      </c>
      <c r="BC177" s="277">
        <v>15462</v>
      </c>
      <c r="BD177" s="277">
        <v>773121</v>
      </c>
      <c r="BE177" s="277">
        <v>74280</v>
      </c>
      <c r="BF177" s="277">
        <v>0</v>
      </c>
      <c r="BG177" s="277">
        <v>1516</v>
      </c>
      <c r="BH177" s="277">
        <v>75796</v>
      </c>
      <c r="BI177" s="277">
        <v>49520</v>
      </c>
      <c r="BJ177" s="277">
        <v>0</v>
      </c>
      <c r="BK177" s="277">
        <v>1011</v>
      </c>
      <c r="BL177" s="277">
        <v>50531</v>
      </c>
      <c r="BM177" s="277">
        <v>247601</v>
      </c>
      <c r="BN177" s="277">
        <v>0</v>
      </c>
      <c r="BO177" s="277">
        <v>5053</v>
      </c>
      <c r="BP177" s="277">
        <v>252654</v>
      </c>
      <c r="BQ177" s="277">
        <v>834415</v>
      </c>
      <c r="BR177" s="277">
        <v>0</v>
      </c>
      <c r="BS177" s="277">
        <v>17029</v>
      </c>
      <c r="BT177" s="277">
        <v>851444</v>
      </c>
      <c r="BU177" s="277">
        <v>2701796</v>
      </c>
      <c r="BV177" s="277">
        <v>0</v>
      </c>
      <c r="BW177" s="277">
        <v>55058</v>
      </c>
      <c r="BX177" s="277">
        <v>2756854</v>
      </c>
      <c r="BY177" s="278" t="s">
        <v>901</v>
      </c>
      <c r="BZ177" s="279" t="s">
        <v>1003</v>
      </c>
      <c r="CA177" s="280" t="s">
        <v>993</v>
      </c>
    </row>
    <row r="178" spans="1:79" ht="12.75">
      <c r="A178" s="169">
        <v>171</v>
      </c>
      <c r="B178" s="172" t="s">
        <v>250</v>
      </c>
      <c r="C178" s="258" t="s">
        <v>251</v>
      </c>
      <c r="D178" s="277">
        <v>35707328</v>
      </c>
      <c r="E178" s="277">
        <v>10513</v>
      </c>
      <c r="F178" s="277">
        <v>0</v>
      </c>
      <c r="G178" s="277">
        <v>151470</v>
      </c>
      <c r="H178" s="277">
        <v>0</v>
      </c>
      <c r="I178" s="277">
        <v>151470</v>
      </c>
      <c r="J178" s="277">
        <v>0</v>
      </c>
      <c r="K178" s="277">
        <v>0</v>
      </c>
      <c r="L178" s="277">
        <v>0</v>
      </c>
      <c r="M178" s="277">
        <v>0</v>
      </c>
      <c r="N178" s="277">
        <v>0</v>
      </c>
      <c r="O178" s="277">
        <v>0</v>
      </c>
      <c r="P178" s="277">
        <v>35566371</v>
      </c>
      <c r="Q178" s="277">
        <v>17783186</v>
      </c>
      <c r="R178" s="277">
        <v>14226548</v>
      </c>
      <c r="S178" s="277">
        <v>3556637</v>
      </c>
      <c r="T178" s="277">
        <v>0</v>
      </c>
      <c r="U178" s="277">
        <v>35566371</v>
      </c>
      <c r="V178" s="277">
        <v>0</v>
      </c>
      <c r="W178" s="277">
        <v>17783186</v>
      </c>
      <c r="X178" s="277">
        <v>151470</v>
      </c>
      <c r="Y178" s="277">
        <v>151470</v>
      </c>
      <c r="Z178" s="277">
        <v>0</v>
      </c>
      <c r="AA178" s="277">
        <v>0</v>
      </c>
      <c r="AB178" s="277">
        <v>0</v>
      </c>
      <c r="AC178" s="277">
        <v>0</v>
      </c>
      <c r="AD178" s="277">
        <v>0</v>
      </c>
      <c r="AE178" s="277">
        <v>0</v>
      </c>
      <c r="AF178" s="277">
        <v>0</v>
      </c>
      <c r="AG178" s="277">
        <v>0</v>
      </c>
      <c r="AH178" s="277">
        <v>0</v>
      </c>
      <c r="AI178" s="277">
        <v>0</v>
      </c>
      <c r="AJ178" s="277">
        <v>0</v>
      </c>
      <c r="AK178" s="277">
        <v>0</v>
      </c>
      <c r="AL178" s="277">
        <v>0</v>
      </c>
      <c r="AM178" s="277">
        <v>165310.61</v>
      </c>
      <c r="AN178" s="277">
        <v>132248.48</v>
      </c>
      <c r="AO178" s="277">
        <v>33062.12</v>
      </c>
      <c r="AP178" s="277">
        <v>0</v>
      </c>
      <c r="AQ178" s="277">
        <v>330621.21</v>
      </c>
      <c r="AR178" s="277">
        <v>17948497</v>
      </c>
      <c r="AS178" s="277">
        <v>14510266</v>
      </c>
      <c r="AT178" s="277">
        <v>3589699</v>
      </c>
      <c r="AU178" s="277">
        <v>0</v>
      </c>
      <c r="AV178" s="277">
        <v>36048462</v>
      </c>
      <c r="AW178" s="277">
        <v>152633</v>
      </c>
      <c r="AX178" s="277">
        <v>37756</v>
      </c>
      <c r="AY178" s="277">
        <v>0</v>
      </c>
      <c r="AZ178" s="277">
        <v>190389</v>
      </c>
      <c r="BA178" s="277">
        <v>341038</v>
      </c>
      <c r="BB178" s="277">
        <v>85259</v>
      </c>
      <c r="BC178" s="277">
        <v>0</v>
      </c>
      <c r="BD178" s="277">
        <v>426297</v>
      </c>
      <c r="BE178" s="277">
        <v>0</v>
      </c>
      <c r="BF178" s="277">
        <v>0</v>
      </c>
      <c r="BG178" s="277">
        <v>0</v>
      </c>
      <c r="BH178" s="277">
        <v>0</v>
      </c>
      <c r="BI178" s="277">
        <v>121274</v>
      </c>
      <c r="BJ178" s="277">
        <v>30318</v>
      </c>
      <c r="BK178" s="277">
        <v>0</v>
      </c>
      <c r="BL178" s="277">
        <v>151592</v>
      </c>
      <c r="BM178" s="277">
        <v>16170</v>
      </c>
      <c r="BN178" s="277">
        <v>4042</v>
      </c>
      <c r="BO178" s="277">
        <v>0</v>
      </c>
      <c r="BP178" s="277">
        <v>20212</v>
      </c>
      <c r="BQ178" s="277">
        <v>199294</v>
      </c>
      <c r="BR178" s="277">
        <v>49823</v>
      </c>
      <c r="BS178" s="277">
        <v>0</v>
      </c>
      <c r="BT178" s="277">
        <v>249117</v>
      </c>
      <c r="BU178" s="277">
        <v>830409</v>
      </c>
      <c r="BV178" s="277">
        <v>207198</v>
      </c>
      <c r="BW178" s="277">
        <v>0</v>
      </c>
      <c r="BX178" s="277">
        <v>1037607</v>
      </c>
      <c r="BY178" s="278" t="s">
        <v>250</v>
      </c>
      <c r="BZ178" s="279" t="s">
        <v>1040</v>
      </c>
      <c r="CA178" s="280" t="s">
        <v>984</v>
      </c>
    </row>
    <row r="179" spans="1:79" ht="12.75">
      <c r="A179" s="169">
        <v>172</v>
      </c>
      <c r="B179" s="172" t="s">
        <v>252</v>
      </c>
      <c r="C179" s="258" t="s">
        <v>253</v>
      </c>
      <c r="D179" s="277">
        <v>61395779.3</v>
      </c>
      <c r="E179" s="277">
        <v>274700.49</v>
      </c>
      <c r="F179" s="277">
        <v>0</v>
      </c>
      <c r="G179" s="277">
        <v>285799</v>
      </c>
      <c r="H179" s="277">
        <v>0</v>
      </c>
      <c r="I179" s="277">
        <v>285799</v>
      </c>
      <c r="J179" s="277">
        <v>0</v>
      </c>
      <c r="K179" s="277">
        <v>0</v>
      </c>
      <c r="L179" s="277">
        <v>0</v>
      </c>
      <c r="M179" s="277">
        <v>10000</v>
      </c>
      <c r="N179" s="277">
        <v>10000</v>
      </c>
      <c r="O179" s="277">
        <v>0</v>
      </c>
      <c r="P179" s="277">
        <v>61374680.8</v>
      </c>
      <c r="Q179" s="277">
        <v>30687340.8</v>
      </c>
      <c r="R179" s="277">
        <v>24549872</v>
      </c>
      <c r="S179" s="277">
        <v>5523721</v>
      </c>
      <c r="T179" s="277">
        <v>613747</v>
      </c>
      <c r="U179" s="277">
        <v>61374681</v>
      </c>
      <c r="V179" s="277">
        <v>0</v>
      </c>
      <c r="W179" s="277">
        <v>30687340.8</v>
      </c>
      <c r="X179" s="277">
        <v>285799</v>
      </c>
      <c r="Y179" s="277">
        <v>285799</v>
      </c>
      <c r="Z179" s="277">
        <v>0</v>
      </c>
      <c r="AA179" s="277">
        <v>0</v>
      </c>
      <c r="AB179" s="277">
        <v>0</v>
      </c>
      <c r="AC179" s="277">
        <v>0</v>
      </c>
      <c r="AD179" s="277">
        <v>10000</v>
      </c>
      <c r="AE179" s="277">
        <v>0</v>
      </c>
      <c r="AF179" s="277">
        <v>10000</v>
      </c>
      <c r="AG179" s="277">
        <v>0</v>
      </c>
      <c r="AH179" s="277">
        <v>0</v>
      </c>
      <c r="AI179" s="277">
        <v>0</v>
      </c>
      <c r="AJ179" s="277">
        <v>0</v>
      </c>
      <c r="AK179" s="277">
        <v>0</v>
      </c>
      <c r="AL179" s="277">
        <v>0</v>
      </c>
      <c r="AM179" s="277">
        <v>31878.5</v>
      </c>
      <c r="AN179" s="277">
        <v>25502.8</v>
      </c>
      <c r="AO179" s="277">
        <v>5738.13</v>
      </c>
      <c r="AP179" s="277">
        <v>637.57</v>
      </c>
      <c r="AQ179" s="277">
        <v>63757</v>
      </c>
      <c r="AR179" s="277">
        <v>30719219</v>
      </c>
      <c r="AS179" s="277">
        <v>24871174</v>
      </c>
      <c r="AT179" s="277">
        <v>5529459</v>
      </c>
      <c r="AU179" s="277">
        <v>614385</v>
      </c>
      <c r="AV179" s="277">
        <v>61734237</v>
      </c>
      <c r="AW179" s="277">
        <v>263754</v>
      </c>
      <c r="AX179" s="277">
        <v>58638</v>
      </c>
      <c r="AY179" s="277">
        <v>6515</v>
      </c>
      <c r="AZ179" s="277">
        <v>328907</v>
      </c>
      <c r="BA179" s="277">
        <v>816025</v>
      </c>
      <c r="BB179" s="277">
        <v>183606</v>
      </c>
      <c r="BC179" s="277">
        <v>20401</v>
      </c>
      <c r="BD179" s="277">
        <v>1020032</v>
      </c>
      <c r="BE179" s="277">
        <v>12127</v>
      </c>
      <c r="BF179" s="277">
        <v>2729</v>
      </c>
      <c r="BG179" s="277">
        <v>303</v>
      </c>
      <c r="BH179" s="277">
        <v>15159</v>
      </c>
      <c r="BI179" s="277">
        <v>40424</v>
      </c>
      <c r="BJ179" s="277">
        <v>9096</v>
      </c>
      <c r="BK179" s="277">
        <v>1011</v>
      </c>
      <c r="BL179" s="277">
        <v>50531</v>
      </c>
      <c r="BM179" s="277">
        <v>39620</v>
      </c>
      <c r="BN179" s="277">
        <v>8914</v>
      </c>
      <c r="BO179" s="277">
        <v>990</v>
      </c>
      <c r="BP179" s="277">
        <v>49524</v>
      </c>
      <c r="BQ179" s="277">
        <v>470068</v>
      </c>
      <c r="BR179" s="277">
        <v>105765</v>
      </c>
      <c r="BS179" s="277">
        <v>11752</v>
      </c>
      <c r="BT179" s="277">
        <v>587585</v>
      </c>
      <c r="BU179" s="277">
        <v>1642018</v>
      </c>
      <c r="BV179" s="277">
        <v>368748</v>
      </c>
      <c r="BW179" s="277">
        <v>40972</v>
      </c>
      <c r="BX179" s="277">
        <v>2051738</v>
      </c>
      <c r="BY179" s="278" t="s">
        <v>252</v>
      </c>
      <c r="BZ179" s="279" t="s">
        <v>1000</v>
      </c>
      <c r="CA179" s="280" t="s">
        <v>1001</v>
      </c>
    </row>
    <row r="180" spans="1:79" ht="12.75">
      <c r="A180" s="169">
        <v>173</v>
      </c>
      <c r="B180" s="172" t="s">
        <v>254</v>
      </c>
      <c r="C180" s="258" t="s">
        <v>255</v>
      </c>
      <c r="D180" s="277">
        <v>38530431</v>
      </c>
      <c r="E180" s="277">
        <v>4319</v>
      </c>
      <c r="F180" s="277">
        <v>0</v>
      </c>
      <c r="G180" s="277">
        <v>164612</v>
      </c>
      <c r="H180" s="277">
        <v>0</v>
      </c>
      <c r="I180" s="277">
        <v>164612</v>
      </c>
      <c r="J180" s="277">
        <v>0</v>
      </c>
      <c r="K180" s="277">
        <v>0</v>
      </c>
      <c r="L180" s="277">
        <v>0</v>
      </c>
      <c r="M180" s="277">
        <v>0</v>
      </c>
      <c r="N180" s="277">
        <v>0</v>
      </c>
      <c r="O180" s="277">
        <v>0</v>
      </c>
      <c r="P180" s="277">
        <v>38370138</v>
      </c>
      <c r="Q180" s="277">
        <v>19185070</v>
      </c>
      <c r="R180" s="277">
        <v>15348055</v>
      </c>
      <c r="S180" s="277">
        <v>3453312</v>
      </c>
      <c r="T180" s="277">
        <v>383701</v>
      </c>
      <c r="U180" s="277">
        <v>38370138</v>
      </c>
      <c r="V180" s="277">
        <v>0</v>
      </c>
      <c r="W180" s="277">
        <v>19185070</v>
      </c>
      <c r="X180" s="277">
        <v>164612</v>
      </c>
      <c r="Y180" s="277">
        <v>164612</v>
      </c>
      <c r="Z180" s="277">
        <v>0</v>
      </c>
      <c r="AA180" s="277">
        <v>0</v>
      </c>
      <c r="AB180" s="277">
        <v>0</v>
      </c>
      <c r="AC180" s="277">
        <v>0</v>
      </c>
      <c r="AD180" s="277">
        <v>0</v>
      </c>
      <c r="AE180" s="277">
        <v>0</v>
      </c>
      <c r="AF180" s="277">
        <v>0</v>
      </c>
      <c r="AG180" s="277">
        <v>0</v>
      </c>
      <c r="AH180" s="277">
        <v>0</v>
      </c>
      <c r="AI180" s="277">
        <v>0</v>
      </c>
      <c r="AJ180" s="277">
        <v>0</v>
      </c>
      <c r="AK180" s="277">
        <v>0</v>
      </c>
      <c r="AL180" s="277">
        <v>0</v>
      </c>
      <c r="AM180" s="277">
        <v>-483813.5</v>
      </c>
      <c r="AN180" s="277">
        <v>-387050.8</v>
      </c>
      <c r="AO180" s="277">
        <v>-87086.43</v>
      </c>
      <c r="AP180" s="277">
        <v>-9676.27</v>
      </c>
      <c r="AQ180" s="277">
        <v>-967627</v>
      </c>
      <c r="AR180" s="277">
        <v>18701257</v>
      </c>
      <c r="AS180" s="277">
        <v>15125616</v>
      </c>
      <c r="AT180" s="277">
        <v>3366226</v>
      </c>
      <c r="AU180" s="277">
        <v>374025</v>
      </c>
      <c r="AV180" s="277">
        <v>37567123</v>
      </c>
      <c r="AW180" s="277">
        <v>164678</v>
      </c>
      <c r="AX180" s="277">
        <v>36659</v>
      </c>
      <c r="AY180" s="277">
        <v>4073</v>
      </c>
      <c r="AZ180" s="277">
        <v>205410</v>
      </c>
      <c r="BA180" s="277">
        <v>461412</v>
      </c>
      <c r="BB180" s="277">
        <v>103818</v>
      </c>
      <c r="BC180" s="277">
        <v>11535</v>
      </c>
      <c r="BD180" s="277">
        <v>576765</v>
      </c>
      <c r="BE180" s="277">
        <v>0</v>
      </c>
      <c r="BF180" s="277">
        <v>0</v>
      </c>
      <c r="BG180" s="277">
        <v>0</v>
      </c>
      <c r="BH180" s="277">
        <v>0</v>
      </c>
      <c r="BI180" s="277">
        <v>0</v>
      </c>
      <c r="BJ180" s="277">
        <v>0</v>
      </c>
      <c r="BK180" s="277">
        <v>0</v>
      </c>
      <c r="BL180" s="277">
        <v>0</v>
      </c>
      <c r="BM180" s="277">
        <v>27286</v>
      </c>
      <c r="BN180" s="277">
        <v>2729</v>
      </c>
      <c r="BO180" s="277">
        <v>303</v>
      </c>
      <c r="BP180" s="277">
        <v>30318</v>
      </c>
      <c r="BQ180" s="277">
        <v>227388</v>
      </c>
      <c r="BR180" s="277">
        <v>22739</v>
      </c>
      <c r="BS180" s="277">
        <v>2527</v>
      </c>
      <c r="BT180" s="277">
        <v>252654</v>
      </c>
      <c r="BU180" s="277">
        <v>880764</v>
      </c>
      <c r="BV180" s="277">
        <v>165945</v>
      </c>
      <c r="BW180" s="277">
        <v>18438</v>
      </c>
      <c r="BX180" s="277">
        <v>1065147</v>
      </c>
      <c r="BY180" s="278" t="s">
        <v>902</v>
      </c>
      <c r="BZ180" s="279" t="s">
        <v>988</v>
      </c>
      <c r="CA180" s="280" t="s">
        <v>989</v>
      </c>
    </row>
    <row r="181" spans="1:79" ht="12.75">
      <c r="A181" s="169">
        <v>174</v>
      </c>
      <c r="B181" s="172" t="s">
        <v>256</v>
      </c>
      <c r="C181" s="258" t="s">
        <v>257</v>
      </c>
      <c r="D181" s="277">
        <v>150735952</v>
      </c>
      <c r="E181" s="277">
        <v>109356</v>
      </c>
      <c r="F181" s="277">
        <v>0</v>
      </c>
      <c r="G181" s="277">
        <v>464180</v>
      </c>
      <c r="H181" s="277">
        <v>0</v>
      </c>
      <c r="I181" s="277">
        <v>464180</v>
      </c>
      <c r="J181" s="277">
        <v>0</v>
      </c>
      <c r="K181" s="277">
        <v>544738</v>
      </c>
      <c r="L181" s="277">
        <v>884664</v>
      </c>
      <c r="M181" s="277">
        <v>0</v>
      </c>
      <c r="N181" s="277">
        <v>0</v>
      </c>
      <c r="O181" s="277">
        <v>0</v>
      </c>
      <c r="P181" s="277">
        <v>148951726</v>
      </c>
      <c r="Q181" s="277">
        <v>74475863</v>
      </c>
      <c r="R181" s="277">
        <v>72986346</v>
      </c>
      <c r="S181" s="277">
        <v>0</v>
      </c>
      <c r="T181" s="277">
        <v>1489517</v>
      </c>
      <c r="U181" s="277">
        <v>148951726</v>
      </c>
      <c r="V181" s="277">
        <v>0</v>
      </c>
      <c r="W181" s="277">
        <v>74475863</v>
      </c>
      <c r="X181" s="277">
        <v>464180</v>
      </c>
      <c r="Y181" s="277">
        <v>464180</v>
      </c>
      <c r="Z181" s="277">
        <v>544738</v>
      </c>
      <c r="AA181" s="277">
        <v>544738</v>
      </c>
      <c r="AB181" s="277">
        <v>884664</v>
      </c>
      <c r="AC181" s="277">
        <v>884664</v>
      </c>
      <c r="AD181" s="277">
        <v>0</v>
      </c>
      <c r="AE181" s="277">
        <v>0</v>
      </c>
      <c r="AF181" s="277">
        <v>0</v>
      </c>
      <c r="AG181" s="277">
        <v>0</v>
      </c>
      <c r="AH181" s="277">
        <v>0</v>
      </c>
      <c r="AI181" s="277">
        <v>0</v>
      </c>
      <c r="AJ181" s="277">
        <v>0</v>
      </c>
      <c r="AK181" s="277">
        <v>0</v>
      </c>
      <c r="AL181" s="277">
        <v>0</v>
      </c>
      <c r="AM181" s="277">
        <v>-1473734</v>
      </c>
      <c r="AN181" s="277">
        <v>-1444259</v>
      </c>
      <c r="AO181" s="277">
        <v>0</v>
      </c>
      <c r="AP181" s="277">
        <v>-29475</v>
      </c>
      <c r="AQ181" s="277">
        <v>-2947468</v>
      </c>
      <c r="AR181" s="277">
        <v>73002129</v>
      </c>
      <c r="AS181" s="277">
        <v>73435669</v>
      </c>
      <c r="AT181" s="277">
        <v>0</v>
      </c>
      <c r="AU181" s="277">
        <v>1460042</v>
      </c>
      <c r="AV181" s="277">
        <v>147897840</v>
      </c>
      <c r="AW181" s="277">
        <v>794904</v>
      </c>
      <c r="AX181" s="277">
        <v>0</v>
      </c>
      <c r="AY181" s="277">
        <v>15812</v>
      </c>
      <c r="AZ181" s="277">
        <v>810716</v>
      </c>
      <c r="BA181" s="277">
        <v>1095757</v>
      </c>
      <c r="BB181" s="277">
        <v>0</v>
      </c>
      <c r="BC181" s="277">
        <v>22362</v>
      </c>
      <c r="BD181" s="277">
        <v>1118119</v>
      </c>
      <c r="BE181" s="277">
        <v>49520</v>
      </c>
      <c r="BF181" s="277">
        <v>0</v>
      </c>
      <c r="BG181" s="277">
        <v>1011</v>
      </c>
      <c r="BH181" s="277">
        <v>50531</v>
      </c>
      <c r="BI181" s="277">
        <v>338172</v>
      </c>
      <c r="BJ181" s="277">
        <v>0</v>
      </c>
      <c r="BK181" s="277">
        <v>6901</v>
      </c>
      <c r="BL181" s="277">
        <v>345073</v>
      </c>
      <c r="BM181" s="277">
        <v>328286</v>
      </c>
      <c r="BN181" s="277">
        <v>0</v>
      </c>
      <c r="BO181" s="277">
        <v>6700</v>
      </c>
      <c r="BP181" s="277">
        <v>334986</v>
      </c>
      <c r="BQ181" s="277">
        <v>600178</v>
      </c>
      <c r="BR181" s="277">
        <v>0</v>
      </c>
      <c r="BS181" s="277">
        <v>12249</v>
      </c>
      <c r="BT181" s="277">
        <v>612427</v>
      </c>
      <c r="BU181" s="277">
        <v>3206817</v>
      </c>
      <c r="BV181" s="277">
        <v>0</v>
      </c>
      <c r="BW181" s="277">
        <v>65035</v>
      </c>
      <c r="BX181" s="277">
        <v>3271852</v>
      </c>
      <c r="BY181" s="281" t="s">
        <v>256</v>
      </c>
      <c r="BZ181" s="279" t="s">
        <v>996</v>
      </c>
      <c r="CA181" s="280" t="s">
        <v>1041</v>
      </c>
    </row>
    <row r="182" spans="1:79" ht="12.75">
      <c r="A182" s="169">
        <v>175</v>
      </c>
      <c r="B182" s="172" t="s">
        <v>258</v>
      </c>
      <c r="C182" s="258" t="s">
        <v>259</v>
      </c>
      <c r="D182" s="277">
        <v>32708354.9</v>
      </c>
      <c r="E182" s="277">
        <v>20056.75</v>
      </c>
      <c r="F182" s="277">
        <v>0</v>
      </c>
      <c r="G182" s="277">
        <v>141625</v>
      </c>
      <c r="H182" s="277">
        <v>0</v>
      </c>
      <c r="I182" s="277">
        <v>141625</v>
      </c>
      <c r="J182" s="277">
        <v>0</v>
      </c>
      <c r="K182" s="277">
        <v>0</v>
      </c>
      <c r="L182" s="277">
        <v>0</v>
      </c>
      <c r="M182" s="277">
        <v>0</v>
      </c>
      <c r="N182" s="277">
        <v>0</v>
      </c>
      <c r="O182" s="277">
        <v>0</v>
      </c>
      <c r="P182" s="277">
        <v>32586786.7</v>
      </c>
      <c r="Q182" s="277">
        <v>16293392.7</v>
      </c>
      <c r="R182" s="277">
        <v>13034715</v>
      </c>
      <c r="S182" s="277">
        <v>2932811</v>
      </c>
      <c r="T182" s="277">
        <v>325868</v>
      </c>
      <c r="U182" s="277">
        <v>32586787</v>
      </c>
      <c r="V182" s="277">
        <v>0</v>
      </c>
      <c r="W182" s="277">
        <v>16293392.7</v>
      </c>
      <c r="X182" s="277">
        <v>141625</v>
      </c>
      <c r="Y182" s="277">
        <v>141625</v>
      </c>
      <c r="Z182" s="277">
        <v>0</v>
      </c>
      <c r="AA182" s="277">
        <v>0</v>
      </c>
      <c r="AB182" s="277">
        <v>0</v>
      </c>
      <c r="AC182" s="277">
        <v>0</v>
      </c>
      <c r="AD182" s="277">
        <v>0</v>
      </c>
      <c r="AE182" s="277">
        <v>0</v>
      </c>
      <c r="AF182" s="277">
        <v>0</v>
      </c>
      <c r="AG182" s="277">
        <v>0</v>
      </c>
      <c r="AH182" s="277">
        <v>0</v>
      </c>
      <c r="AI182" s="277">
        <v>0</v>
      </c>
      <c r="AJ182" s="277">
        <v>0</v>
      </c>
      <c r="AK182" s="277">
        <v>0</v>
      </c>
      <c r="AL182" s="277">
        <v>0</v>
      </c>
      <c r="AM182" s="277">
        <v>-414929</v>
      </c>
      <c r="AN182" s="277">
        <v>-331943.2</v>
      </c>
      <c r="AO182" s="277">
        <v>-74687.22</v>
      </c>
      <c r="AP182" s="277">
        <v>-8298.58</v>
      </c>
      <c r="AQ182" s="277">
        <v>-829858</v>
      </c>
      <c r="AR182" s="277">
        <v>15878464</v>
      </c>
      <c r="AS182" s="277">
        <v>12844397</v>
      </c>
      <c r="AT182" s="277">
        <v>2858124</v>
      </c>
      <c r="AU182" s="277">
        <v>317569</v>
      </c>
      <c r="AV182" s="277">
        <v>31898554</v>
      </c>
      <c r="AW182" s="277">
        <v>139876</v>
      </c>
      <c r="AX182" s="277">
        <v>31134</v>
      </c>
      <c r="AY182" s="277">
        <v>3459</v>
      </c>
      <c r="AZ182" s="277">
        <v>174469</v>
      </c>
      <c r="BA182" s="277">
        <v>417486</v>
      </c>
      <c r="BB182" s="277">
        <v>93934</v>
      </c>
      <c r="BC182" s="277">
        <v>10437</v>
      </c>
      <c r="BD182" s="277">
        <v>521857</v>
      </c>
      <c r="BE182" s="277">
        <v>3581</v>
      </c>
      <c r="BF182" s="277">
        <v>806</v>
      </c>
      <c r="BG182" s="277">
        <v>90</v>
      </c>
      <c r="BH182" s="277">
        <v>4477</v>
      </c>
      <c r="BI182" s="277">
        <v>0</v>
      </c>
      <c r="BJ182" s="277">
        <v>0</v>
      </c>
      <c r="BK182" s="277">
        <v>0</v>
      </c>
      <c r="BL182" s="277">
        <v>0</v>
      </c>
      <c r="BM182" s="277">
        <v>6468</v>
      </c>
      <c r="BN182" s="277">
        <v>1455</v>
      </c>
      <c r="BO182" s="277">
        <v>162</v>
      </c>
      <c r="BP182" s="277">
        <v>8085</v>
      </c>
      <c r="BQ182" s="277">
        <v>181911</v>
      </c>
      <c r="BR182" s="277">
        <v>40930</v>
      </c>
      <c r="BS182" s="277">
        <v>4548</v>
      </c>
      <c r="BT182" s="277">
        <v>227389</v>
      </c>
      <c r="BU182" s="277">
        <v>749322</v>
      </c>
      <c r="BV182" s="277">
        <v>168259</v>
      </c>
      <c r="BW182" s="277">
        <v>18696</v>
      </c>
      <c r="BX182" s="277">
        <v>936277</v>
      </c>
      <c r="BY182" s="278" t="s">
        <v>258</v>
      </c>
      <c r="BZ182" s="279" t="s">
        <v>1025</v>
      </c>
      <c r="CA182" s="280" t="s">
        <v>1026</v>
      </c>
    </row>
    <row r="183" spans="1:79" ht="12.75">
      <c r="A183" s="169">
        <v>176</v>
      </c>
      <c r="B183" s="172" t="s">
        <v>260</v>
      </c>
      <c r="C183" s="258" t="s">
        <v>261</v>
      </c>
      <c r="D183" s="277">
        <v>129408733</v>
      </c>
      <c r="E183" s="277">
        <v>524108.14</v>
      </c>
      <c r="F183" s="277">
        <v>0</v>
      </c>
      <c r="G183" s="277">
        <v>376969</v>
      </c>
      <c r="H183" s="277">
        <v>0</v>
      </c>
      <c r="I183" s="277">
        <v>376969</v>
      </c>
      <c r="J183" s="277">
        <v>0</v>
      </c>
      <c r="K183" s="277">
        <v>309030.5</v>
      </c>
      <c r="L183" s="277">
        <v>0</v>
      </c>
      <c r="M183" s="277">
        <v>0</v>
      </c>
      <c r="N183" s="277">
        <v>0</v>
      </c>
      <c r="O183" s="277">
        <v>0</v>
      </c>
      <c r="P183" s="277">
        <v>129246842</v>
      </c>
      <c r="Q183" s="277">
        <v>64623420.9</v>
      </c>
      <c r="R183" s="277">
        <v>38774052.5</v>
      </c>
      <c r="S183" s="277">
        <v>25849368.3</v>
      </c>
      <c r="T183" s="277">
        <v>0</v>
      </c>
      <c r="U183" s="277">
        <v>129246842</v>
      </c>
      <c r="V183" s="277">
        <v>0</v>
      </c>
      <c r="W183" s="277">
        <v>64623420.9</v>
      </c>
      <c r="X183" s="277">
        <v>376969</v>
      </c>
      <c r="Y183" s="277">
        <v>376969</v>
      </c>
      <c r="Z183" s="277">
        <v>309030.5</v>
      </c>
      <c r="AA183" s="277">
        <v>309030.5</v>
      </c>
      <c r="AB183" s="277">
        <v>0</v>
      </c>
      <c r="AC183" s="277">
        <v>0</v>
      </c>
      <c r="AD183" s="277">
        <v>0</v>
      </c>
      <c r="AE183" s="277">
        <v>0</v>
      </c>
      <c r="AF183" s="277">
        <v>0</v>
      </c>
      <c r="AG183" s="277">
        <v>0</v>
      </c>
      <c r="AH183" s="277">
        <v>0</v>
      </c>
      <c r="AI183" s="277">
        <v>0</v>
      </c>
      <c r="AJ183" s="277">
        <v>0</v>
      </c>
      <c r="AK183" s="277">
        <v>0</v>
      </c>
      <c r="AL183" s="277">
        <v>0</v>
      </c>
      <c r="AM183" s="277">
        <v>-3294767.2</v>
      </c>
      <c r="AN183" s="277">
        <v>-1976860.3</v>
      </c>
      <c r="AO183" s="277">
        <v>-1317906.9</v>
      </c>
      <c r="AP183" s="277">
        <v>0</v>
      </c>
      <c r="AQ183" s="277">
        <v>-6589534.4</v>
      </c>
      <c r="AR183" s="277">
        <v>61328654</v>
      </c>
      <c r="AS183" s="277">
        <v>37483192</v>
      </c>
      <c r="AT183" s="277">
        <v>24531461</v>
      </c>
      <c r="AU183" s="277">
        <v>0</v>
      </c>
      <c r="AV183" s="277">
        <v>123343307</v>
      </c>
      <c r="AW183" s="277">
        <v>418897</v>
      </c>
      <c r="AX183" s="277">
        <v>274409</v>
      </c>
      <c r="AY183" s="277">
        <v>0</v>
      </c>
      <c r="AZ183" s="277">
        <v>693306</v>
      </c>
      <c r="BA183" s="277">
        <v>548641</v>
      </c>
      <c r="BB183" s="277">
        <v>365761</v>
      </c>
      <c r="BC183" s="277">
        <v>0</v>
      </c>
      <c r="BD183" s="277">
        <v>914402</v>
      </c>
      <c r="BE183" s="277">
        <v>172209</v>
      </c>
      <c r="BF183" s="277">
        <v>114806</v>
      </c>
      <c r="BG183" s="277">
        <v>0</v>
      </c>
      <c r="BH183" s="277">
        <v>287015</v>
      </c>
      <c r="BI183" s="277">
        <v>0</v>
      </c>
      <c r="BJ183" s="277">
        <v>0</v>
      </c>
      <c r="BK183" s="277">
        <v>0</v>
      </c>
      <c r="BL183" s="277">
        <v>0</v>
      </c>
      <c r="BM183" s="277">
        <v>0</v>
      </c>
      <c r="BN183" s="277">
        <v>0</v>
      </c>
      <c r="BO183" s="277">
        <v>0</v>
      </c>
      <c r="BP183" s="277">
        <v>0</v>
      </c>
      <c r="BQ183" s="277">
        <v>836183</v>
      </c>
      <c r="BR183" s="277">
        <v>557456</v>
      </c>
      <c r="BS183" s="277">
        <v>0</v>
      </c>
      <c r="BT183" s="277">
        <v>1393639</v>
      </c>
      <c r="BU183" s="277">
        <v>1975930</v>
      </c>
      <c r="BV183" s="277">
        <v>1312432</v>
      </c>
      <c r="BW183" s="277">
        <v>0</v>
      </c>
      <c r="BX183" s="277">
        <v>3288362</v>
      </c>
      <c r="BY183" s="278" t="s">
        <v>260</v>
      </c>
      <c r="BZ183" s="279" t="s">
        <v>995</v>
      </c>
      <c r="CA183" s="279" t="s">
        <v>983</v>
      </c>
    </row>
    <row r="184" spans="1:79" ht="12.75">
      <c r="A184" s="169">
        <v>177</v>
      </c>
      <c r="B184" s="172" t="s">
        <v>262</v>
      </c>
      <c r="C184" s="258" t="s">
        <v>263</v>
      </c>
      <c r="D184" s="277">
        <v>31650211</v>
      </c>
      <c r="E184" s="277">
        <v>115222</v>
      </c>
      <c r="F184" s="277">
        <v>0</v>
      </c>
      <c r="G184" s="277">
        <v>201488</v>
      </c>
      <c r="H184" s="277">
        <v>0</v>
      </c>
      <c r="I184" s="277">
        <v>201488</v>
      </c>
      <c r="J184" s="277">
        <v>0</v>
      </c>
      <c r="K184" s="277">
        <v>0</v>
      </c>
      <c r="L184" s="277">
        <v>0</v>
      </c>
      <c r="M184" s="277">
        <v>25000</v>
      </c>
      <c r="N184" s="277">
        <v>25000</v>
      </c>
      <c r="O184" s="277">
        <v>0</v>
      </c>
      <c r="P184" s="277">
        <v>31538945</v>
      </c>
      <c r="Q184" s="277">
        <v>15769473</v>
      </c>
      <c r="R184" s="277">
        <v>12615578</v>
      </c>
      <c r="S184" s="277">
        <v>2838505</v>
      </c>
      <c r="T184" s="277">
        <v>315389</v>
      </c>
      <c r="U184" s="277">
        <v>31538945</v>
      </c>
      <c r="V184" s="277">
        <v>0</v>
      </c>
      <c r="W184" s="277">
        <v>15769473</v>
      </c>
      <c r="X184" s="277">
        <v>201488</v>
      </c>
      <c r="Y184" s="277">
        <v>201488</v>
      </c>
      <c r="Z184" s="277">
        <v>0</v>
      </c>
      <c r="AA184" s="277">
        <v>0</v>
      </c>
      <c r="AB184" s="277">
        <v>0</v>
      </c>
      <c r="AC184" s="277">
        <v>0</v>
      </c>
      <c r="AD184" s="277">
        <v>25000</v>
      </c>
      <c r="AE184" s="277">
        <v>0</v>
      </c>
      <c r="AF184" s="277">
        <v>25000</v>
      </c>
      <c r="AG184" s="277">
        <v>0</v>
      </c>
      <c r="AH184" s="277">
        <v>0</v>
      </c>
      <c r="AI184" s="277">
        <v>0</v>
      </c>
      <c r="AJ184" s="277">
        <v>0</v>
      </c>
      <c r="AK184" s="277">
        <v>0</v>
      </c>
      <c r="AL184" s="277">
        <v>0</v>
      </c>
      <c r="AM184" s="277">
        <v>-981415</v>
      </c>
      <c r="AN184" s="277">
        <v>-785132</v>
      </c>
      <c r="AO184" s="277">
        <v>-176654.7</v>
      </c>
      <c r="AP184" s="277">
        <v>-19628.3</v>
      </c>
      <c r="AQ184" s="277">
        <v>-1962830</v>
      </c>
      <c r="AR184" s="277">
        <v>14788058</v>
      </c>
      <c r="AS184" s="277">
        <v>12056934</v>
      </c>
      <c r="AT184" s="277">
        <v>2661850</v>
      </c>
      <c r="AU184" s="277">
        <v>295761</v>
      </c>
      <c r="AV184" s="277">
        <v>29802603</v>
      </c>
      <c r="AW184" s="277">
        <v>136328</v>
      </c>
      <c r="AX184" s="277">
        <v>30133</v>
      </c>
      <c r="AY184" s="277">
        <v>3348</v>
      </c>
      <c r="AZ184" s="277">
        <v>169809</v>
      </c>
      <c r="BA184" s="277">
        <v>758282</v>
      </c>
      <c r="BB184" s="277">
        <v>170614</v>
      </c>
      <c r="BC184" s="277">
        <v>18957</v>
      </c>
      <c r="BD184" s="277">
        <v>947853</v>
      </c>
      <c r="BE184" s="277">
        <v>14957</v>
      </c>
      <c r="BF184" s="277">
        <v>3365</v>
      </c>
      <c r="BG184" s="277">
        <v>374</v>
      </c>
      <c r="BH184" s="277">
        <v>18696</v>
      </c>
      <c r="BI184" s="277">
        <v>0</v>
      </c>
      <c r="BJ184" s="277">
        <v>0</v>
      </c>
      <c r="BK184" s="277">
        <v>0</v>
      </c>
      <c r="BL184" s="277">
        <v>0</v>
      </c>
      <c r="BM184" s="277">
        <v>0</v>
      </c>
      <c r="BN184" s="277">
        <v>0</v>
      </c>
      <c r="BO184" s="277">
        <v>0</v>
      </c>
      <c r="BP184" s="277">
        <v>0</v>
      </c>
      <c r="BQ184" s="277">
        <v>299984</v>
      </c>
      <c r="BR184" s="277">
        <v>67497</v>
      </c>
      <c r="BS184" s="277">
        <v>7500</v>
      </c>
      <c r="BT184" s="277">
        <v>374981</v>
      </c>
      <c r="BU184" s="277">
        <v>1209551</v>
      </c>
      <c r="BV184" s="277">
        <v>271609</v>
      </c>
      <c r="BW184" s="277">
        <v>30179</v>
      </c>
      <c r="BX184" s="277">
        <v>1511339</v>
      </c>
      <c r="BY184" s="278" t="s">
        <v>262</v>
      </c>
      <c r="BZ184" s="279" t="s">
        <v>1036</v>
      </c>
      <c r="CA184" s="280" t="s">
        <v>1037</v>
      </c>
    </row>
    <row r="185" spans="1:79" ht="12.75">
      <c r="A185" s="169">
        <v>178</v>
      </c>
      <c r="B185" s="172" t="s">
        <v>264</v>
      </c>
      <c r="C185" s="258" t="s">
        <v>265</v>
      </c>
      <c r="D185" s="277">
        <v>13078820.5</v>
      </c>
      <c r="E185" s="277">
        <v>61452</v>
      </c>
      <c r="F185" s="277">
        <v>0</v>
      </c>
      <c r="G185" s="277">
        <v>92308</v>
      </c>
      <c r="H185" s="277">
        <v>0</v>
      </c>
      <c r="I185" s="277">
        <v>92308</v>
      </c>
      <c r="J185" s="277">
        <v>0</v>
      </c>
      <c r="K185" s="277">
        <v>0</v>
      </c>
      <c r="L185" s="277">
        <v>0</v>
      </c>
      <c r="M185" s="277">
        <v>0</v>
      </c>
      <c r="N185" s="277">
        <v>0</v>
      </c>
      <c r="O185" s="277">
        <v>0</v>
      </c>
      <c r="P185" s="277">
        <v>13047964.5</v>
      </c>
      <c r="Q185" s="277">
        <v>6523981.46</v>
      </c>
      <c r="R185" s="277">
        <v>5219186</v>
      </c>
      <c r="S185" s="277">
        <v>1174317</v>
      </c>
      <c r="T185" s="277">
        <v>130480</v>
      </c>
      <c r="U185" s="277">
        <v>13047964</v>
      </c>
      <c r="V185" s="277">
        <v>0</v>
      </c>
      <c r="W185" s="277">
        <v>6523981.46</v>
      </c>
      <c r="X185" s="277">
        <v>92308</v>
      </c>
      <c r="Y185" s="277">
        <v>92308</v>
      </c>
      <c r="Z185" s="277">
        <v>0</v>
      </c>
      <c r="AA185" s="277">
        <v>0</v>
      </c>
      <c r="AB185" s="277">
        <v>0</v>
      </c>
      <c r="AC185" s="277">
        <v>0</v>
      </c>
      <c r="AD185" s="277">
        <v>0</v>
      </c>
      <c r="AE185" s="277">
        <v>0</v>
      </c>
      <c r="AF185" s="277">
        <v>0</v>
      </c>
      <c r="AG185" s="277">
        <v>0</v>
      </c>
      <c r="AH185" s="277">
        <v>0</v>
      </c>
      <c r="AI185" s="277">
        <v>0</v>
      </c>
      <c r="AJ185" s="277">
        <v>0</v>
      </c>
      <c r="AK185" s="277">
        <v>0</v>
      </c>
      <c r="AL185" s="277">
        <v>0</v>
      </c>
      <c r="AM185" s="277">
        <v>-227705.81</v>
      </c>
      <c r="AN185" s="277">
        <v>-182164.64</v>
      </c>
      <c r="AO185" s="277">
        <v>-40987.05</v>
      </c>
      <c r="AP185" s="277">
        <v>-4554.12</v>
      </c>
      <c r="AQ185" s="277">
        <v>-455411.61</v>
      </c>
      <c r="AR185" s="277">
        <v>6296276</v>
      </c>
      <c r="AS185" s="277">
        <v>5129329</v>
      </c>
      <c r="AT185" s="277">
        <v>1133330</v>
      </c>
      <c r="AU185" s="277">
        <v>125926</v>
      </c>
      <c r="AV185" s="277">
        <v>12684861</v>
      </c>
      <c r="AW185" s="277">
        <v>56385</v>
      </c>
      <c r="AX185" s="277">
        <v>12466</v>
      </c>
      <c r="AY185" s="277">
        <v>1385</v>
      </c>
      <c r="AZ185" s="277">
        <v>70236</v>
      </c>
      <c r="BA185" s="277">
        <v>336727</v>
      </c>
      <c r="BB185" s="277">
        <v>75764</v>
      </c>
      <c r="BC185" s="277">
        <v>8418</v>
      </c>
      <c r="BD185" s="277">
        <v>420909</v>
      </c>
      <c r="BE185" s="277">
        <v>0</v>
      </c>
      <c r="BF185" s="277">
        <v>0</v>
      </c>
      <c r="BG185" s="277">
        <v>0</v>
      </c>
      <c r="BH185" s="277">
        <v>0</v>
      </c>
      <c r="BI185" s="277">
        <v>0</v>
      </c>
      <c r="BJ185" s="277">
        <v>0</v>
      </c>
      <c r="BK185" s="277">
        <v>0</v>
      </c>
      <c r="BL185" s="277">
        <v>0</v>
      </c>
      <c r="BM185" s="277">
        <v>6876</v>
      </c>
      <c r="BN185" s="277">
        <v>1547</v>
      </c>
      <c r="BO185" s="277">
        <v>172</v>
      </c>
      <c r="BP185" s="277">
        <v>8595</v>
      </c>
      <c r="BQ185" s="277">
        <v>162702</v>
      </c>
      <c r="BR185" s="277">
        <v>36608</v>
      </c>
      <c r="BS185" s="277">
        <v>4068</v>
      </c>
      <c r="BT185" s="277">
        <v>203378</v>
      </c>
      <c r="BU185" s="277">
        <v>562690</v>
      </c>
      <c r="BV185" s="277">
        <v>126385</v>
      </c>
      <c r="BW185" s="277">
        <v>14043</v>
      </c>
      <c r="BX185" s="277">
        <v>703118</v>
      </c>
      <c r="BY185" s="278" t="s">
        <v>264</v>
      </c>
      <c r="BZ185" s="279" t="s">
        <v>1030</v>
      </c>
      <c r="CA185" s="280" t="s">
        <v>1012</v>
      </c>
    </row>
    <row r="186" spans="1:79" ht="12.75">
      <c r="A186" s="169">
        <v>179</v>
      </c>
      <c r="B186" s="172" t="s">
        <v>266</v>
      </c>
      <c r="C186" s="258" t="s">
        <v>267</v>
      </c>
      <c r="D186" s="277">
        <v>15396779</v>
      </c>
      <c r="E186" s="277">
        <v>36051</v>
      </c>
      <c r="F186" s="277">
        <v>0</v>
      </c>
      <c r="G186" s="277">
        <v>97897</v>
      </c>
      <c r="H186" s="277">
        <v>0</v>
      </c>
      <c r="I186" s="277">
        <v>97897</v>
      </c>
      <c r="J186" s="277">
        <v>0</v>
      </c>
      <c r="K186" s="277">
        <v>0</v>
      </c>
      <c r="L186" s="277">
        <v>0</v>
      </c>
      <c r="M186" s="277">
        <v>0</v>
      </c>
      <c r="N186" s="277">
        <v>0</v>
      </c>
      <c r="O186" s="277">
        <v>0</v>
      </c>
      <c r="P186" s="277">
        <v>15334933</v>
      </c>
      <c r="Q186" s="277">
        <v>7667467</v>
      </c>
      <c r="R186" s="277">
        <v>6133973</v>
      </c>
      <c r="S186" s="277">
        <v>1380144</v>
      </c>
      <c r="T186" s="277">
        <v>153349</v>
      </c>
      <c r="U186" s="277">
        <v>15334933</v>
      </c>
      <c r="V186" s="277">
        <v>0</v>
      </c>
      <c r="W186" s="277">
        <v>7667467</v>
      </c>
      <c r="X186" s="277">
        <v>97897</v>
      </c>
      <c r="Y186" s="277">
        <v>97897</v>
      </c>
      <c r="Z186" s="277">
        <v>0</v>
      </c>
      <c r="AA186" s="277">
        <v>0</v>
      </c>
      <c r="AB186" s="277">
        <v>0</v>
      </c>
      <c r="AC186" s="277">
        <v>0</v>
      </c>
      <c r="AD186" s="277">
        <v>0</v>
      </c>
      <c r="AE186" s="277">
        <v>0</v>
      </c>
      <c r="AF186" s="277">
        <v>0</v>
      </c>
      <c r="AG186" s="277">
        <v>0</v>
      </c>
      <c r="AH186" s="277">
        <v>0</v>
      </c>
      <c r="AI186" s="277">
        <v>0</v>
      </c>
      <c r="AJ186" s="277">
        <v>0</v>
      </c>
      <c r="AK186" s="277">
        <v>0</v>
      </c>
      <c r="AL186" s="277">
        <v>0</v>
      </c>
      <c r="AM186" s="277">
        <v>-98620</v>
      </c>
      <c r="AN186" s="277">
        <v>-78896</v>
      </c>
      <c r="AO186" s="277">
        <v>-17751.6</v>
      </c>
      <c r="AP186" s="277">
        <v>-1972.4</v>
      </c>
      <c r="AQ186" s="277">
        <v>-197240</v>
      </c>
      <c r="AR186" s="277">
        <v>7568847</v>
      </c>
      <c r="AS186" s="277">
        <v>6152974</v>
      </c>
      <c r="AT186" s="277">
        <v>1362392</v>
      </c>
      <c r="AU186" s="277">
        <v>151377</v>
      </c>
      <c r="AV186" s="277">
        <v>15235590</v>
      </c>
      <c r="AW186" s="277">
        <v>66156</v>
      </c>
      <c r="AX186" s="277">
        <v>14651</v>
      </c>
      <c r="AY186" s="277">
        <v>1628</v>
      </c>
      <c r="AZ186" s="277">
        <v>82435</v>
      </c>
      <c r="BA186" s="277">
        <v>322260</v>
      </c>
      <c r="BB186" s="277">
        <v>72508</v>
      </c>
      <c r="BC186" s="277">
        <v>8056</v>
      </c>
      <c r="BD186" s="277">
        <v>402824</v>
      </c>
      <c r="BE186" s="277">
        <v>0</v>
      </c>
      <c r="BF186" s="277">
        <v>0</v>
      </c>
      <c r="BG186" s="277">
        <v>0</v>
      </c>
      <c r="BH186" s="277">
        <v>0</v>
      </c>
      <c r="BI186" s="277">
        <v>0</v>
      </c>
      <c r="BJ186" s="277">
        <v>0</v>
      </c>
      <c r="BK186" s="277">
        <v>0</v>
      </c>
      <c r="BL186" s="277">
        <v>0</v>
      </c>
      <c r="BM186" s="277">
        <v>0</v>
      </c>
      <c r="BN186" s="277">
        <v>0</v>
      </c>
      <c r="BO186" s="277">
        <v>0</v>
      </c>
      <c r="BP186" s="277">
        <v>0</v>
      </c>
      <c r="BQ186" s="277">
        <v>109509</v>
      </c>
      <c r="BR186" s="277">
        <v>24640</v>
      </c>
      <c r="BS186" s="277">
        <v>2738</v>
      </c>
      <c r="BT186" s="277">
        <v>136887</v>
      </c>
      <c r="BU186" s="277">
        <v>497925</v>
      </c>
      <c r="BV186" s="277">
        <v>111799</v>
      </c>
      <c r="BW186" s="277">
        <v>12422</v>
      </c>
      <c r="BX186" s="277">
        <v>622146</v>
      </c>
      <c r="BY186" s="278" t="s">
        <v>266</v>
      </c>
      <c r="BZ186" s="279" t="s">
        <v>986</v>
      </c>
      <c r="CA186" s="280" t="s">
        <v>987</v>
      </c>
    </row>
    <row r="187" spans="1:79" ht="12.75">
      <c r="A187" s="169">
        <v>180</v>
      </c>
      <c r="B187" s="172" t="s">
        <v>268</v>
      </c>
      <c r="C187" s="258" t="s">
        <v>269</v>
      </c>
      <c r="D187" s="277">
        <v>65814500</v>
      </c>
      <c r="E187" s="277">
        <v>0</v>
      </c>
      <c r="F187" s="277">
        <v>17659</v>
      </c>
      <c r="G187" s="277">
        <v>239474</v>
      </c>
      <c r="H187" s="277">
        <v>0</v>
      </c>
      <c r="I187" s="277">
        <v>239474</v>
      </c>
      <c r="J187" s="277">
        <v>0</v>
      </c>
      <c r="K187" s="277">
        <v>0</v>
      </c>
      <c r="L187" s="277">
        <v>0</v>
      </c>
      <c r="M187" s="277">
        <v>0</v>
      </c>
      <c r="N187" s="277">
        <v>0</v>
      </c>
      <c r="O187" s="277">
        <v>0</v>
      </c>
      <c r="P187" s="277">
        <v>65557367</v>
      </c>
      <c r="Q187" s="277">
        <v>32778683</v>
      </c>
      <c r="R187" s="277">
        <v>32123110</v>
      </c>
      <c r="S187" s="277">
        <v>0</v>
      </c>
      <c r="T187" s="277">
        <v>655574</v>
      </c>
      <c r="U187" s="277">
        <v>65557367</v>
      </c>
      <c r="V187" s="277">
        <v>0</v>
      </c>
      <c r="W187" s="277">
        <v>32778683</v>
      </c>
      <c r="X187" s="277">
        <v>239474</v>
      </c>
      <c r="Y187" s="277">
        <v>239474</v>
      </c>
      <c r="Z187" s="277">
        <v>0</v>
      </c>
      <c r="AA187" s="277">
        <v>0</v>
      </c>
      <c r="AB187" s="277">
        <v>0</v>
      </c>
      <c r="AC187" s="277">
        <v>0</v>
      </c>
      <c r="AD187" s="277">
        <v>0</v>
      </c>
      <c r="AE187" s="277">
        <v>0</v>
      </c>
      <c r="AF187" s="277">
        <v>0</v>
      </c>
      <c r="AG187" s="277">
        <v>0</v>
      </c>
      <c r="AH187" s="277">
        <v>0</v>
      </c>
      <c r="AI187" s="277">
        <v>0</v>
      </c>
      <c r="AJ187" s="277">
        <v>0</v>
      </c>
      <c r="AK187" s="277">
        <v>0</v>
      </c>
      <c r="AL187" s="277">
        <v>0</v>
      </c>
      <c r="AM187" s="277">
        <v>-149824.5</v>
      </c>
      <c r="AN187" s="277">
        <v>-146828.01</v>
      </c>
      <c r="AO187" s="277">
        <v>0</v>
      </c>
      <c r="AP187" s="277">
        <v>-2996.49</v>
      </c>
      <c r="AQ187" s="277">
        <v>-299649</v>
      </c>
      <c r="AR187" s="277">
        <v>32628859</v>
      </c>
      <c r="AS187" s="277">
        <v>32215756</v>
      </c>
      <c r="AT187" s="277">
        <v>0</v>
      </c>
      <c r="AU187" s="277">
        <v>652578</v>
      </c>
      <c r="AV187" s="277">
        <v>65497192</v>
      </c>
      <c r="AW187" s="277">
        <v>343552</v>
      </c>
      <c r="AX187" s="277">
        <v>0</v>
      </c>
      <c r="AY187" s="277">
        <v>6959</v>
      </c>
      <c r="AZ187" s="277">
        <v>350511</v>
      </c>
      <c r="BA187" s="277">
        <v>764839</v>
      </c>
      <c r="BB187" s="277">
        <v>0</v>
      </c>
      <c r="BC187" s="277">
        <v>15609</v>
      </c>
      <c r="BD187" s="277">
        <v>780448</v>
      </c>
      <c r="BE187" s="277">
        <v>14361</v>
      </c>
      <c r="BF187" s="277">
        <v>0</v>
      </c>
      <c r="BG187" s="277">
        <v>293</v>
      </c>
      <c r="BH187" s="277">
        <v>14654</v>
      </c>
      <c r="BI187" s="277">
        <v>0</v>
      </c>
      <c r="BJ187" s="277">
        <v>0</v>
      </c>
      <c r="BK187" s="277">
        <v>0</v>
      </c>
      <c r="BL187" s="277">
        <v>0</v>
      </c>
      <c r="BM187" s="277">
        <v>34169</v>
      </c>
      <c r="BN187" s="277">
        <v>0</v>
      </c>
      <c r="BO187" s="277">
        <v>697</v>
      </c>
      <c r="BP187" s="277">
        <v>34866</v>
      </c>
      <c r="BQ187" s="277">
        <v>359517</v>
      </c>
      <c r="BR187" s="277">
        <v>0</v>
      </c>
      <c r="BS187" s="277">
        <v>7337</v>
      </c>
      <c r="BT187" s="277">
        <v>366854</v>
      </c>
      <c r="BU187" s="277">
        <v>1516438</v>
      </c>
      <c r="BV187" s="277">
        <v>0</v>
      </c>
      <c r="BW187" s="277">
        <v>30895</v>
      </c>
      <c r="BX187" s="277">
        <v>1547333</v>
      </c>
      <c r="BY187" s="278" t="s">
        <v>903</v>
      </c>
      <c r="BZ187" s="279" t="s">
        <v>1003</v>
      </c>
      <c r="CA187" s="280" t="s">
        <v>1038</v>
      </c>
    </row>
    <row r="188" spans="1:79" ht="12.75">
      <c r="A188" s="169">
        <v>181</v>
      </c>
      <c r="B188" s="172" t="s">
        <v>270</v>
      </c>
      <c r="C188" s="258" t="s">
        <v>271</v>
      </c>
      <c r="D188" s="277">
        <v>37667464</v>
      </c>
      <c r="E188" s="277">
        <v>77000</v>
      </c>
      <c r="F188" s="277">
        <v>0</v>
      </c>
      <c r="G188" s="277">
        <v>180795</v>
      </c>
      <c r="H188" s="277">
        <v>0</v>
      </c>
      <c r="I188" s="277">
        <v>180795</v>
      </c>
      <c r="J188" s="277">
        <v>0</v>
      </c>
      <c r="K188" s="277">
        <v>0</v>
      </c>
      <c r="L188" s="277">
        <v>0</v>
      </c>
      <c r="M188" s="277">
        <v>0</v>
      </c>
      <c r="N188" s="277">
        <v>0</v>
      </c>
      <c r="O188" s="277">
        <v>0</v>
      </c>
      <c r="P188" s="277">
        <v>37563669</v>
      </c>
      <c r="Q188" s="277">
        <v>18781834</v>
      </c>
      <c r="R188" s="277">
        <v>15025468</v>
      </c>
      <c r="S188" s="277">
        <v>3756367</v>
      </c>
      <c r="T188" s="277">
        <v>0</v>
      </c>
      <c r="U188" s="277">
        <v>37563669</v>
      </c>
      <c r="V188" s="277">
        <v>0</v>
      </c>
      <c r="W188" s="277">
        <v>18781834</v>
      </c>
      <c r="X188" s="277">
        <v>180795</v>
      </c>
      <c r="Y188" s="277">
        <v>180795</v>
      </c>
      <c r="Z188" s="277">
        <v>0</v>
      </c>
      <c r="AA188" s="277">
        <v>0</v>
      </c>
      <c r="AB188" s="277">
        <v>0</v>
      </c>
      <c r="AC188" s="277">
        <v>0</v>
      </c>
      <c r="AD188" s="277">
        <v>0</v>
      </c>
      <c r="AE188" s="277">
        <v>0</v>
      </c>
      <c r="AF188" s="277">
        <v>0</v>
      </c>
      <c r="AG188" s="277">
        <v>0</v>
      </c>
      <c r="AH188" s="277">
        <v>0</v>
      </c>
      <c r="AI188" s="277">
        <v>0</v>
      </c>
      <c r="AJ188" s="277">
        <v>0</v>
      </c>
      <c r="AK188" s="277">
        <v>0</v>
      </c>
      <c r="AL188" s="277">
        <v>0</v>
      </c>
      <c r="AM188" s="277">
        <v>52296.5</v>
      </c>
      <c r="AN188" s="277">
        <v>41837.2</v>
      </c>
      <c r="AO188" s="277">
        <v>10459.3</v>
      </c>
      <c r="AP188" s="277">
        <v>0</v>
      </c>
      <c r="AQ188" s="277">
        <v>104593</v>
      </c>
      <c r="AR188" s="277">
        <v>18834131</v>
      </c>
      <c r="AS188" s="277">
        <v>15248100</v>
      </c>
      <c r="AT188" s="277">
        <v>3766826</v>
      </c>
      <c r="AU188" s="277">
        <v>0</v>
      </c>
      <c r="AV188" s="277">
        <v>37849057</v>
      </c>
      <c r="AW188" s="277">
        <v>161425</v>
      </c>
      <c r="AX188" s="277">
        <v>39877</v>
      </c>
      <c r="AY188" s="277">
        <v>0</v>
      </c>
      <c r="AZ188" s="277">
        <v>201302</v>
      </c>
      <c r="BA188" s="277">
        <v>478603</v>
      </c>
      <c r="BB188" s="277">
        <v>119651</v>
      </c>
      <c r="BC188" s="277">
        <v>0</v>
      </c>
      <c r="BD188" s="277">
        <v>598254</v>
      </c>
      <c r="BE188" s="277">
        <v>0</v>
      </c>
      <c r="BF188" s="277">
        <v>0</v>
      </c>
      <c r="BG188" s="277">
        <v>0</v>
      </c>
      <c r="BH188" s="277">
        <v>0</v>
      </c>
      <c r="BI188" s="277">
        <v>0</v>
      </c>
      <c r="BJ188" s="277">
        <v>0</v>
      </c>
      <c r="BK188" s="277">
        <v>0</v>
      </c>
      <c r="BL188" s="277">
        <v>0</v>
      </c>
      <c r="BM188" s="277">
        <v>20212</v>
      </c>
      <c r="BN188" s="277">
        <v>5053</v>
      </c>
      <c r="BO188" s="277">
        <v>0</v>
      </c>
      <c r="BP188" s="277">
        <v>25265</v>
      </c>
      <c r="BQ188" s="277">
        <v>242548</v>
      </c>
      <c r="BR188" s="277">
        <v>60637</v>
      </c>
      <c r="BS188" s="277">
        <v>0</v>
      </c>
      <c r="BT188" s="277">
        <v>303185</v>
      </c>
      <c r="BU188" s="277">
        <v>902788</v>
      </c>
      <c r="BV188" s="277">
        <v>225218</v>
      </c>
      <c r="BW188" s="277">
        <v>0</v>
      </c>
      <c r="BX188" s="277">
        <v>1128006</v>
      </c>
      <c r="BY188" s="278" t="s">
        <v>270</v>
      </c>
      <c r="BZ188" s="279" t="s">
        <v>1021</v>
      </c>
      <c r="CA188" s="280" t="s">
        <v>984</v>
      </c>
    </row>
    <row r="189" spans="1:79" ht="12.75">
      <c r="A189" s="169">
        <v>182</v>
      </c>
      <c r="B189" s="172" t="s">
        <v>272</v>
      </c>
      <c r="C189" s="258" t="s">
        <v>273</v>
      </c>
      <c r="D189" s="277">
        <v>23094681</v>
      </c>
      <c r="E189" s="277">
        <v>19391</v>
      </c>
      <c r="F189" s="277">
        <v>0</v>
      </c>
      <c r="G189" s="277">
        <v>122926</v>
      </c>
      <c r="H189" s="277">
        <v>0</v>
      </c>
      <c r="I189" s="277">
        <v>122926</v>
      </c>
      <c r="J189" s="277">
        <v>0</v>
      </c>
      <c r="K189" s="277">
        <v>0</v>
      </c>
      <c r="L189" s="277">
        <v>0</v>
      </c>
      <c r="M189" s="277">
        <v>300000</v>
      </c>
      <c r="N189" s="277">
        <v>300000</v>
      </c>
      <c r="O189" s="277">
        <v>0</v>
      </c>
      <c r="P189" s="277">
        <v>22691146</v>
      </c>
      <c r="Q189" s="277">
        <v>11345573</v>
      </c>
      <c r="R189" s="277">
        <v>9076458</v>
      </c>
      <c r="S189" s="277">
        <v>2269115</v>
      </c>
      <c r="T189" s="277">
        <v>0</v>
      </c>
      <c r="U189" s="277">
        <v>22691146</v>
      </c>
      <c r="V189" s="277">
        <v>0</v>
      </c>
      <c r="W189" s="277">
        <v>11345573</v>
      </c>
      <c r="X189" s="277">
        <v>122926</v>
      </c>
      <c r="Y189" s="277">
        <v>122926</v>
      </c>
      <c r="Z189" s="277">
        <v>0</v>
      </c>
      <c r="AA189" s="277">
        <v>0</v>
      </c>
      <c r="AB189" s="277">
        <v>0</v>
      </c>
      <c r="AC189" s="277">
        <v>0</v>
      </c>
      <c r="AD189" s="277">
        <v>300000</v>
      </c>
      <c r="AE189" s="277">
        <v>0</v>
      </c>
      <c r="AF189" s="277">
        <v>300000</v>
      </c>
      <c r="AG189" s="277">
        <v>0</v>
      </c>
      <c r="AH189" s="277">
        <v>0</v>
      </c>
      <c r="AI189" s="277">
        <v>0</v>
      </c>
      <c r="AJ189" s="277">
        <v>0</v>
      </c>
      <c r="AK189" s="277">
        <v>0</v>
      </c>
      <c r="AL189" s="277">
        <v>0</v>
      </c>
      <c r="AM189" s="277">
        <v>-250328.5</v>
      </c>
      <c r="AN189" s="277">
        <v>-200262.8</v>
      </c>
      <c r="AO189" s="277">
        <v>-50065.7</v>
      </c>
      <c r="AP189" s="277">
        <v>0</v>
      </c>
      <c r="AQ189" s="277">
        <v>-500657</v>
      </c>
      <c r="AR189" s="277">
        <v>11095245</v>
      </c>
      <c r="AS189" s="277">
        <v>9299121</v>
      </c>
      <c r="AT189" s="277">
        <v>2219049</v>
      </c>
      <c r="AU189" s="277">
        <v>0</v>
      </c>
      <c r="AV189" s="277">
        <v>22613415</v>
      </c>
      <c r="AW189" s="277">
        <v>100843</v>
      </c>
      <c r="AX189" s="277">
        <v>24088</v>
      </c>
      <c r="AY189" s="277">
        <v>0</v>
      </c>
      <c r="AZ189" s="277">
        <v>124931</v>
      </c>
      <c r="BA189" s="277">
        <v>432434</v>
      </c>
      <c r="BB189" s="277">
        <v>108108</v>
      </c>
      <c r="BC189" s="277">
        <v>0</v>
      </c>
      <c r="BD189" s="277">
        <v>540542</v>
      </c>
      <c r="BE189" s="277">
        <v>2022</v>
      </c>
      <c r="BF189" s="277">
        <v>505</v>
      </c>
      <c r="BG189" s="277">
        <v>0</v>
      </c>
      <c r="BH189" s="277">
        <v>2527</v>
      </c>
      <c r="BI189" s="277">
        <v>20212</v>
      </c>
      <c r="BJ189" s="277">
        <v>5053</v>
      </c>
      <c r="BK189" s="277">
        <v>0</v>
      </c>
      <c r="BL189" s="277">
        <v>25265</v>
      </c>
      <c r="BM189" s="277">
        <v>14553</v>
      </c>
      <c r="BN189" s="277">
        <v>3638</v>
      </c>
      <c r="BO189" s="277">
        <v>0</v>
      </c>
      <c r="BP189" s="277">
        <v>18191</v>
      </c>
      <c r="BQ189" s="277">
        <v>161698</v>
      </c>
      <c r="BR189" s="277">
        <v>40425</v>
      </c>
      <c r="BS189" s="277">
        <v>0</v>
      </c>
      <c r="BT189" s="277">
        <v>202123</v>
      </c>
      <c r="BU189" s="277">
        <v>731762</v>
      </c>
      <c r="BV189" s="277">
        <v>181817</v>
      </c>
      <c r="BW189" s="277">
        <v>0</v>
      </c>
      <c r="BX189" s="277">
        <v>913579</v>
      </c>
      <c r="BY189" s="278" t="s">
        <v>272</v>
      </c>
      <c r="BZ189" s="279" t="s">
        <v>1011</v>
      </c>
      <c r="CA189" s="280" t="s">
        <v>984</v>
      </c>
    </row>
    <row r="190" spans="1:79" ht="12.75">
      <c r="A190" s="169">
        <v>183</v>
      </c>
      <c r="B190" s="172" t="s">
        <v>274</v>
      </c>
      <c r="C190" s="258" t="s">
        <v>275</v>
      </c>
      <c r="D190" s="277">
        <v>83728653.5</v>
      </c>
      <c r="E190" s="277">
        <v>398427</v>
      </c>
      <c r="F190" s="277">
        <v>0</v>
      </c>
      <c r="G190" s="277">
        <v>252128</v>
      </c>
      <c r="H190" s="277">
        <v>0</v>
      </c>
      <c r="I190" s="277">
        <v>252128</v>
      </c>
      <c r="J190" s="277">
        <v>0</v>
      </c>
      <c r="K190" s="277">
        <v>0</v>
      </c>
      <c r="L190" s="277">
        <v>0</v>
      </c>
      <c r="M190" s="277">
        <v>832660</v>
      </c>
      <c r="N190" s="277">
        <v>832660</v>
      </c>
      <c r="O190" s="277">
        <v>0</v>
      </c>
      <c r="P190" s="277">
        <v>83042292.5</v>
      </c>
      <c r="Q190" s="277">
        <v>41521146.5</v>
      </c>
      <c r="R190" s="277">
        <v>40690723</v>
      </c>
      <c r="S190" s="277">
        <v>0</v>
      </c>
      <c r="T190" s="277">
        <v>830423</v>
      </c>
      <c r="U190" s="277">
        <v>83042293</v>
      </c>
      <c r="V190" s="277">
        <v>0</v>
      </c>
      <c r="W190" s="277">
        <v>41521146.5</v>
      </c>
      <c r="X190" s="277">
        <v>252128</v>
      </c>
      <c r="Y190" s="277">
        <v>252128</v>
      </c>
      <c r="Z190" s="277">
        <v>0</v>
      </c>
      <c r="AA190" s="277">
        <v>0</v>
      </c>
      <c r="AB190" s="277">
        <v>0</v>
      </c>
      <c r="AC190" s="277">
        <v>0</v>
      </c>
      <c r="AD190" s="277">
        <v>832660</v>
      </c>
      <c r="AE190" s="277">
        <v>0</v>
      </c>
      <c r="AF190" s="277">
        <v>832660</v>
      </c>
      <c r="AG190" s="277">
        <v>0</v>
      </c>
      <c r="AH190" s="277">
        <v>0</v>
      </c>
      <c r="AI190" s="277">
        <v>0</v>
      </c>
      <c r="AJ190" s="277">
        <v>0</v>
      </c>
      <c r="AK190" s="277">
        <v>0</v>
      </c>
      <c r="AL190" s="277">
        <v>0</v>
      </c>
      <c r="AM190" s="277">
        <v>5631</v>
      </c>
      <c r="AN190" s="277">
        <v>5518.38</v>
      </c>
      <c r="AO190" s="277">
        <v>0</v>
      </c>
      <c r="AP190" s="277">
        <v>112.62</v>
      </c>
      <c r="AQ190" s="277">
        <v>11262</v>
      </c>
      <c r="AR190" s="277">
        <v>41526778</v>
      </c>
      <c r="AS190" s="277">
        <v>41781029</v>
      </c>
      <c r="AT190" s="277">
        <v>0</v>
      </c>
      <c r="AU190" s="277">
        <v>830536</v>
      </c>
      <c r="AV190" s="277">
        <v>84138343</v>
      </c>
      <c r="AW190" s="277">
        <v>443477</v>
      </c>
      <c r="AX190" s="277">
        <v>0</v>
      </c>
      <c r="AY190" s="277">
        <v>8816</v>
      </c>
      <c r="AZ190" s="277">
        <v>452293</v>
      </c>
      <c r="BA190" s="277">
        <v>798205</v>
      </c>
      <c r="BB190" s="277">
        <v>0</v>
      </c>
      <c r="BC190" s="277">
        <v>16290</v>
      </c>
      <c r="BD190" s="277">
        <v>814495</v>
      </c>
      <c r="BE190" s="277">
        <v>24760</v>
      </c>
      <c r="BF190" s="277">
        <v>0</v>
      </c>
      <c r="BG190" s="277">
        <v>505</v>
      </c>
      <c r="BH190" s="277">
        <v>25265</v>
      </c>
      <c r="BI190" s="277">
        <v>0</v>
      </c>
      <c r="BJ190" s="277">
        <v>0</v>
      </c>
      <c r="BK190" s="277">
        <v>0</v>
      </c>
      <c r="BL190" s="277">
        <v>0</v>
      </c>
      <c r="BM190" s="277">
        <v>46054</v>
      </c>
      <c r="BN190" s="277">
        <v>0</v>
      </c>
      <c r="BO190" s="277">
        <v>940</v>
      </c>
      <c r="BP190" s="277">
        <v>46994</v>
      </c>
      <c r="BQ190" s="277">
        <v>328319</v>
      </c>
      <c r="BR190" s="277">
        <v>0</v>
      </c>
      <c r="BS190" s="277">
        <v>6700</v>
      </c>
      <c r="BT190" s="277">
        <v>335019</v>
      </c>
      <c r="BU190" s="277">
        <v>1640815</v>
      </c>
      <c r="BV190" s="277">
        <v>0</v>
      </c>
      <c r="BW190" s="277">
        <v>33251</v>
      </c>
      <c r="BX190" s="277">
        <v>1674066</v>
      </c>
      <c r="BY190" s="278" t="s">
        <v>904</v>
      </c>
      <c r="BZ190" s="279" t="s">
        <v>1003</v>
      </c>
      <c r="CA190" s="280" t="s">
        <v>1038</v>
      </c>
    </row>
    <row r="191" spans="1:79" ht="12.75">
      <c r="A191" s="169">
        <v>184</v>
      </c>
      <c r="B191" s="172" t="s">
        <v>276</v>
      </c>
      <c r="C191" s="258" t="s">
        <v>277</v>
      </c>
      <c r="D191" s="277">
        <v>24410480</v>
      </c>
      <c r="E191" s="277">
        <v>179360</v>
      </c>
      <c r="F191" s="277">
        <v>0</v>
      </c>
      <c r="G191" s="277">
        <v>233476</v>
      </c>
      <c r="H191" s="277">
        <v>0</v>
      </c>
      <c r="I191" s="277">
        <v>233476</v>
      </c>
      <c r="J191" s="277">
        <v>0</v>
      </c>
      <c r="K191" s="277">
        <v>0</v>
      </c>
      <c r="L191" s="277">
        <v>0</v>
      </c>
      <c r="M191" s="277">
        <v>46012</v>
      </c>
      <c r="N191" s="277">
        <v>46012</v>
      </c>
      <c r="O191" s="277">
        <v>0</v>
      </c>
      <c r="P191" s="277">
        <v>24310352</v>
      </c>
      <c r="Q191" s="277">
        <v>12155176</v>
      </c>
      <c r="R191" s="277">
        <v>9724141</v>
      </c>
      <c r="S191" s="277">
        <v>2431035</v>
      </c>
      <c r="T191" s="277">
        <v>0</v>
      </c>
      <c r="U191" s="277">
        <v>24310352</v>
      </c>
      <c r="V191" s="277">
        <v>0</v>
      </c>
      <c r="W191" s="277">
        <v>12155176</v>
      </c>
      <c r="X191" s="277">
        <v>233476</v>
      </c>
      <c r="Y191" s="277">
        <v>233476</v>
      </c>
      <c r="Z191" s="277">
        <v>0</v>
      </c>
      <c r="AA191" s="277">
        <v>0</v>
      </c>
      <c r="AB191" s="277">
        <v>0</v>
      </c>
      <c r="AC191" s="277">
        <v>0</v>
      </c>
      <c r="AD191" s="277">
        <v>46012</v>
      </c>
      <c r="AE191" s="277">
        <v>0</v>
      </c>
      <c r="AF191" s="277">
        <v>46012</v>
      </c>
      <c r="AG191" s="277">
        <v>0</v>
      </c>
      <c r="AH191" s="277">
        <v>0</v>
      </c>
      <c r="AI191" s="277">
        <v>0</v>
      </c>
      <c r="AJ191" s="277">
        <v>0</v>
      </c>
      <c r="AK191" s="277">
        <v>0</v>
      </c>
      <c r="AL191" s="277">
        <v>0</v>
      </c>
      <c r="AM191" s="277">
        <v>900</v>
      </c>
      <c r="AN191" s="277">
        <v>720</v>
      </c>
      <c r="AO191" s="277">
        <v>180</v>
      </c>
      <c r="AP191" s="277">
        <v>0</v>
      </c>
      <c r="AQ191" s="277">
        <v>1800</v>
      </c>
      <c r="AR191" s="277">
        <v>12156076</v>
      </c>
      <c r="AS191" s="277">
        <v>10004349</v>
      </c>
      <c r="AT191" s="277">
        <v>2431215</v>
      </c>
      <c r="AU191" s="277">
        <v>0</v>
      </c>
      <c r="AV191" s="277">
        <v>24591640</v>
      </c>
      <c r="AW191" s="277">
        <v>106196</v>
      </c>
      <c r="AX191" s="277">
        <v>25807</v>
      </c>
      <c r="AY191" s="277">
        <v>0</v>
      </c>
      <c r="AZ191" s="277">
        <v>132003</v>
      </c>
      <c r="BA191" s="277">
        <v>697189</v>
      </c>
      <c r="BB191" s="277">
        <v>174297</v>
      </c>
      <c r="BC191" s="277">
        <v>0</v>
      </c>
      <c r="BD191" s="277">
        <v>871486</v>
      </c>
      <c r="BE191" s="277">
        <v>8894</v>
      </c>
      <c r="BF191" s="277">
        <v>2223</v>
      </c>
      <c r="BG191" s="277">
        <v>0</v>
      </c>
      <c r="BH191" s="277">
        <v>11117</v>
      </c>
      <c r="BI191" s="277">
        <v>2022</v>
      </c>
      <c r="BJ191" s="277">
        <v>505</v>
      </c>
      <c r="BK191" s="277">
        <v>0</v>
      </c>
      <c r="BL191" s="277">
        <v>2527</v>
      </c>
      <c r="BM191" s="277">
        <v>30318</v>
      </c>
      <c r="BN191" s="277">
        <v>7580</v>
      </c>
      <c r="BO191" s="277">
        <v>0</v>
      </c>
      <c r="BP191" s="277">
        <v>37898</v>
      </c>
      <c r="BQ191" s="277">
        <v>362609</v>
      </c>
      <c r="BR191" s="277">
        <v>90652</v>
      </c>
      <c r="BS191" s="277">
        <v>0</v>
      </c>
      <c r="BT191" s="277">
        <v>453261</v>
      </c>
      <c r="BU191" s="277">
        <v>1207228</v>
      </c>
      <c r="BV191" s="277">
        <v>301064</v>
      </c>
      <c r="BW191" s="277">
        <v>0</v>
      </c>
      <c r="BX191" s="277">
        <v>1508292</v>
      </c>
      <c r="BY191" s="278" t="s">
        <v>276</v>
      </c>
      <c r="BZ191" s="279" t="s">
        <v>1015</v>
      </c>
      <c r="CA191" s="280" t="s">
        <v>984</v>
      </c>
    </row>
    <row r="192" spans="1:79" ht="12.75">
      <c r="A192" s="169">
        <v>185</v>
      </c>
      <c r="B192" s="172" t="s">
        <v>278</v>
      </c>
      <c r="C192" s="258" t="s">
        <v>279</v>
      </c>
      <c r="D192" s="277">
        <v>56007594</v>
      </c>
      <c r="E192" s="277">
        <v>105190</v>
      </c>
      <c r="F192" s="277">
        <v>0</v>
      </c>
      <c r="G192" s="277">
        <v>258158</v>
      </c>
      <c r="H192" s="277">
        <v>0</v>
      </c>
      <c r="I192" s="277">
        <v>258158</v>
      </c>
      <c r="J192" s="277">
        <v>0</v>
      </c>
      <c r="K192" s="277">
        <v>0</v>
      </c>
      <c r="L192" s="277">
        <v>135355</v>
      </c>
      <c r="M192" s="277">
        <v>0</v>
      </c>
      <c r="N192" s="277">
        <v>0</v>
      </c>
      <c r="O192" s="277">
        <v>0</v>
      </c>
      <c r="P192" s="277">
        <v>55719271</v>
      </c>
      <c r="Q192" s="277">
        <v>27859635</v>
      </c>
      <c r="R192" s="277">
        <v>27302443</v>
      </c>
      <c r="S192" s="277">
        <v>0</v>
      </c>
      <c r="T192" s="277">
        <v>557193</v>
      </c>
      <c r="U192" s="277">
        <v>55719271</v>
      </c>
      <c r="V192" s="277">
        <v>0</v>
      </c>
      <c r="W192" s="277">
        <v>27859635</v>
      </c>
      <c r="X192" s="277">
        <v>258158</v>
      </c>
      <c r="Y192" s="277">
        <v>258158</v>
      </c>
      <c r="Z192" s="277">
        <v>0</v>
      </c>
      <c r="AA192" s="277">
        <v>0</v>
      </c>
      <c r="AB192" s="277">
        <v>135355</v>
      </c>
      <c r="AC192" s="277">
        <v>135355</v>
      </c>
      <c r="AD192" s="277">
        <v>0</v>
      </c>
      <c r="AE192" s="277">
        <v>0</v>
      </c>
      <c r="AF192" s="277">
        <v>0</v>
      </c>
      <c r="AG192" s="277">
        <v>0</v>
      </c>
      <c r="AH192" s="277">
        <v>0</v>
      </c>
      <c r="AI192" s="277">
        <v>0</v>
      </c>
      <c r="AJ192" s="277">
        <v>0</v>
      </c>
      <c r="AK192" s="277">
        <v>0</v>
      </c>
      <c r="AL192" s="277">
        <v>0</v>
      </c>
      <c r="AM192" s="277">
        <v>-1138283</v>
      </c>
      <c r="AN192" s="277">
        <v>-1115517.3</v>
      </c>
      <c r="AO192" s="277">
        <v>0</v>
      </c>
      <c r="AP192" s="277">
        <v>-22765.66</v>
      </c>
      <c r="AQ192" s="277">
        <v>-2276566</v>
      </c>
      <c r="AR192" s="277">
        <v>26721352</v>
      </c>
      <c r="AS192" s="277">
        <v>26580439</v>
      </c>
      <c r="AT192" s="277">
        <v>0</v>
      </c>
      <c r="AU192" s="277">
        <v>534427</v>
      </c>
      <c r="AV192" s="277">
        <v>53836218</v>
      </c>
      <c r="AW192" s="277">
        <v>294012</v>
      </c>
      <c r="AX192" s="277">
        <v>0</v>
      </c>
      <c r="AY192" s="277">
        <v>5915</v>
      </c>
      <c r="AZ192" s="277">
        <v>299927</v>
      </c>
      <c r="BA192" s="277">
        <v>866825</v>
      </c>
      <c r="BB192" s="277">
        <v>0</v>
      </c>
      <c r="BC192" s="277">
        <v>17690</v>
      </c>
      <c r="BD192" s="277">
        <v>884515</v>
      </c>
      <c r="BE192" s="277">
        <v>90715</v>
      </c>
      <c r="BF192" s="277">
        <v>0</v>
      </c>
      <c r="BG192" s="277">
        <v>1851</v>
      </c>
      <c r="BH192" s="277">
        <v>92566</v>
      </c>
      <c r="BI192" s="277">
        <v>90364</v>
      </c>
      <c r="BJ192" s="277">
        <v>0</v>
      </c>
      <c r="BK192" s="277">
        <v>1844</v>
      </c>
      <c r="BL192" s="277">
        <v>92208</v>
      </c>
      <c r="BM192" s="277">
        <v>12480</v>
      </c>
      <c r="BN192" s="277">
        <v>0</v>
      </c>
      <c r="BO192" s="277">
        <v>255</v>
      </c>
      <c r="BP192" s="277">
        <v>12735</v>
      </c>
      <c r="BQ192" s="277">
        <v>466660</v>
      </c>
      <c r="BR192" s="277">
        <v>0</v>
      </c>
      <c r="BS192" s="277">
        <v>9524</v>
      </c>
      <c r="BT192" s="277">
        <v>476184</v>
      </c>
      <c r="BU192" s="277">
        <v>1821056</v>
      </c>
      <c r="BV192" s="277">
        <v>0</v>
      </c>
      <c r="BW192" s="277">
        <v>37079</v>
      </c>
      <c r="BX192" s="277">
        <v>1858135</v>
      </c>
      <c r="BY192" s="278" t="s">
        <v>905</v>
      </c>
      <c r="BZ192" s="279" t="s">
        <v>1003</v>
      </c>
      <c r="CA192" s="280" t="s">
        <v>1004</v>
      </c>
    </row>
    <row r="193" spans="1:79" ht="12.75">
      <c r="A193" s="169">
        <v>186</v>
      </c>
      <c r="B193" s="172" t="s">
        <v>280</v>
      </c>
      <c r="C193" s="258" t="s">
        <v>281</v>
      </c>
      <c r="D193" s="277">
        <v>56889555</v>
      </c>
      <c r="E193" s="277">
        <v>3088</v>
      </c>
      <c r="F193" s="277">
        <v>0</v>
      </c>
      <c r="G193" s="277">
        <v>229556</v>
      </c>
      <c r="H193" s="277">
        <v>0</v>
      </c>
      <c r="I193" s="277">
        <v>229556</v>
      </c>
      <c r="J193" s="277">
        <v>0</v>
      </c>
      <c r="K193" s="277">
        <v>19833</v>
      </c>
      <c r="L193" s="277">
        <v>0</v>
      </c>
      <c r="M193" s="277">
        <v>0</v>
      </c>
      <c r="N193" s="277">
        <v>0</v>
      </c>
      <c r="O193" s="277">
        <v>0</v>
      </c>
      <c r="P193" s="277">
        <v>56643254</v>
      </c>
      <c r="Q193" s="277">
        <v>28321627</v>
      </c>
      <c r="R193" s="277">
        <v>27755194</v>
      </c>
      <c r="S193" s="277">
        <v>0</v>
      </c>
      <c r="T193" s="277">
        <v>566433</v>
      </c>
      <c r="U193" s="277">
        <v>56643254</v>
      </c>
      <c r="V193" s="277">
        <v>0</v>
      </c>
      <c r="W193" s="277">
        <v>28321627</v>
      </c>
      <c r="X193" s="277">
        <v>229556</v>
      </c>
      <c r="Y193" s="277">
        <v>229556</v>
      </c>
      <c r="Z193" s="277">
        <v>19833</v>
      </c>
      <c r="AA193" s="277">
        <v>19833</v>
      </c>
      <c r="AB193" s="277">
        <v>0</v>
      </c>
      <c r="AC193" s="277">
        <v>0</v>
      </c>
      <c r="AD193" s="277">
        <v>0</v>
      </c>
      <c r="AE193" s="277">
        <v>0</v>
      </c>
      <c r="AF193" s="277">
        <v>0</v>
      </c>
      <c r="AG193" s="277">
        <v>0</v>
      </c>
      <c r="AH193" s="277">
        <v>0</v>
      </c>
      <c r="AI193" s="277">
        <v>0</v>
      </c>
      <c r="AJ193" s="277">
        <v>0</v>
      </c>
      <c r="AK193" s="277">
        <v>0</v>
      </c>
      <c r="AL193" s="277">
        <v>0</v>
      </c>
      <c r="AM193" s="277">
        <v>-1568584</v>
      </c>
      <c r="AN193" s="277">
        <v>-1537212.3</v>
      </c>
      <c r="AO193" s="277">
        <v>0</v>
      </c>
      <c r="AP193" s="277">
        <v>-31371.68</v>
      </c>
      <c r="AQ193" s="277">
        <v>-3137168</v>
      </c>
      <c r="AR193" s="277">
        <v>26753043</v>
      </c>
      <c r="AS193" s="277">
        <v>26467371</v>
      </c>
      <c r="AT193" s="277">
        <v>0</v>
      </c>
      <c r="AU193" s="277">
        <v>535061</v>
      </c>
      <c r="AV193" s="277">
        <v>53755475</v>
      </c>
      <c r="AW193" s="277">
        <v>297289</v>
      </c>
      <c r="AX193" s="277">
        <v>0</v>
      </c>
      <c r="AY193" s="277">
        <v>6013</v>
      </c>
      <c r="AZ193" s="277">
        <v>303302</v>
      </c>
      <c r="BA193" s="277">
        <v>789188</v>
      </c>
      <c r="BB193" s="277">
        <v>0</v>
      </c>
      <c r="BC193" s="277">
        <v>16106</v>
      </c>
      <c r="BD193" s="277">
        <v>805294</v>
      </c>
      <c r="BE193" s="277">
        <v>0</v>
      </c>
      <c r="BF193" s="277">
        <v>0</v>
      </c>
      <c r="BG193" s="277">
        <v>0</v>
      </c>
      <c r="BH193" s="277">
        <v>0</v>
      </c>
      <c r="BI193" s="277">
        <v>0</v>
      </c>
      <c r="BJ193" s="277">
        <v>0</v>
      </c>
      <c r="BK193" s="277">
        <v>0</v>
      </c>
      <c r="BL193" s="277">
        <v>0</v>
      </c>
      <c r="BM193" s="277">
        <v>39616</v>
      </c>
      <c r="BN193" s="277">
        <v>0</v>
      </c>
      <c r="BO193" s="277">
        <v>809</v>
      </c>
      <c r="BP193" s="277">
        <v>40425</v>
      </c>
      <c r="BQ193" s="277">
        <v>385267</v>
      </c>
      <c r="BR193" s="277">
        <v>0</v>
      </c>
      <c r="BS193" s="277">
        <v>7863</v>
      </c>
      <c r="BT193" s="277">
        <v>393130</v>
      </c>
      <c r="BU193" s="277">
        <v>1511360</v>
      </c>
      <c r="BV193" s="277">
        <v>0</v>
      </c>
      <c r="BW193" s="277">
        <v>30791</v>
      </c>
      <c r="BX193" s="277">
        <v>1542151</v>
      </c>
      <c r="BY193" s="278" t="s">
        <v>280</v>
      </c>
      <c r="BZ193" s="279" t="s">
        <v>996</v>
      </c>
      <c r="CA193" s="280" t="s">
        <v>1041</v>
      </c>
    </row>
    <row r="194" spans="1:79" ht="12.75">
      <c r="A194" s="169">
        <v>187</v>
      </c>
      <c r="B194" s="172" t="s">
        <v>282</v>
      </c>
      <c r="C194" s="258" t="s">
        <v>283</v>
      </c>
      <c r="D194" s="277">
        <v>41828719</v>
      </c>
      <c r="E194" s="277">
        <v>0</v>
      </c>
      <c r="F194" s="277">
        <v>30513</v>
      </c>
      <c r="G194" s="277">
        <v>109009</v>
      </c>
      <c r="H194" s="277">
        <v>0</v>
      </c>
      <c r="I194" s="277">
        <v>109009</v>
      </c>
      <c r="J194" s="277">
        <v>0</v>
      </c>
      <c r="K194" s="277">
        <v>0</v>
      </c>
      <c r="L194" s="277">
        <v>0</v>
      </c>
      <c r="M194" s="277">
        <v>0</v>
      </c>
      <c r="N194" s="277">
        <v>0</v>
      </c>
      <c r="O194" s="277">
        <v>0</v>
      </c>
      <c r="P194" s="277">
        <v>41689197</v>
      </c>
      <c r="Q194" s="277">
        <v>20844598</v>
      </c>
      <c r="R194" s="277">
        <v>16675679</v>
      </c>
      <c r="S194" s="277">
        <v>4168920</v>
      </c>
      <c r="T194" s="277">
        <v>0</v>
      </c>
      <c r="U194" s="277">
        <v>41689197</v>
      </c>
      <c r="V194" s="277">
        <v>0</v>
      </c>
      <c r="W194" s="277">
        <v>20844598</v>
      </c>
      <c r="X194" s="277">
        <v>109009</v>
      </c>
      <c r="Y194" s="277">
        <v>109009</v>
      </c>
      <c r="Z194" s="277">
        <v>0</v>
      </c>
      <c r="AA194" s="277">
        <v>0</v>
      </c>
      <c r="AB194" s="277">
        <v>0</v>
      </c>
      <c r="AC194" s="277">
        <v>0</v>
      </c>
      <c r="AD194" s="277">
        <v>0</v>
      </c>
      <c r="AE194" s="277">
        <v>0</v>
      </c>
      <c r="AF194" s="277">
        <v>0</v>
      </c>
      <c r="AG194" s="277">
        <v>0</v>
      </c>
      <c r="AH194" s="277">
        <v>0</v>
      </c>
      <c r="AI194" s="277">
        <v>0</v>
      </c>
      <c r="AJ194" s="277">
        <v>0</v>
      </c>
      <c r="AK194" s="277">
        <v>0</v>
      </c>
      <c r="AL194" s="277">
        <v>0</v>
      </c>
      <c r="AM194" s="277">
        <v>-604778</v>
      </c>
      <c r="AN194" s="277">
        <v>-483822.4</v>
      </c>
      <c r="AO194" s="277">
        <v>-120955.6</v>
      </c>
      <c r="AP194" s="277">
        <v>0</v>
      </c>
      <c r="AQ194" s="277">
        <v>-1209556</v>
      </c>
      <c r="AR194" s="277">
        <v>20239820</v>
      </c>
      <c r="AS194" s="277">
        <v>16300866</v>
      </c>
      <c r="AT194" s="277">
        <v>4047964</v>
      </c>
      <c r="AU194" s="277">
        <v>0</v>
      </c>
      <c r="AV194" s="277">
        <v>40588650</v>
      </c>
      <c r="AW194" s="277">
        <v>178181</v>
      </c>
      <c r="AX194" s="277">
        <v>44256</v>
      </c>
      <c r="AY194" s="277">
        <v>0</v>
      </c>
      <c r="AZ194" s="277">
        <v>222437</v>
      </c>
      <c r="BA194" s="277">
        <v>239983</v>
      </c>
      <c r="BB194" s="277">
        <v>59996</v>
      </c>
      <c r="BC194" s="277">
        <v>0</v>
      </c>
      <c r="BD194" s="277">
        <v>299979</v>
      </c>
      <c r="BE194" s="277">
        <v>4848</v>
      </c>
      <c r="BF194" s="277">
        <v>1212</v>
      </c>
      <c r="BG194" s="277">
        <v>0</v>
      </c>
      <c r="BH194" s="277">
        <v>6060</v>
      </c>
      <c r="BI194" s="277">
        <v>0</v>
      </c>
      <c r="BJ194" s="277">
        <v>0</v>
      </c>
      <c r="BK194" s="277">
        <v>0</v>
      </c>
      <c r="BL194" s="277">
        <v>0</v>
      </c>
      <c r="BM194" s="277">
        <v>18191</v>
      </c>
      <c r="BN194" s="277">
        <v>2021</v>
      </c>
      <c r="BO194" s="277">
        <v>0</v>
      </c>
      <c r="BP194" s="277">
        <v>20212</v>
      </c>
      <c r="BQ194" s="277">
        <v>183275</v>
      </c>
      <c r="BR194" s="277">
        <v>20364</v>
      </c>
      <c r="BS194" s="277">
        <v>0</v>
      </c>
      <c r="BT194" s="277">
        <v>203639</v>
      </c>
      <c r="BU194" s="277">
        <v>624478</v>
      </c>
      <c r="BV194" s="277">
        <v>127849</v>
      </c>
      <c r="BW194" s="277">
        <v>0</v>
      </c>
      <c r="BX194" s="277">
        <v>752327</v>
      </c>
      <c r="BY194" s="278" t="s">
        <v>282</v>
      </c>
      <c r="BZ194" s="279" t="s">
        <v>1049</v>
      </c>
      <c r="CA194" s="280" t="s">
        <v>984</v>
      </c>
    </row>
    <row r="195" spans="1:79" ht="12.75">
      <c r="A195" s="169">
        <v>188</v>
      </c>
      <c r="B195" s="172" t="s">
        <v>305</v>
      </c>
      <c r="C195" s="258" t="s">
        <v>306</v>
      </c>
      <c r="D195" s="277">
        <v>50011697.5</v>
      </c>
      <c r="E195" s="277">
        <v>28516.93</v>
      </c>
      <c r="F195" s="277">
        <v>0</v>
      </c>
      <c r="G195" s="277">
        <v>145240</v>
      </c>
      <c r="H195" s="277">
        <v>0</v>
      </c>
      <c r="I195" s="277">
        <v>145240</v>
      </c>
      <c r="J195" s="277">
        <v>0</v>
      </c>
      <c r="K195" s="277">
        <v>0</v>
      </c>
      <c r="L195" s="277">
        <v>0</v>
      </c>
      <c r="M195" s="277">
        <v>0</v>
      </c>
      <c r="N195" s="277">
        <v>0</v>
      </c>
      <c r="O195" s="277">
        <v>0</v>
      </c>
      <c r="P195" s="277">
        <v>49894974.5</v>
      </c>
      <c r="Q195" s="277">
        <v>24947486.5</v>
      </c>
      <c r="R195" s="277">
        <v>19957990</v>
      </c>
      <c r="S195" s="277">
        <v>4490548</v>
      </c>
      <c r="T195" s="277">
        <v>498950</v>
      </c>
      <c r="U195" s="277">
        <v>49894974</v>
      </c>
      <c r="V195" s="277">
        <v>0</v>
      </c>
      <c r="W195" s="277">
        <v>24947486.5</v>
      </c>
      <c r="X195" s="277">
        <v>145240</v>
      </c>
      <c r="Y195" s="277">
        <v>145240</v>
      </c>
      <c r="Z195" s="277">
        <v>0</v>
      </c>
      <c r="AA195" s="277">
        <v>0</v>
      </c>
      <c r="AB195" s="277">
        <v>0</v>
      </c>
      <c r="AC195" s="277">
        <v>0</v>
      </c>
      <c r="AD195" s="277">
        <v>0</v>
      </c>
      <c r="AE195" s="277">
        <v>0</v>
      </c>
      <c r="AF195" s="277">
        <v>0</v>
      </c>
      <c r="AG195" s="277">
        <v>0</v>
      </c>
      <c r="AH195" s="277">
        <v>0</v>
      </c>
      <c r="AI195" s="277">
        <v>0</v>
      </c>
      <c r="AJ195" s="277">
        <v>0</v>
      </c>
      <c r="AK195" s="277">
        <v>0</v>
      </c>
      <c r="AL195" s="277">
        <v>0</v>
      </c>
      <c r="AM195" s="277">
        <v>1458372.26</v>
      </c>
      <c r="AN195" s="277">
        <v>1166697.8</v>
      </c>
      <c r="AO195" s="277">
        <v>262507.01</v>
      </c>
      <c r="AP195" s="277">
        <v>29167.45</v>
      </c>
      <c r="AQ195" s="277">
        <v>2916744.51</v>
      </c>
      <c r="AR195" s="277">
        <v>26405859</v>
      </c>
      <c r="AS195" s="277">
        <v>21269928</v>
      </c>
      <c r="AT195" s="277">
        <v>4753055</v>
      </c>
      <c r="AU195" s="277">
        <v>528117</v>
      </c>
      <c r="AV195" s="277">
        <v>52956959</v>
      </c>
      <c r="AW195" s="277">
        <v>213410</v>
      </c>
      <c r="AX195" s="277">
        <v>47670</v>
      </c>
      <c r="AY195" s="277">
        <v>5297</v>
      </c>
      <c r="AZ195" s="277">
        <v>266377</v>
      </c>
      <c r="BA195" s="277">
        <v>347829</v>
      </c>
      <c r="BB195" s="277">
        <v>78261</v>
      </c>
      <c r="BC195" s="277">
        <v>8696</v>
      </c>
      <c r="BD195" s="277">
        <v>434786</v>
      </c>
      <c r="BE195" s="277">
        <v>0</v>
      </c>
      <c r="BF195" s="277">
        <v>0</v>
      </c>
      <c r="BG195" s="277">
        <v>0</v>
      </c>
      <c r="BH195" s="277">
        <v>0</v>
      </c>
      <c r="BI195" s="277">
        <v>0</v>
      </c>
      <c r="BJ195" s="277">
        <v>0</v>
      </c>
      <c r="BK195" s="277">
        <v>0</v>
      </c>
      <c r="BL195" s="277">
        <v>0</v>
      </c>
      <c r="BM195" s="277">
        <v>12207</v>
      </c>
      <c r="BN195" s="277">
        <v>2747</v>
      </c>
      <c r="BO195" s="277">
        <v>305</v>
      </c>
      <c r="BP195" s="277">
        <v>15259</v>
      </c>
      <c r="BQ195" s="277">
        <v>159673</v>
      </c>
      <c r="BR195" s="277">
        <v>35926</v>
      </c>
      <c r="BS195" s="277">
        <v>3992</v>
      </c>
      <c r="BT195" s="277">
        <v>199591</v>
      </c>
      <c r="BU195" s="277">
        <v>733119</v>
      </c>
      <c r="BV195" s="277">
        <v>164604</v>
      </c>
      <c r="BW195" s="277">
        <v>18290</v>
      </c>
      <c r="BX195" s="277">
        <v>916013</v>
      </c>
      <c r="BY195" s="278" t="s">
        <v>305</v>
      </c>
      <c r="BZ195" s="279" t="s">
        <v>1007</v>
      </c>
      <c r="CA195" s="280" t="s">
        <v>1008</v>
      </c>
    </row>
    <row r="196" spans="1:79" ht="12.75">
      <c r="A196" s="169">
        <v>189</v>
      </c>
      <c r="B196" s="172" t="s">
        <v>307</v>
      </c>
      <c r="C196" s="258" t="s">
        <v>308</v>
      </c>
      <c r="D196" s="277">
        <v>104232402</v>
      </c>
      <c r="E196" s="277">
        <v>0</v>
      </c>
      <c r="F196" s="277">
        <v>420359</v>
      </c>
      <c r="G196" s="277">
        <v>299138</v>
      </c>
      <c r="H196" s="277">
        <v>0</v>
      </c>
      <c r="I196" s="277">
        <v>299138</v>
      </c>
      <c r="J196" s="277">
        <v>0</v>
      </c>
      <c r="K196" s="277">
        <v>293821</v>
      </c>
      <c r="L196" s="277">
        <v>0</v>
      </c>
      <c r="M196" s="277">
        <v>0</v>
      </c>
      <c r="N196" s="277">
        <v>0</v>
      </c>
      <c r="O196" s="277">
        <v>0</v>
      </c>
      <c r="P196" s="277">
        <v>103219084</v>
      </c>
      <c r="Q196" s="277">
        <v>51609542</v>
      </c>
      <c r="R196" s="277">
        <v>41287634</v>
      </c>
      <c r="S196" s="277">
        <v>10321908</v>
      </c>
      <c r="T196" s="277">
        <v>0</v>
      </c>
      <c r="U196" s="277">
        <v>103219084</v>
      </c>
      <c r="V196" s="277">
        <v>1901455</v>
      </c>
      <c r="W196" s="277">
        <v>49708087</v>
      </c>
      <c r="X196" s="277">
        <v>299138</v>
      </c>
      <c r="Y196" s="277">
        <v>299138</v>
      </c>
      <c r="Z196" s="277">
        <v>293821</v>
      </c>
      <c r="AA196" s="277">
        <v>293821</v>
      </c>
      <c r="AB196" s="277">
        <v>0</v>
      </c>
      <c r="AC196" s="277">
        <v>0</v>
      </c>
      <c r="AD196" s="277">
        <v>0</v>
      </c>
      <c r="AE196" s="277">
        <v>0</v>
      </c>
      <c r="AF196" s="277">
        <v>0</v>
      </c>
      <c r="AG196" s="277">
        <v>1901455</v>
      </c>
      <c r="AH196" s="277">
        <v>0</v>
      </c>
      <c r="AI196" s="277">
        <v>0</v>
      </c>
      <c r="AJ196" s="277">
        <v>1901455</v>
      </c>
      <c r="AK196" s="277">
        <v>0</v>
      </c>
      <c r="AL196" s="277">
        <v>0</v>
      </c>
      <c r="AM196" s="277">
        <v>-1112336</v>
      </c>
      <c r="AN196" s="277">
        <v>-889868.8</v>
      </c>
      <c r="AO196" s="277">
        <v>-222467.2</v>
      </c>
      <c r="AP196" s="277">
        <v>0</v>
      </c>
      <c r="AQ196" s="277">
        <v>-2224672</v>
      </c>
      <c r="AR196" s="277">
        <v>48595751</v>
      </c>
      <c r="AS196" s="277">
        <v>42892179</v>
      </c>
      <c r="AT196" s="277">
        <v>10099441</v>
      </c>
      <c r="AU196" s="277">
        <v>0</v>
      </c>
      <c r="AV196" s="277">
        <v>101587371</v>
      </c>
      <c r="AW196" s="277">
        <v>464778</v>
      </c>
      <c r="AX196" s="277">
        <v>109574</v>
      </c>
      <c r="AY196" s="277">
        <v>0</v>
      </c>
      <c r="AZ196" s="277">
        <v>574352</v>
      </c>
      <c r="BA196" s="277">
        <v>686708</v>
      </c>
      <c r="BB196" s="277">
        <v>171677</v>
      </c>
      <c r="BC196" s="277">
        <v>0</v>
      </c>
      <c r="BD196" s="277">
        <v>858385</v>
      </c>
      <c r="BE196" s="277">
        <v>0</v>
      </c>
      <c r="BF196" s="277">
        <v>0</v>
      </c>
      <c r="BG196" s="277">
        <v>0</v>
      </c>
      <c r="BH196" s="277">
        <v>0</v>
      </c>
      <c r="BI196" s="277">
        <v>0</v>
      </c>
      <c r="BJ196" s="277">
        <v>0</v>
      </c>
      <c r="BK196" s="277">
        <v>0</v>
      </c>
      <c r="BL196" s="277">
        <v>0</v>
      </c>
      <c r="BM196" s="277">
        <v>0</v>
      </c>
      <c r="BN196" s="277">
        <v>0</v>
      </c>
      <c r="BO196" s="277">
        <v>0</v>
      </c>
      <c r="BP196" s="277">
        <v>0</v>
      </c>
      <c r="BQ196" s="277">
        <v>337938</v>
      </c>
      <c r="BR196" s="277">
        <v>84485</v>
      </c>
      <c r="BS196" s="277">
        <v>0</v>
      </c>
      <c r="BT196" s="277">
        <v>422423</v>
      </c>
      <c r="BU196" s="277">
        <v>1489424</v>
      </c>
      <c r="BV196" s="277">
        <v>365736</v>
      </c>
      <c r="BW196" s="277">
        <v>0</v>
      </c>
      <c r="BX196" s="277">
        <v>1855160</v>
      </c>
      <c r="BY196" s="278" t="s">
        <v>307</v>
      </c>
      <c r="BZ196" s="279" t="s">
        <v>1032</v>
      </c>
      <c r="CA196" s="280" t="s">
        <v>984</v>
      </c>
    </row>
    <row r="197" spans="1:79" ht="12.75">
      <c r="A197" s="169">
        <v>190</v>
      </c>
      <c r="B197" s="172" t="s">
        <v>309</v>
      </c>
      <c r="C197" s="258" t="s">
        <v>310</v>
      </c>
      <c r="D197" s="277">
        <v>76355722.8</v>
      </c>
      <c r="E197" s="277">
        <v>210391</v>
      </c>
      <c r="F197" s="277">
        <v>0</v>
      </c>
      <c r="G197" s="277">
        <v>471093</v>
      </c>
      <c r="H197" s="277">
        <v>0</v>
      </c>
      <c r="I197" s="277">
        <v>471093</v>
      </c>
      <c r="J197" s="277">
        <v>0</v>
      </c>
      <c r="K197" s="277">
        <v>10795</v>
      </c>
      <c r="L197" s="277">
        <v>0</v>
      </c>
      <c r="M197" s="277">
        <v>1050760</v>
      </c>
      <c r="N197" s="277">
        <v>1050760</v>
      </c>
      <c r="O197" s="277">
        <v>0</v>
      </c>
      <c r="P197" s="277">
        <v>75033465.8</v>
      </c>
      <c r="Q197" s="277">
        <v>37516732.8</v>
      </c>
      <c r="R197" s="277">
        <v>37516733</v>
      </c>
      <c r="S197" s="277">
        <v>0</v>
      </c>
      <c r="T197" s="277">
        <v>0</v>
      </c>
      <c r="U197" s="277">
        <v>75033466</v>
      </c>
      <c r="V197" s="277">
        <v>11207</v>
      </c>
      <c r="W197" s="277">
        <v>37505525.8</v>
      </c>
      <c r="X197" s="277">
        <v>471093</v>
      </c>
      <c r="Y197" s="277">
        <v>471093</v>
      </c>
      <c r="Z197" s="277">
        <v>10795</v>
      </c>
      <c r="AA197" s="277">
        <v>10795</v>
      </c>
      <c r="AB197" s="277">
        <v>0</v>
      </c>
      <c r="AC197" s="277">
        <v>0</v>
      </c>
      <c r="AD197" s="277">
        <v>1050760</v>
      </c>
      <c r="AE197" s="277">
        <v>0</v>
      </c>
      <c r="AF197" s="277">
        <v>1050760</v>
      </c>
      <c r="AG197" s="277">
        <v>11207</v>
      </c>
      <c r="AH197" s="277">
        <v>0</v>
      </c>
      <c r="AI197" s="277">
        <v>0</v>
      </c>
      <c r="AJ197" s="277">
        <v>11207</v>
      </c>
      <c r="AK197" s="277">
        <v>0</v>
      </c>
      <c r="AL197" s="277">
        <v>0</v>
      </c>
      <c r="AM197" s="277">
        <v>-2671493.7</v>
      </c>
      <c r="AN197" s="277">
        <v>-2671493.7</v>
      </c>
      <c r="AO197" s="277">
        <v>0</v>
      </c>
      <c r="AP197" s="277">
        <v>0</v>
      </c>
      <c r="AQ197" s="277">
        <v>-5342987.5</v>
      </c>
      <c r="AR197" s="277">
        <v>34834032</v>
      </c>
      <c r="AS197" s="277">
        <v>36389094</v>
      </c>
      <c r="AT197" s="277">
        <v>0</v>
      </c>
      <c r="AU197" s="277">
        <v>0</v>
      </c>
      <c r="AV197" s="277">
        <v>71223127</v>
      </c>
      <c r="AW197" s="277">
        <v>414656</v>
      </c>
      <c r="AX197" s="277">
        <v>0</v>
      </c>
      <c r="AY197" s="277">
        <v>0</v>
      </c>
      <c r="AZ197" s="277">
        <v>414656</v>
      </c>
      <c r="BA197" s="277">
        <v>1774370</v>
      </c>
      <c r="BB197" s="277">
        <v>0</v>
      </c>
      <c r="BC197" s="277">
        <v>0</v>
      </c>
      <c r="BD197" s="277">
        <v>1774370</v>
      </c>
      <c r="BE197" s="277">
        <v>47470</v>
      </c>
      <c r="BF197" s="277">
        <v>0</v>
      </c>
      <c r="BG197" s="277">
        <v>0</v>
      </c>
      <c r="BH197" s="277">
        <v>47470</v>
      </c>
      <c r="BI197" s="277">
        <v>75796</v>
      </c>
      <c r="BJ197" s="277">
        <v>0</v>
      </c>
      <c r="BK197" s="277">
        <v>0</v>
      </c>
      <c r="BL197" s="277">
        <v>75796</v>
      </c>
      <c r="BM197" s="277">
        <v>14649</v>
      </c>
      <c r="BN197" s="277">
        <v>0</v>
      </c>
      <c r="BO197" s="277">
        <v>0</v>
      </c>
      <c r="BP197" s="277">
        <v>14649</v>
      </c>
      <c r="BQ197" s="277">
        <v>533516</v>
      </c>
      <c r="BR197" s="277">
        <v>0</v>
      </c>
      <c r="BS197" s="277">
        <v>0</v>
      </c>
      <c r="BT197" s="277">
        <v>533516</v>
      </c>
      <c r="BU197" s="277">
        <v>2860457</v>
      </c>
      <c r="BV197" s="277">
        <v>0</v>
      </c>
      <c r="BW197" s="277">
        <v>0</v>
      </c>
      <c r="BX197" s="277">
        <v>2860457</v>
      </c>
      <c r="BY197" s="278" t="s">
        <v>309</v>
      </c>
      <c r="BZ197" s="279" t="s">
        <v>1003</v>
      </c>
      <c r="CA197" s="280" t="s">
        <v>984</v>
      </c>
    </row>
    <row r="198" spans="1:79" ht="12.75">
      <c r="A198" s="169">
        <v>191</v>
      </c>
      <c r="B198" s="172" t="s">
        <v>311</v>
      </c>
      <c r="C198" s="258" t="s">
        <v>312</v>
      </c>
      <c r="D198" s="277">
        <v>77083782</v>
      </c>
      <c r="E198" s="277">
        <v>17582</v>
      </c>
      <c r="F198" s="277">
        <v>0</v>
      </c>
      <c r="G198" s="277">
        <v>270914</v>
      </c>
      <c r="H198" s="277">
        <v>0</v>
      </c>
      <c r="I198" s="277">
        <v>270914</v>
      </c>
      <c r="J198" s="277">
        <v>0</v>
      </c>
      <c r="K198" s="277">
        <v>0</v>
      </c>
      <c r="L198" s="277">
        <v>0</v>
      </c>
      <c r="M198" s="277">
        <v>0</v>
      </c>
      <c r="N198" s="277">
        <v>0</v>
      </c>
      <c r="O198" s="277">
        <v>0</v>
      </c>
      <c r="P198" s="277">
        <v>76830450</v>
      </c>
      <c r="Q198" s="277">
        <v>38415225</v>
      </c>
      <c r="R198" s="277">
        <v>30732180</v>
      </c>
      <c r="S198" s="277">
        <v>7683045</v>
      </c>
      <c r="T198" s="277">
        <v>0</v>
      </c>
      <c r="U198" s="277">
        <v>76830450</v>
      </c>
      <c r="V198" s="277">
        <v>0</v>
      </c>
      <c r="W198" s="277">
        <v>38415225</v>
      </c>
      <c r="X198" s="277">
        <v>270914</v>
      </c>
      <c r="Y198" s="277">
        <v>270914</v>
      </c>
      <c r="Z198" s="277">
        <v>0</v>
      </c>
      <c r="AA198" s="277">
        <v>0</v>
      </c>
      <c r="AB198" s="277">
        <v>0</v>
      </c>
      <c r="AC198" s="277">
        <v>0</v>
      </c>
      <c r="AD198" s="277">
        <v>0</v>
      </c>
      <c r="AE198" s="277">
        <v>0</v>
      </c>
      <c r="AF198" s="277">
        <v>0</v>
      </c>
      <c r="AG198" s="277">
        <v>0</v>
      </c>
      <c r="AH198" s="277">
        <v>0</v>
      </c>
      <c r="AI198" s="277">
        <v>0</v>
      </c>
      <c r="AJ198" s="277">
        <v>0</v>
      </c>
      <c r="AK198" s="277">
        <v>0</v>
      </c>
      <c r="AL198" s="277">
        <v>0</v>
      </c>
      <c r="AM198" s="277">
        <v>-189863</v>
      </c>
      <c r="AN198" s="277">
        <v>-151890.4</v>
      </c>
      <c r="AO198" s="277">
        <v>-37972.6</v>
      </c>
      <c r="AP198" s="277">
        <v>0</v>
      </c>
      <c r="AQ198" s="277">
        <v>-379726</v>
      </c>
      <c r="AR198" s="277">
        <v>38225362</v>
      </c>
      <c r="AS198" s="277">
        <v>30851204</v>
      </c>
      <c r="AT198" s="277">
        <v>7645072</v>
      </c>
      <c r="AU198" s="277">
        <v>0</v>
      </c>
      <c r="AV198" s="277">
        <v>76721638</v>
      </c>
      <c r="AW198" s="277">
        <v>329120</v>
      </c>
      <c r="AX198" s="277">
        <v>81561</v>
      </c>
      <c r="AY198" s="277">
        <v>0</v>
      </c>
      <c r="AZ198" s="277">
        <v>410681</v>
      </c>
      <c r="BA198" s="277">
        <v>610555</v>
      </c>
      <c r="BB198" s="277">
        <v>152639</v>
      </c>
      <c r="BC198" s="277">
        <v>0</v>
      </c>
      <c r="BD198" s="277">
        <v>763194</v>
      </c>
      <c r="BE198" s="277">
        <v>2447</v>
      </c>
      <c r="BF198" s="277">
        <v>612</v>
      </c>
      <c r="BG198" s="277">
        <v>0</v>
      </c>
      <c r="BH198" s="277">
        <v>3059</v>
      </c>
      <c r="BI198" s="277">
        <v>0</v>
      </c>
      <c r="BJ198" s="277">
        <v>0</v>
      </c>
      <c r="BK198" s="277">
        <v>0</v>
      </c>
      <c r="BL198" s="277">
        <v>0</v>
      </c>
      <c r="BM198" s="277">
        <v>21026</v>
      </c>
      <c r="BN198" s="277">
        <v>5257</v>
      </c>
      <c r="BO198" s="277">
        <v>0</v>
      </c>
      <c r="BP198" s="277">
        <v>26283</v>
      </c>
      <c r="BQ198" s="277">
        <v>436182</v>
      </c>
      <c r="BR198" s="277">
        <v>109045</v>
      </c>
      <c r="BS198" s="277">
        <v>0</v>
      </c>
      <c r="BT198" s="277">
        <v>545227</v>
      </c>
      <c r="BU198" s="277">
        <v>1399330</v>
      </c>
      <c r="BV198" s="277">
        <v>349114</v>
      </c>
      <c r="BW198" s="277">
        <v>0</v>
      </c>
      <c r="BX198" s="277">
        <v>1748444</v>
      </c>
      <c r="BY198" s="278" t="s">
        <v>311</v>
      </c>
      <c r="BZ198" s="279" t="s">
        <v>1015</v>
      </c>
      <c r="CA198" s="280" t="s">
        <v>984</v>
      </c>
    </row>
    <row r="199" spans="1:79" ht="12.75">
      <c r="A199" s="169">
        <v>192</v>
      </c>
      <c r="B199" s="172" t="s">
        <v>313</v>
      </c>
      <c r="C199" s="258" t="s">
        <v>314</v>
      </c>
      <c r="D199" s="277">
        <v>121720919</v>
      </c>
      <c r="E199" s="277">
        <v>0</v>
      </c>
      <c r="F199" s="277">
        <v>189775</v>
      </c>
      <c r="G199" s="277">
        <v>495745</v>
      </c>
      <c r="H199" s="277">
        <v>3000</v>
      </c>
      <c r="I199" s="277">
        <v>498745</v>
      </c>
      <c r="J199" s="277">
        <v>0</v>
      </c>
      <c r="K199" s="277">
        <v>112953</v>
      </c>
      <c r="L199" s="277">
        <v>32492</v>
      </c>
      <c r="M199" s="277">
        <v>0</v>
      </c>
      <c r="N199" s="277">
        <v>0</v>
      </c>
      <c r="O199" s="277">
        <v>0</v>
      </c>
      <c r="P199" s="277">
        <v>120886954</v>
      </c>
      <c r="Q199" s="277">
        <v>60443477</v>
      </c>
      <c r="R199" s="277">
        <v>59234607</v>
      </c>
      <c r="S199" s="277">
        <v>0</v>
      </c>
      <c r="T199" s="277">
        <v>1208870</v>
      </c>
      <c r="U199" s="277">
        <v>120886954</v>
      </c>
      <c r="V199" s="277">
        <v>55000</v>
      </c>
      <c r="W199" s="277">
        <v>60388477</v>
      </c>
      <c r="X199" s="277">
        <v>498745</v>
      </c>
      <c r="Y199" s="277">
        <v>498745</v>
      </c>
      <c r="Z199" s="277">
        <v>112953</v>
      </c>
      <c r="AA199" s="277">
        <v>112953</v>
      </c>
      <c r="AB199" s="277">
        <v>32492</v>
      </c>
      <c r="AC199" s="277">
        <v>32492</v>
      </c>
      <c r="AD199" s="277">
        <v>0</v>
      </c>
      <c r="AE199" s="277">
        <v>0</v>
      </c>
      <c r="AF199" s="277">
        <v>0</v>
      </c>
      <c r="AG199" s="277">
        <v>55000</v>
      </c>
      <c r="AH199" s="277">
        <v>0</v>
      </c>
      <c r="AI199" s="277">
        <v>0</v>
      </c>
      <c r="AJ199" s="277">
        <v>55000</v>
      </c>
      <c r="AK199" s="277">
        <v>0</v>
      </c>
      <c r="AL199" s="277">
        <v>0</v>
      </c>
      <c r="AM199" s="277">
        <v>181713.5</v>
      </c>
      <c r="AN199" s="277">
        <v>178079.23</v>
      </c>
      <c r="AO199" s="277">
        <v>0</v>
      </c>
      <c r="AP199" s="277">
        <v>3634.27</v>
      </c>
      <c r="AQ199" s="277">
        <v>363427</v>
      </c>
      <c r="AR199" s="277">
        <v>60570191</v>
      </c>
      <c r="AS199" s="277">
        <v>60111876</v>
      </c>
      <c r="AT199" s="277">
        <v>0</v>
      </c>
      <c r="AU199" s="277">
        <v>1212504</v>
      </c>
      <c r="AV199" s="277">
        <v>121894571</v>
      </c>
      <c r="AW199" s="277">
        <v>636240</v>
      </c>
      <c r="AX199" s="277">
        <v>0</v>
      </c>
      <c r="AY199" s="277">
        <v>12833</v>
      </c>
      <c r="AZ199" s="277">
        <v>649073</v>
      </c>
      <c r="BA199" s="277">
        <v>1213901</v>
      </c>
      <c r="BB199" s="277">
        <v>0</v>
      </c>
      <c r="BC199" s="277">
        <v>24773</v>
      </c>
      <c r="BD199" s="277">
        <v>1238674</v>
      </c>
      <c r="BE199" s="277">
        <v>49520</v>
      </c>
      <c r="BF199" s="277">
        <v>0</v>
      </c>
      <c r="BG199" s="277">
        <v>1011</v>
      </c>
      <c r="BH199" s="277">
        <v>50531</v>
      </c>
      <c r="BI199" s="277">
        <v>84184</v>
      </c>
      <c r="BJ199" s="277">
        <v>0</v>
      </c>
      <c r="BK199" s="277">
        <v>1718</v>
      </c>
      <c r="BL199" s="277">
        <v>85902</v>
      </c>
      <c r="BM199" s="277">
        <v>54472</v>
      </c>
      <c r="BN199" s="277">
        <v>0</v>
      </c>
      <c r="BO199" s="277">
        <v>1112</v>
      </c>
      <c r="BP199" s="277">
        <v>55584</v>
      </c>
      <c r="BQ199" s="277">
        <v>495202</v>
      </c>
      <c r="BR199" s="277">
        <v>0</v>
      </c>
      <c r="BS199" s="277">
        <v>10106</v>
      </c>
      <c r="BT199" s="277">
        <v>505308</v>
      </c>
      <c r="BU199" s="277">
        <v>2533519</v>
      </c>
      <c r="BV199" s="277">
        <v>0</v>
      </c>
      <c r="BW199" s="277">
        <v>51553</v>
      </c>
      <c r="BX199" s="277">
        <v>2585072</v>
      </c>
      <c r="BY199" s="278" t="s">
        <v>906</v>
      </c>
      <c r="BZ199" s="279" t="s">
        <v>1003</v>
      </c>
      <c r="CA199" s="280" t="s">
        <v>989</v>
      </c>
    </row>
    <row r="200" spans="1:79" ht="12.75">
      <c r="A200" s="169">
        <v>193</v>
      </c>
      <c r="B200" s="172" t="s">
        <v>315</v>
      </c>
      <c r="C200" s="258" t="s">
        <v>316</v>
      </c>
      <c r="D200" s="277">
        <v>33959235</v>
      </c>
      <c r="E200" s="277">
        <v>10974</v>
      </c>
      <c r="F200" s="277">
        <v>0</v>
      </c>
      <c r="G200" s="277">
        <v>134756</v>
      </c>
      <c r="H200" s="277">
        <v>0</v>
      </c>
      <c r="I200" s="277">
        <v>134756</v>
      </c>
      <c r="J200" s="277">
        <v>0</v>
      </c>
      <c r="K200" s="277">
        <v>0</v>
      </c>
      <c r="L200" s="277">
        <v>0</v>
      </c>
      <c r="M200" s="277">
        <v>0</v>
      </c>
      <c r="N200" s="277">
        <v>0</v>
      </c>
      <c r="O200" s="277">
        <v>0</v>
      </c>
      <c r="P200" s="277">
        <v>33835453</v>
      </c>
      <c r="Q200" s="277">
        <v>16917727</v>
      </c>
      <c r="R200" s="277">
        <v>13534181</v>
      </c>
      <c r="S200" s="277">
        <v>3383545</v>
      </c>
      <c r="T200" s="277">
        <v>0</v>
      </c>
      <c r="U200" s="277">
        <v>33835453</v>
      </c>
      <c r="V200" s="277">
        <v>0</v>
      </c>
      <c r="W200" s="277">
        <v>16917727</v>
      </c>
      <c r="X200" s="277">
        <v>134756</v>
      </c>
      <c r="Y200" s="277">
        <v>134756</v>
      </c>
      <c r="Z200" s="277">
        <v>0</v>
      </c>
      <c r="AA200" s="277">
        <v>0</v>
      </c>
      <c r="AB200" s="277">
        <v>0</v>
      </c>
      <c r="AC200" s="277">
        <v>0</v>
      </c>
      <c r="AD200" s="277">
        <v>0</v>
      </c>
      <c r="AE200" s="277">
        <v>0</v>
      </c>
      <c r="AF200" s="277">
        <v>0</v>
      </c>
      <c r="AG200" s="277">
        <v>0</v>
      </c>
      <c r="AH200" s="277">
        <v>0</v>
      </c>
      <c r="AI200" s="277">
        <v>0</v>
      </c>
      <c r="AJ200" s="277">
        <v>0</v>
      </c>
      <c r="AK200" s="277">
        <v>0</v>
      </c>
      <c r="AL200" s="277">
        <v>0</v>
      </c>
      <c r="AM200" s="277">
        <v>-402232.5</v>
      </c>
      <c r="AN200" s="277">
        <v>-321786</v>
      </c>
      <c r="AO200" s="277">
        <v>-80446.5</v>
      </c>
      <c r="AP200" s="277">
        <v>0</v>
      </c>
      <c r="AQ200" s="277">
        <v>-804465</v>
      </c>
      <c r="AR200" s="277">
        <v>16515495</v>
      </c>
      <c r="AS200" s="277">
        <v>13347151</v>
      </c>
      <c r="AT200" s="277">
        <v>3303099</v>
      </c>
      <c r="AU200" s="277">
        <v>0</v>
      </c>
      <c r="AV200" s="277">
        <v>33165744</v>
      </c>
      <c r="AW200" s="277">
        <v>145105</v>
      </c>
      <c r="AX200" s="277">
        <v>35919</v>
      </c>
      <c r="AY200" s="277">
        <v>0</v>
      </c>
      <c r="AZ200" s="277">
        <v>181024</v>
      </c>
      <c r="BA200" s="277">
        <v>347926</v>
      </c>
      <c r="BB200" s="277">
        <v>86982</v>
      </c>
      <c r="BC200" s="277">
        <v>0</v>
      </c>
      <c r="BD200" s="277">
        <v>434908</v>
      </c>
      <c r="BE200" s="277">
        <v>0</v>
      </c>
      <c r="BF200" s="277">
        <v>0</v>
      </c>
      <c r="BG200" s="277">
        <v>0</v>
      </c>
      <c r="BH200" s="277">
        <v>0</v>
      </c>
      <c r="BI200" s="277">
        <v>0</v>
      </c>
      <c r="BJ200" s="277">
        <v>0</v>
      </c>
      <c r="BK200" s="277">
        <v>0</v>
      </c>
      <c r="BL200" s="277">
        <v>0</v>
      </c>
      <c r="BM200" s="277">
        <v>0</v>
      </c>
      <c r="BN200" s="277">
        <v>0</v>
      </c>
      <c r="BO200" s="277">
        <v>0</v>
      </c>
      <c r="BP200" s="277">
        <v>0</v>
      </c>
      <c r="BQ200" s="277">
        <v>230825</v>
      </c>
      <c r="BR200" s="277">
        <v>57706</v>
      </c>
      <c r="BS200" s="277">
        <v>0</v>
      </c>
      <c r="BT200" s="277">
        <v>288531</v>
      </c>
      <c r="BU200" s="277">
        <v>723856</v>
      </c>
      <c r="BV200" s="277">
        <v>180607</v>
      </c>
      <c r="BW200" s="277">
        <v>0</v>
      </c>
      <c r="BX200" s="277">
        <v>904463</v>
      </c>
      <c r="BY200" s="278" t="s">
        <v>907</v>
      </c>
      <c r="BZ200" s="279" t="s">
        <v>1049</v>
      </c>
      <c r="CA200" s="280" t="s">
        <v>984</v>
      </c>
    </row>
    <row r="201" spans="1:79" ht="12.75">
      <c r="A201" s="169">
        <v>194</v>
      </c>
      <c r="B201" s="172" t="s">
        <v>317</v>
      </c>
      <c r="C201" s="258" t="s">
        <v>318</v>
      </c>
      <c r="D201" s="277">
        <v>11749330</v>
      </c>
      <c r="E201" s="277">
        <v>0</v>
      </c>
      <c r="F201" s="277">
        <v>1000</v>
      </c>
      <c r="G201" s="277">
        <v>56076</v>
      </c>
      <c r="H201" s="277">
        <v>0</v>
      </c>
      <c r="I201" s="277">
        <v>56076</v>
      </c>
      <c r="J201" s="277">
        <v>0</v>
      </c>
      <c r="K201" s="277">
        <v>0</v>
      </c>
      <c r="L201" s="277">
        <v>0</v>
      </c>
      <c r="M201" s="277">
        <v>0</v>
      </c>
      <c r="N201" s="277">
        <v>0</v>
      </c>
      <c r="O201" s="277">
        <v>0</v>
      </c>
      <c r="P201" s="277">
        <v>11692254</v>
      </c>
      <c r="Q201" s="277">
        <v>5846126</v>
      </c>
      <c r="R201" s="277">
        <v>4676902</v>
      </c>
      <c r="S201" s="277">
        <v>1052303</v>
      </c>
      <c r="T201" s="277">
        <v>116923</v>
      </c>
      <c r="U201" s="277">
        <v>11692254</v>
      </c>
      <c r="V201" s="277">
        <v>0</v>
      </c>
      <c r="W201" s="277">
        <v>5846126</v>
      </c>
      <c r="X201" s="277">
        <v>56076</v>
      </c>
      <c r="Y201" s="277">
        <v>56076</v>
      </c>
      <c r="Z201" s="277">
        <v>0</v>
      </c>
      <c r="AA201" s="277">
        <v>0</v>
      </c>
      <c r="AB201" s="277">
        <v>0</v>
      </c>
      <c r="AC201" s="277">
        <v>0</v>
      </c>
      <c r="AD201" s="277">
        <v>0</v>
      </c>
      <c r="AE201" s="277">
        <v>0</v>
      </c>
      <c r="AF201" s="277">
        <v>0</v>
      </c>
      <c r="AG201" s="277">
        <v>0</v>
      </c>
      <c r="AH201" s="277">
        <v>0</v>
      </c>
      <c r="AI201" s="277">
        <v>0</v>
      </c>
      <c r="AJ201" s="277">
        <v>0</v>
      </c>
      <c r="AK201" s="277">
        <v>0</v>
      </c>
      <c r="AL201" s="277">
        <v>0</v>
      </c>
      <c r="AM201" s="277">
        <v>-119156.5</v>
      </c>
      <c r="AN201" s="277">
        <v>-95325.2</v>
      </c>
      <c r="AO201" s="277">
        <v>-21448.17</v>
      </c>
      <c r="AP201" s="277">
        <v>-2383.13</v>
      </c>
      <c r="AQ201" s="277">
        <v>-238313</v>
      </c>
      <c r="AR201" s="277">
        <v>5726970</v>
      </c>
      <c r="AS201" s="277">
        <v>4637653</v>
      </c>
      <c r="AT201" s="277">
        <v>1030855</v>
      </c>
      <c r="AU201" s="277">
        <v>114540</v>
      </c>
      <c r="AV201" s="277">
        <v>11510017</v>
      </c>
      <c r="AW201" s="277">
        <v>50244</v>
      </c>
      <c r="AX201" s="277">
        <v>11171</v>
      </c>
      <c r="AY201" s="277">
        <v>1241</v>
      </c>
      <c r="AZ201" s="277">
        <v>62656</v>
      </c>
      <c r="BA201" s="277">
        <v>188081</v>
      </c>
      <c r="BB201" s="277">
        <v>42318</v>
      </c>
      <c r="BC201" s="277">
        <v>4702</v>
      </c>
      <c r="BD201" s="277">
        <v>235101</v>
      </c>
      <c r="BE201" s="277">
        <v>4042</v>
      </c>
      <c r="BF201" s="277">
        <v>910</v>
      </c>
      <c r="BG201" s="277">
        <v>101</v>
      </c>
      <c r="BH201" s="277">
        <v>5053</v>
      </c>
      <c r="BI201" s="277">
        <v>0</v>
      </c>
      <c r="BJ201" s="277">
        <v>0</v>
      </c>
      <c r="BK201" s="277">
        <v>0</v>
      </c>
      <c r="BL201" s="277">
        <v>0</v>
      </c>
      <c r="BM201" s="277">
        <v>4042</v>
      </c>
      <c r="BN201" s="277">
        <v>910</v>
      </c>
      <c r="BO201" s="277">
        <v>101</v>
      </c>
      <c r="BP201" s="277">
        <v>5053</v>
      </c>
      <c r="BQ201" s="277">
        <v>85294</v>
      </c>
      <c r="BR201" s="277">
        <v>19191</v>
      </c>
      <c r="BS201" s="277">
        <v>2132</v>
      </c>
      <c r="BT201" s="277">
        <v>106617</v>
      </c>
      <c r="BU201" s="277">
        <v>331703</v>
      </c>
      <c r="BV201" s="277">
        <v>74500</v>
      </c>
      <c r="BW201" s="277">
        <v>8277</v>
      </c>
      <c r="BX201" s="277">
        <v>414480</v>
      </c>
      <c r="BY201" s="278" t="s">
        <v>908</v>
      </c>
      <c r="BZ201" s="279" t="s">
        <v>1007</v>
      </c>
      <c r="CA201" s="280" t="s">
        <v>1008</v>
      </c>
    </row>
    <row r="202" spans="1:79" ht="12.75">
      <c r="A202" s="169">
        <v>195</v>
      </c>
      <c r="B202" s="172" t="s">
        <v>319</v>
      </c>
      <c r="C202" s="258" t="s">
        <v>320</v>
      </c>
      <c r="D202" s="277">
        <v>57443221</v>
      </c>
      <c r="E202" s="277">
        <v>9376</v>
      </c>
      <c r="F202" s="277">
        <v>0</v>
      </c>
      <c r="G202" s="277">
        <v>310627</v>
      </c>
      <c r="H202" s="277">
        <v>0</v>
      </c>
      <c r="I202" s="277">
        <v>310627</v>
      </c>
      <c r="J202" s="277">
        <v>0</v>
      </c>
      <c r="K202" s="277">
        <v>0</v>
      </c>
      <c r="L202" s="277">
        <v>0</v>
      </c>
      <c r="M202" s="277">
        <v>0</v>
      </c>
      <c r="N202" s="277">
        <v>0</v>
      </c>
      <c r="O202" s="277">
        <v>0</v>
      </c>
      <c r="P202" s="277">
        <v>57141970</v>
      </c>
      <c r="Q202" s="277">
        <v>28570985</v>
      </c>
      <c r="R202" s="277">
        <v>27999565</v>
      </c>
      <c r="S202" s="277">
        <v>0</v>
      </c>
      <c r="T202" s="277">
        <v>571420</v>
      </c>
      <c r="U202" s="277">
        <v>57141970</v>
      </c>
      <c r="V202" s="277">
        <v>0</v>
      </c>
      <c r="W202" s="277">
        <v>28570985</v>
      </c>
      <c r="X202" s="277">
        <v>310627</v>
      </c>
      <c r="Y202" s="277">
        <v>310627</v>
      </c>
      <c r="Z202" s="277">
        <v>0</v>
      </c>
      <c r="AA202" s="277">
        <v>0</v>
      </c>
      <c r="AB202" s="277">
        <v>0</v>
      </c>
      <c r="AC202" s="277">
        <v>0</v>
      </c>
      <c r="AD202" s="277">
        <v>0</v>
      </c>
      <c r="AE202" s="277">
        <v>0</v>
      </c>
      <c r="AF202" s="277">
        <v>0</v>
      </c>
      <c r="AG202" s="277">
        <v>0</v>
      </c>
      <c r="AH202" s="277">
        <v>0</v>
      </c>
      <c r="AI202" s="277">
        <v>0</v>
      </c>
      <c r="AJ202" s="277">
        <v>0</v>
      </c>
      <c r="AK202" s="277">
        <v>0</v>
      </c>
      <c r="AL202" s="277">
        <v>0</v>
      </c>
      <c r="AM202" s="277">
        <v>-2012832</v>
      </c>
      <c r="AN202" s="277">
        <v>-1972575.4</v>
      </c>
      <c r="AO202" s="277">
        <v>0</v>
      </c>
      <c r="AP202" s="277">
        <v>-40256.64</v>
      </c>
      <c r="AQ202" s="277">
        <v>-4025664</v>
      </c>
      <c r="AR202" s="277">
        <v>26558153</v>
      </c>
      <c r="AS202" s="277">
        <v>26337617</v>
      </c>
      <c r="AT202" s="277">
        <v>0</v>
      </c>
      <c r="AU202" s="277">
        <v>531163</v>
      </c>
      <c r="AV202" s="277">
        <v>53426933</v>
      </c>
      <c r="AW202" s="277">
        <v>300533</v>
      </c>
      <c r="AX202" s="277">
        <v>0</v>
      </c>
      <c r="AY202" s="277">
        <v>6066</v>
      </c>
      <c r="AZ202" s="277">
        <v>306599</v>
      </c>
      <c r="BA202" s="277">
        <v>1327518</v>
      </c>
      <c r="BB202" s="277">
        <v>0</v>
      </c>
      <c r="BC202" s="277">
        <v>27092</v>
      </c>
      <c r="BD202" s="277">
        <v>1354610</v>
      </c>
      <c r="BE202" s="277">
        <v>0</v>
      </c>
      <c r="BF202" s="277">
        <v>0</v>
      </c>
      <c r="BG202" s="277">
        <v>0</v>
      </c>
      <c r="BH202" s="277">
        <v>0</v>
      </c>
      <c r="BI202" s="277">
        <v>2449</v>
      </c>
      <c r="BJ202" s="277">
        <v>0</v>
      </c>
      <c r="BK202" s="277">
        <v>50</v>
      </c>
      <c r="BL202" s="277">
        <v>2499</v>
      </c>
      <c r="BM202" s="277">
        <v>20291</v>
      </c>
      <c r="BN202" s="277">
        <v>0</v>
      </c>
      <c r="BO202" s="277">
        <v>414</v>
      </c>
      <c r="BP202" s="277">
        <v>20705</v>
      </c>
      <c r="BQ202" s="277">
        <v>508705</v>
      </c>
      <c r="BR202" s="277">
        <v>0</v>
      </c>
      <c r="BS202" s="277">
        <v>10382</v>
      </c>
      <c r="BT202" s="277">
        <v>519087</v>
      </c>
      <c r="BU202" s="277">
        <v>2159496</v>
      </c>
      <c r="BV202" s="277">
        <v>0</v>
      </c>
      <c r="BW202" s="277">
        <v>44004</v>
      </c>
      <c r="BX202" s="277">
        <v>2203500</v>
      </c>
      <c r="BY202" s="278" t="s">
        <v>319</v>
      </c>
      <c r="BZ202" s="279" t="s">
        <v>996</v>
      </c>
      <c r="CA202" s="280" t="s">
        <v>1010</v>
      </c>
    </row>
    <row r="203" spans="1:79" ht="12.75">
      <c r="A203" s="169">
        <v>196</v>
      </c>
      <c r="B203" s="172" t="s">
        <v>321</v>
      </c>
      <c r="C203" s="258" t="s">
        <v>322</v>
      </c>
      <c r="D203" s="277">
        <v>84279862</v>
      </c>
      <c r="E203" s="277">
        <v>0</v>
      </c>
      <c r="F203" s="277">
        <v>16052</v>
      </c>
      <c r="G203" s="277">
        <v>217390</v>
      </c>
      <c r="H203" s="277">
        <v>0</v>
      </c>
      <c r="I203" s="277">
        <v>217390</v>
      </c>
      <c r="J203" s="277">
        <v>0</v>
      </c>
      <c r="K203" s="277">
        <v>0</v>
      </c>
      <c r="L203" s="277">
        <v>0</v>
      </c>
      <c r="M203" s="277">
        <v>0</v>
      </c>
      <c r="N203" s="277">
        <v>0</v>
      </c>
      <c r="O203" s="277">
        <v>0</v>
      </c>
      <c r="P203" s="277">
        <v>84046420</v>
      </c>
      <c r="Q203" s="277">
        <v>42023210</v>
      </c>
      <c r="R203" s="277">
        <v>33618568</v>
      </c>
      <c r="S203" s="277">
        <v>8404642</v>
      </c>
      <c r="T203" s="277">
        <v>0</v>
      </c>
      <c r="U203" s="277">
        <v>84046420</v>
      </c>
      <c r="V203" s="277">
        <v>0</v>
      </c>
      <c r="W203" s="277">
        <v>42023210</v>
      </c>
      <c r="X203" s="277">
        <v>217390</v>
      </c>
      <c r="Y203" s="277">
        <v>217390</v>
      </c>
      <c r="Z203" s="277">
        <v>0</v>
      </c>
      <c r="AA203" s="277">
        <v>0</v>
      </c>
      <c r="AB203" s="277">
        <v>0</v>
      </c>
      <c r="AC203" s="277">
        <v>0</v>
      </c>
      <c r="AD203" s="277">
        <v>0</v>
      </c>
      <c r="AE203" s="277">
        <v>0</v>
      </c>
      <c r="AF203" s="277">
        <v>0</v>
      </c>
      <c r="AG203" s="277">
        <v>0</v>
      </c>
      <c r="AH203" s="277">
        <v>0</v>
      </c>
      <c r="AI203" s="277">
        <v>0</v>
      </c>
      <c r="AJ203" s="277">
        <v>0</v>
      </c>
      <c r="AK203" s="277">
        <v>0</v>
      </c>
      <c r="AL203" s="277">
        <v>0</v>
      </c>
      <c r="AM203" s="277">
        <v>-708128.5</v>
      </c>
      <c r="AN203" s="277">
        <v>-566502.8</v>
      </c>
      <c r="AO203" s="277">
        <v>-141625.7</v>
      </c>
      <c r="AP203" s="277">
        <v>0</v>
      </c>
      <c r="AQ203" s="277">
        <v>-1416257</v>
      </c>
      <c r="AR203" s="277">
        <v>41315082</v>
      </c>
      <c r="AS203" s="277">
        <v>33269455</v>
      </c>
      <c r="AT203" s="277">
        <v>8263016</v>
      </c>
      <c r="AU203" s="277">
        <v>0</v>
      </c>
      <c r="AV203" s="277">
        <v>82847553</v>
      </c>
      <c r="AW203" s="277">
        <v>359193</v>
      </c>
      <c r="AX203" s="277">
        <v>89221</v>
      </c>
      <c r="AY203" s="277">
        <v>0</v>
      </c>
      <c r="AZ203" s="277">
        <v>448414</v>
      </c>
      <c r="BA203" s="277">
        <v>219992</v>
      </c>
      <c r="BB203" s="277">
        <v>54998</v>
      </c>
      <c r="BC203" s="277">
        <v>0</v>
      </c>
      <c r="BD203" s="277">
        <v>274990</v>
      </c>
      <c r="BE203" s="277">
        <v>6064</v>
      </c>
      <c r="BF203" s="277">
        <v>1516</v>
      </c>
      <c r="BG203" s="277">
        <v>0</v>
      </c>
      <c r="BH203" s="277">
        <v>7580</v>
      </c>
      <c r="BI203" s="277">
        <v>6064</v>
      </c>
      <c r="BJ203" s="277">
        <v>1516</v>
      </c>
      <c r="BK203" s="277">
        <v>0</v>
      </c>
      <c r="BL203" s="277">
        <v>7580</v>
      </c>
      <c r="BM203" s="277">
        <v>6064</v>
      </c>
      <c r="BN203" s="277">
        <v>1516</v>
      </c>
      <c r="BO203" s="277">
        <v>0</v>
      </c>
      <c r="BP203" s="277">
        <v>7580</v>
      </c>
      <c r="BQ203" s="277">
        <v>466500</v>
      </c>
      <c r="BR203" s="277">
        <v>116625</v>
      </c>
      <c r="BS203" s="277">
        <v>0</v>
      </c>
      <c r="BT203" s="277">
        <v>583125</v>
      </c>
      <c r="BU203" s="277">
        <v>1063877</v>
      </c>
      <c r="BV203" s="277">
        <v>265392</v>
      </c>
      <c r="BW203" s="277">
        <v>0</v>
      </c>
      <c r="BX203" s="277">
        <v>1329269</v>
      </c>
      <c r="BY203" s="278" t="s">
        <v>321</v>
      </c>
      <c r="BZ203" s="279" t="s">
        <v>1028</v>
      </c>
      <c r="CA203" s="280" t="s">
        <v>984</v>
      </c>
    </row>
    <row r="204" spans="1:79" ht="12.75">
      <c r="A204" s="169">
        <v>197</v>
      </c>
      <c r="B204" s="172" t="s">
        <v>323</v>
      </c>
      <c r="C204" s="258" t="s">
        <v>324</v>
      </c>
      <c r="D204" s="277">
        <v>18494963</v>
      </c>
      <c r="E204" s="277">
        <v>24075</v>
      </c>
      <c r="F204" s="277">
        <v>0</v>
      </c>
      <c r="G204" s="277">
        <v>136568</v>
      </c>
      <c r="H204" s="277">
        <v>0</v>
      </c>
      <c r="I204" s="277">
        <v>136568</v>
      </c>
      <c r="J204" s="277">
        <v>0</v>
      </c>
      <c r="K204" s="277">
        <v>0</v>
      </c>
      <c r="L204" s="277">
        <v>0</v>
      </c>
      <c r="M204" s="277">
        <v>0</v>
      </c>
      <c r="N204" s="277">
        <v>0</v>
      </c>
      <c r="O204" s="277">
        <v>0</v>
      </c>
      <c r="P204" s="277">
        <v>18382470</v>
      </c>
      <c r="Q204" s="277">
        <v>9191235</v>
      </c>
      <c r="R204" s="277">
        <v>7352988</v>
      </c>
      <c r="S204" s="277">
        <v>1654422</v>
      </c>
      <c r="T204" s="277">
        <v>183825</v>
      </c>
      <c r="U204" s="277">
        <v>18382470</v>
      </c>
      <c r="V204" s="277">
        <v>0</v>
      </c>
      <c r="W204" s="277">
        <v>9191235</v>
      </c>
      <c r="X204" s="277">
        <v>136568</v>
      </c>
      <c r="Y204" s="277">
        <v>136568</v>
      </c>
      <c r="Z204" s="277">
        <v>0</v>
      </c>
      <c r="AA204" s="277">
        <v>0</v>
      </c>
      <c r="AB204" s="277">
        <v>0</v>
      </c>
      <c r="AC204" s="277">
        <v>0</v>
      </c>
      <c r="AD204" s="277">
        <v>0</v>
      </c>
      <c r="AE204" s="277">
        <v>0</v>
      </c>
      <c r="AF204" s="277">
        <v>0</v>
      </c>
      <c r="AG204" s="277">
        <v>0</v>
      </c>
      <c r="AH204" s="277">
        <v>0</v>
      </c>
      <c r="AI204" s="277">
        <v>0</v>
      </c>
      <c r="AJ204" s="277">
        <v>0</v>
      </c>
      <c r="AK204" s="277">
        <v>0</v>
      </c>
      <c r="AL204" s="277">
        <v>0</v>
      </c>
      <c r="AM204" s="277">
        <v>-352149</v>
      </c>
      <c r="AN204" s="277">
        <v>-281719.2</v>
      </c>
      <c r="AO204" s="277">
        <v>-63386.82</v>
      </c>
      <c r="AP204" s="277">
        <v>-7042.98</v>
      </c>
      <c r="AQ204" s="277">
        <v>-704298</v>
      </c>
      <c r="AR204" s="277">
        <v>8839086</v>
      </c>
      <c r="AS204" s="277">
        <v>7207837</v>
      </c>
      <c r="AT204" s="277">
        <v>1591035</v>
      </c>
      <c r="AU204" s="277">
        <v>176782</v>
      </c>
      <c r="AV204" s="277">
        <v>17814740</v>
      </c>
      <c r="AW204" s="277">
        <v>79507</v>
      </c>
      <c r="AX204" s="277">
        <v>17563</v>
      </c>
      <c r="AY204" s="277">
        <v>1951</v>
      </c>
      <c r="AZ204" s="277">
        <v>99021</v>
      </c>
      <c r="BA204" s="277">
        <v>456056</v>
      </c>
      <c r="BB204" s="277">
        <v>102612</v>
      </c>
      <c r="BC204" s="277">
        <v>11401</v>
      </c>
      <c r="BD204" s="277">
        <v>570069</v>
      </c>
      <c r="BE204" s="277">
        <v>101345</v>
      </c>
      <c r="BF204" s="277">
        <v>22803</v>
      </c>
      <c r="BG204" s="277">
        <v>2534</v>
      </c>
      <c r="BH204" s="277">
        <v>126682</v>
      </c>
      <c r="BI204" s="277">
        <v>0</v>
      </c>
      <c r="BJ204" s="277">
        <v>0</v>
      </c>
      <c r="BK204" s="277">
        <v>0</v>
      </c>
      <c r="BL204" s="277">
        <v>0</v>
      </c>
      <c r="BM204" s="277">
        <v>0</v>
      </c>
      <c r="BN204" s="277">
        <v>0</v>
      </c>
      <c r="BO204" s="277">
        <v>0</v>
      </c>
      <c r="BP204" s="277">
        <v>0</v>
      </c>
      <c r="BQ204" s="277">
        <v>175931</v>
      </c>
      <c r="BR204" s="277">
        <v>39584</v>
      </c>
      <c r="BS204" s="277">
        <v>4398</v>
      </c>
      <c r="BT204" s="277">
        <v>219913</v>
      </c>
      <c r="BU204" s="277">
        <v>812839</v>
      </c>
      <c r="BV204" s="277">
        <v>182562</v>
      </c>
      <c r="BW204" s="277">
        <v>20284</v>
      </c>
      <c r="BX204" s="277">
        <v>1015685</v>
      </c>
      <c r="BY204" s="278" t="s">
        <v>323</v>
      </c>
      <c r="BZ204" s="279" t="s">
        <v>1022</v>
      </c>
      <c r="CA204" s="280" t="s">
        <v>1009</v>
      </c>
    </row>
    <row r="205" spans="1:79" ht="12.75">
      <c r="A205" s="169">
        <v>198</v>
      </c>
      <c r="B205" s="172" t="s">
        <v>325</v>
      </c>
      <c r="C205" s="258" t="s">
        <v>326</v>
      </c>
      <c r="D205" s="277">
        <v>91044025</v>
      </c>
      <c r="E205" s="277">
        <v>1546269</v>
      </c>
      <c r="F205" s="277">
        <v>0</v>
      </c>
      <c r="G205" s="277">
        <v>276677</v>
      </c>
      <c r="H205" s="277">
        <v>0</v>
      </c>
      <c r="I205" s="277">
        <v>276677</v>
      </c>
      <c r="J205" s="277">
        <v>0</v>
      </c>
      <c r="K205" s="277">
        <v>0</v>
      </c>
      <c r="L205" s="277">
        <v>0</v>
      </c>
      <c r="M205" s="277">
        <v>0</v>
      </c>
      <c r="N205" s="277">
        <v>0</v>
      </c>
      <c r="O205" s="277">
        <v>0</v>
      </c>
      <c r="P205" s="277">
        <v>92313617</v>
      </c>
      <c r="Q205" s="277">
        <v>46156809</v>
      </c>
      <c r="R205" s="277">
        <v>45233672</v>
      </c>
      <c r="S205" s="277">
        <v>0</v>
      </c>
      <c r="T205" s="277">
        <v>923136</v>
      </c>
      <c r="U205" s="277">
        <v>92313617</v>
      </c>
      <c r="V205" s="277">
        <v>0</v>
      </c>
      <c r="W205" s="277">
        <v>46156809</v>
      </c>
      <c r="X205" s="277">
        <v>276677</v>
      </c>
      <c r="Y205" s="277">
        <v>276677</v>
      </c>
      <c r="Z205" s="277">
        <v>0</v>
      </c>
      <c r="AA205" s="277">
        <v>0</v>
      </c>
      <c r="AB205" s="277">
        <v>0</v>
      </c>
      <c r="AC205" s="277">
        <v>0</v>
      </c>
      <c r="AD205" s="277">
        <v>0</v>
      </c>
      <c r="AE205" s="277">
        <v>0</v>
      </c>
      <c r="AF205" s="277">
        <v>0</v>
      </c>
      <c r="AG205" s="277">
        <v>0</v>
      </c>
      <c r="AH205" s="277">
        <v>0</v>
      </c>
      <c r="AI205" s="277">
        <v>0</v>
      </c>
      <c r="AJ205" s="277">
        <v>0</v>
      </c>
      <c r="AK205" s="277">
        <v>0</v>
      </c>
      <c r="AL205" s="277">
        <v>0</v>
      </c>
      <c r="AM205" s="277">
        <v>662505.5</v>
      </c>
      <c r="AN205" s="277">
        <v>649255.39</v>
      </c>
      <c r="AO205" s="277">
        <v>0</v>
      </c>
      <c r="AP205" s="277">
        <v>13250.11</v>
      </c>
      <c r="AQ205" s="277">
        <v>1325011</v>
      </c>
      <c r="AR205" s="277">
        <v>46819315</v>
      </c>
      <c r="AS205" s="277">
        <v>46159604</v>
      </c>
      <c r="AT205" s="277">
        <v>0</v>
      </c>
      <c r="AU205" s="277">
        <v>936386</v>
      </c>
      <c r="AV205" s="277">
        <v>93915305</v>
      </c>
      <c r="AW205" s="277">
        <v>483125</v>
      </c>
      <c r="AX205" s="277">
        <v>0</v>
      </c>
      <c r="AY205" s="277">
        <v>9800</v>
      </c>
      <c r="AZ205" s="277">
        <v>492925</v>
      </c>
      <c r="BA205" s="277">
        <v>706194</v>
      </c>
      <c r="BB205" s="277">
        <v>0</v>
      </c>
      <c r="BC205" s="277">
        <v>14412</v>
      </c>
      <c r="BD205" s="277">
        <v>720606</v>
      </c>
      <c r="BE205" s="277">
        <v>0</v>
      </c>
      <c r="BF205" s="277">
        <v>0</v>
      </c>
      <c r="BG205" s="277">
        <v>0</v>
      </c>
      <c r="BH205" s="277">
        <v>0</v>
      </c>
      <c r="BI205" s="277">
        <v>0</v>
      </c>
      <c r="BJ205" s="277">
        <v>0</v>
      </c>
      <c r="BK205" s="277">
        <v>0</v>
      </c>
      <c r="BL205" s="277">
        <v>0</v>
      </c>
      <c r="BM205" s="277">
        <v>0</v>
      </c>
      <c r="BN205" s="277">
        <v>0</v>
      </c>
      <c r="BO205" s="277">
        <v>0</v>
      </c>
      <c r="BP205" s="277">
        <v>0</v>
      </c>
      <c r="BQ205" s="277">
        <v>334469</v>
      </c>
      <c r="BR205" s="277">
        <v>0</v>
      </c>
      <c r="BS205" s="277">
        <v>6826</v>
      </c>
      <c r="BT205" s="277">
        <v>341295</v>
      </c>
      <c r="BU205" s="277">
        <v>1523788</v>
      </c>
      <c r="BV205" s="277">
        <v>0</v>
      </c>
      <c r="BW205" s="277">
        <v>31038</v>
      </c>
      <c r="BX205" s="277">
        <v>1554826</v>
      </c>
      <c r="BY205" s="278" t="s">
        <v>909</v>
      </c>
      <c r="BZ205" s="279" t="s">
        <v>1003</v>
      </c>
      <c r="CA205" s="280" t="s">
        <v>1024</v>
      </c>
    </row>
    <row r="206" spans="1:79" ht="12.75">
      <c r="A206" s="169">
        <v>199</v>
      </c>
      <c r="B206" s="172" t="s">
        <v>327</v>
      </c>
      <c r="C206" s="258" t="s">
        <v>328</v>
      </c>
      <c r="D206" s="277">
        <v>88493434.8</v>
      </c>
      <c r="E206" s="277">
        <v>0</v>
      </c>
      <c r="F206" s="277">
        <v>70502</v>
      </c>
      <c r="G206" s="277">
        <v>308695</v>
      </c>
      <c r="H206" s="277">
        <v>0</v>
      </c>
      <c r="I206" s="277">
        <v>308695</v>
      </c>
      <c r="J206" s="277">
        <v>0</v>
      </c>
      <c r="K206" s="277">
        <v>0</v>
      </c>
      <c r="L206" s="277">
        <v>0</v>
      </c>
      <c r="M206" s="277">
        <v>208433</v>
      </c>
      <c r="N206" s="277">
        <v>208433</v>
      </c>
      <c r="O206" s="277">
        <v>0</v>
      </c>
      <c r="P206" s="277">
        <v>87905804.8</v>
      </c>
      <c r="Q206" s="277">
        <v>43952902.8</v>
      </c>
      <c r="R206" s="277">
        <v>43073844</v>
      </c>
      <c r="S206" s="277">
        <v>0</v>
      </c>
      <c r="T206" s="277">
        <v>879058</v>
      </c>
      <c r="U206" s="277">
        <v>87905805</v>
      </c>
      <c r="V206" s="277">
        <v>0</v>
      </c>
      <c r="W206" s="277">
        <v>43952902.8</v>
      </c>
      <c r="X206" s="277">
        <v>308695</v>
      </c>
      <c r="Y206" s="277">
        <v>308695</v>
      </c>
      <c r="Z206" s="277">
        <v>0</v>
      </c>
      <c r="AA206" s="277">
        <v>0</v>
      </c>
      <c r="AB206" s="277">
        <v>0</v>
      </c>
      <c r="AC206" s="277">
        <v>0</v>
      </c>
      <c r="AD206" s="277">
        <v>208433</v>
      </c>
      <c r="AE206" s="277">
        <v>0</v>
      </c>
      <c r="AF206" s="277">
        <v>208433</v>
      </c>
      <c r="AG206" s="277">
        <v>0</v>
      </c>
      <c r="AH206" s="277">
        <v>0</v>
      </c>
      <c r="AI206" s="277">
        <v>0</v>
      </c>
      <c r="AJ206" s="277">
        <v>0</v>
      </c>
      <c r="AK206" s="277">
        <v>0</v>
      </c>
      <c r="AL206" s="277">
        <v>0</v>
      </c>
      <c r="AM206" s="277">
        <v>145695.5</v>
      </c>
      <c r="AN206" s="277">
        <v>142781.59</v>
      </c>
      <c r="AO206" s="277">
        <v>0</v>
      </c>
      <c r="AP206" s="277">
        <v>2913.91</v>
      </c>
      <c r="AQ206" s="277">
        <v>291391</v>
      </c>
      <c r="AR206" s="277">
        <v>44098598</v>
      </c>
      <c r="AS206" s="277">
        <v>43733754</v>
      </c>
      <c r="AT206" s="277">
        <v>0</v>
      </c>
      <c r="AU206" s="277">
        <v>881972</v>
      </c>
      <c r="AV206" s="277">
        <v>88714324</v>
      </c>
      <c r="AW206" s="277">
        <v>462749</v>
      </c>
      <c r="AX206" s="277">
        <v>0</v>
      </c>
      <c r="AY206" s="277">
        <v>9332</v>
      </c>
      <c r="AZ206" s="277">
        <v>472081</v>
      </c>
      <c r="BA206" s="277">
        <v>1021759</v>
      </c>
      <c r="BB206" s="277">
        <v>0</v>
      </c>
      <c r="BC206" s="277">
        <v>20852</v>
      </c>
      <c r="BD206" s="277">
        <v>1042611</v>
      </c>
      <c r="BE206" s="277">
        <v>0</v>
      </c>
      <c r="BF206" s="277">
        <v>0</v>
      </c>
      <c r="BG206" s="277">
        <v>0</v>
      </c>
      <c r="BH206" s="277">
        <v>0</v>
      </c>
      <c r="BI206" s="277">
        <v>0</v>
      </c>
      <c r="BJ206" s="277">
        <v>0</v>
      </c>
      <c r="BK206" s="277">
        <v>0</v>
      </c>
      <c r="BL206" s="277">
        <v>0</v>
      </c>
      <c r="BM206" s="277">
        <v>409101</v>
      </c>
      <c r="BN206" s="277">
        <v>0</v>
      </c>
      <c r="BO206" s="277">
        <v>8349</v>
      </c>
      <c r="BP206" s="277">
        <v>417450</v>
      </c>
      <c r="BQ206" s="277">
        <v>543642</v>
      </c>
      <c r="BR206" s="277">
        <v>0</v>
      </c>
      <c r="BS206" s="277">
        <v>11095</v>
      </c>
      <c r="BT206" s="277">
        <v>554737</v>
      </c>
      <c r="BU206" s="277">
        <v>2437251</v>
      </c>
      <c r="BV206" s="277">
        <v>0</v>
      </c>
      <c r="BW206" s="277">
        <v>49628</v>
      </c>
      <c r="BX206" s="277">
        <v>2486879</v>
      </c>
      <c r="BY206" s="278" t="s">
        <v>910</v>
      </c>
      <c r="BZ206" s="279" t="s">
        <v>1003</v>
      </c>
      <c r="CA206" s="280" t="s">
        <v>1037</v>
      </c>
    </row>
    <row r="207" spans="1:79" ht="12.75">
      <c r="A207" s="169">
        <v>200</v>
      </c>
      <c r="B207" s="172" t="s">
        <v>329</v>
      </c>
      <c r="C207" s="258" t="s">
        <v>330</v>
      </c>
      <c r="D207" s="277">
        <v>58603826.8</v>
      </c>
      <c r="E207" s="277">
        <v>17985</v>
      </c>
      <c r="F207" s="277">
        <v>0</v>
      </c>
      <c r="G207" s="277">
        <v>239436</v>
      </c>
      <c r="H207" s="277">
        <v>0</v>
      </c>
      <c r="I207" s="277">
        <v>239436</v>
      </c>
      <c r="J207" s="277">
        <v>0</v>
      </c>
      <c r="K207" s="277">
        <v>0</v>
      </c>
      <c r="L207" s="277">
        <v>0</v>
      </c>
      <c r="M207" s="277">
        <v>0</v>
      </c>
      <c r="N207" s="277">
        <v>0</v>
      </c>
      <c r="O207" s="277">
        <v>0</v>
      </c>
      <c r="P207" s="277">
        <v>58382375.8</v>
      </c>
      <c r="Q207" s="277">
        <v>29191187.8</v>
      </c>
      <c r="R207" s="277">
        <v>28607364</v>
      </c>
      <c r="S207" s="277">
        <v>0</v>
      </c>
      <c r="T207" s="277">
        <v>583824</v>
      </c>
      <c r="U207" s="277">
        <v>58382376</v>
      </c>
      <c r="V207" s="277">
        <v>0</v>
      </c>
      <c r="W207" s="277">
        <v>29191187.8</v>
      </c>
      <c r="X207" s="277">
        <v>239436</v>
      </c>
      <c r="Y207" s="277">
        <v>239436</v>
      </c>
      <c r="Z207" s="277">
        <v>0</v>
      </c>
      <c r="AA207" s="277">
        <v>0</v>
      </c>
      <c r="AB207" s="277">
        <v>0</v>
      </c>
      <c r="AC207" s="277">
        <v>0</v>
      </c>
      <c r="AD207" s="277">
        <v>0</v>
      </c>
      <c r="AE207" s="277">
        <v>0</v>
      </c>
      <c r="AF207" s="277">
        <v>0</v>
      </c>
      <c r="AG207" s="277">
        <v>0</v>
      </c>
      <c r="AH207" s="277">
        <v>0</v>
      </c>
      <c r="AI207" s="277">
        <v>0</v>
      </c>
      <c r="AJ207" s="277">
        <v>0</v>
      </c>
      <c r="AK207" s="277">
        <v>0</v>
      </c>
      <c r="AL207" s="277">
        <v>0</v>
      </c>
      <c r="AM207" s="277">
        <v>-345716.5</v>
      </c>
      <c r="AN207" s="277">
        <v>-338802.17</v>
      </c>
      <c r="AO207" s="277">
        <v>0</v>
      </c>
      <c r="AP207" s="277">
        <v>-6914.33</v>
      </c>
      <c r="AQ207" s="277">
        <v>-691433</v>
      </c>
      <c r="AR207" s="277">
        <v>28845471</v>
      </c>
      <c r="AS207" s="277">
        <v>28507998</v>
      </c>
      <c r="AT207" s="277">
        <v>0</v>
      </c>
      <c r="AU207" s="277">
        <v>576910</v>
      </c>
      <c r="AV207" s="277">
        <v>57930379</v>
      </c>
      <c r="AW207" s="277">
        <v>306229</v>
      </c>
      <c r="AX207" s="277">
        <v>0</v>
      </c>
      <c r="AY207" s="277">
        <v>6198</v>
      </c>
      <c r="AZ207" s="277">
        <v>312427</v>
      </c>
      <c r="BA207" s="277">
        <v>718210</v>
      </c>
      <c r="BB207" s="277">
        <v>0</v>
      </c>
      <c r="BC207" s="277">
        <v>14657</v>
      </c>
      <c r="BD207" s="277">
        <v>732867</v>
      </c>
      <c r="BE207" s="277">
        <v>0</v>
      </c>
      <c r="BF207" s="277">
        <v>0</v>
      </c>
      <c r="BG207" s="277">
        <v>0</v>
      </c>
      <c r="BH207" s="277">
        <v>0</v>
      </c>
      <c r="BI207" s="277">
        <v>0</v>
      </c>
      <c r="BJ207" s="277">
        <v>0</v>
      </c>
      <c r="BK207" s="277">
        <v>0</v>
      </c>
      <c r="BL207" s="277">
        <v>0</v>
      </c>
      <c r="BM207" s="277">
        <v>0</v>
      </c>
      <c r="BN207" s="277">
        <v>0</v>
      </c>
      <c r="BO207" s="277">
        <v>0</v>
      </c>
      <c r="BP207" s="277">
        <v>0</v>
      </c>
      <c r="BQ207" s="277">
        <v>404029</v>
      </c>
      <c r="BR207" s="277">
        <v>0</v>
      </c>
      <c r="BS207" s="277">
        <v>8245</v>
      </c>
      <c r="BT207" s="277">
        <v>412274</v>
      </c>
      <c r="BU207" s="277">
        <v>1428468</v>
      </c>
      <c r="BV207" s="277">
        <v>0</v>
      </c>
      <c r="BW207" s="277">
        <v>29100</v>
      </c>
      <c r="BX207" s="277">
        <v>1457568</v>
      </c>
      <c r="BY207" s="278" t="s">
        <v>911</v>
      </c>
      <c r="BZ207" s="279" t="s">
        <v>1003</v>
      </c>
      <c r="CA207" s="280" t="s">
        <v>1012</v>
      </c>
    </row>
    <row r="208" spans="1:79" ht="12.75">
      <c r="A208" s="169">
        <v>201</v>
      </c>
      <c r="B208" s="172" t="s">
        <v>331</v>
      </c>
      <c r="C208" s="258" t="s">
        <v>332</v>
      </c>
      <c r="D208" s="277">
        <v>81326877</v>
      </c>
      <c r="E208" s="277">
        <v>0</v>
      </c>
      <c r="F208" s="277">
        <v>417574</v>
      </c>
      <c r="G208" s="277">
        <v>281877</v>
      </c>
      <c r="H208" s="277">
        <v>0</v>
      </c>
      <c r="I208" s="277">
        <v>281877</v>
      </c>
      <c r="J208" s="277">
        <v>0</v>
      </c>
      <c r="K208" s="277">
        <v>0</v>
      </c>
      <c r="L208" s="277">
        <v>0</v>
      </c>
      <c r="M208" s="277">
        <v>0</v>
      </c>
      <c r="N208" s="277">
        <v>0</v>
      </c>
      <c r="O208" s="277">
        <v>0</v>
      </c>
      <c r="P208" s="277">
        <v>80627426</v>
      </c>
      <c r="Q208" s="277">
        <v>40313713</v>
      </c>
      <c r="R208" s="277">
        <v>39507439</v>
      </c>
      <c r="S208" s="277">
        <v>0</v>
      </c>
      <c r="T208" s="277">
        <v>806274</v>
      </c>
      <c r="U208" s="277">
        <v>80627426</v>
      </c>
      <c r="V208" s="277">
        <v>0</v>
      </c>
      <c r="W208" s="277">
        <v>40313713</v>
      </c>
      <c r="X208" s="277">
        <v>281877</v>
      </c>
      <c r="Y208" s="277">
        <v>281877</v>
      </c>
      <c r="Z208" s="277">
        <v>0</v>
      </c>
      <c r="AA208" s="277">
        <v>0</v>
      </c>
      <c r="AB208" s="277">
        <v>0</v>
      </c>
      <c r="AC208" s="277">
        <v>0</v>
      </c>
      <c r="AD208" s="277">
        <v>0</v>
      </c>
      <c r="AE208" s="277">
        <v>0</v>
      </c>
      <c r="AF208" s="277">
        <v>0</v>
      </c>
      <c r="AG208" s="277">
        <v>0</v>
      </c>
      <c r="AH208" s="277">
        <v>0</v>
      </c>
      <c r="AI208" s="277">
        <v>0</v>
      </c>
      <c r="AJ208" s="277">
        <v>0</v>
      </c>
      <c r="AK208" s="277">
        <v>0</v>
      </c>
      <c r="AL208" s="277">
        <v>0</v>
      </c>
      <c r="AM208" s="277">
        <v>-7148313</v>
      </c>
      <c r="AN208" s="277">
        <v>-7005346.7</v>
      </c>
      <c r="AO208" s="277">
        <v>0</v>
      </c>
      <c r="AP208" s="277">
        <v>-142966.26</v>
      </c>
      <c r="AQ208" s="277">
        <v>-14296626</v>
      </c>
      <c r="AR208" s="277">
        <v>33165400</v>
      </c>
      <c r="AS208" s="277">
        <v>32783969</v>
      </c>
      <c r="AT208" s="277">
        <v>0</v>
      </c>
      <c r="AU208" s="277">
        <v>663308</v>
      </c>
      <c r="AV208" s="277">
        <v>66612677</v>
      </c>
      <c r="AW208" s="277">
        <v>422392</v>
      </c>
      <c r="AX208" s="277">
        <v>0</v>
      </c>
      <c r="AY208" s="277">
        <v>8559</v>
      </c>
      <c r="AZ208" s="277">
        <v>430951</v>
      </c>
      <c r="BA208" s="277">
        <v>822342</v>
      </c>
      <c r="BB208" s="277">
        <v>0</v>
      </c>
      <c r="BC208" s="277">
        <v>16783</v>
      </c>
      <c r="BD208" s="277">
        <v>839125</v>
      </c>
      <c r="BE208" s="277">
        <v>4952</v>
      </c>
      <c r="BF208" s="277">
        <v>0</v>
      </c>
      <c r="BG208" s="277">
        <v>101</v>
      </c>
      <c r="BH208" s="277">
        <v>5053</v>
      </c>
      <c r="BI208" s="277">
        <v>2476</v>
      </c>
      <c r="BJ208" s="277">
        <v>0</v>
      </c>
      <c r="BK208" s="277">
        <v>51</v>
      </c>
      <c r="BL208" s="277">
        <v>2527</v>
      </c>
      <c r="BM208" s="277">
        <v>20010</v>
      </c>
      <c r="BN208" s="277">
        <v>0</v>
      </c>
      <c r="BO208" s="277">
        <v>202</v>
      </c>
      <c r="BP208" s="277">
        <v>20212</v>
      </c>
      <c r="BQ208" s="277">
        <v>560636</v>
      </c>
      <c r="BR208" s="277">
        <v>0</v>
      </c>
      <c r="BS208" s="277">
        <v>5663</v>
      </c>
      <c r="BT208" s="277">
        <v>566299</v>
      </c>
      <c r="BU208" s="277">
        <v>1832808</v>
      </c>
      <c r="BV208" s="277">
        <v>0</v>
      </c>
      <c r="BW208" s="277">
        <v>31359</v>
      </c>
      <c r="BX208" s="277">
        <v>1864167</v>
      </c>
      <c r="BY208" s="278" t="s">
        <v>912</v>
      </c>
      <c r="BZ208" s="279" t="s">
        <v>1003</v>
      </c>
      <c r="CA208" s="280" t="s">
        <v>1001</v>
      </c>
    </row>
    <row r="209" spans="1:79" ht="12.75">
      <c r="A209" s="169">
        <v>202</v>
      </c>
      <c r="B209" s="172" t="s">
        <v>333</v>
      </c>
      <c r="C209" s="258" t="s">
        <v>334</v>
      </c>
      <c r="D209" s="277">
        <v>65568135.6</v>
      </c>
      <c r="E209" s="277">
        <v>172920.02</v>
      </c>
      <c r="F209" s="277">
        <v>0</v>
      </c>
      <c r="G209" s="277">
        <v>239602</v>
      </c>
      <c r="H209" s="277">
        <v>0</v>
      </c>
      <c r="I209" s="277">
        <v>239602</v>
      </c>
      <c r="J209" s="277">
        <v>0</v>
      </c>
      <c r="K209" s="277">
        <v>0</v>
      </c>
      <c r="L209" s="277">
        <v>0</v>
      </c>
      <c r="M209" s="277">
        <v>0</v>
      </c>
      <c r="N209" s="277">
        <v>0</v>
      </c>
      <c r="O209" s="277">
        <v>0</v>
      </c>
      <c r="P209" s="277">
        <v>65501453.6</v>
      </c>
      <c r="Q209" s="277">
        <v>32750726.6</v>
      </c>
      <c r="R209" s="277">
        <v>26200581</v>
      </c>
      <c r="S209" s="277">
        <v>5895131</v>
      </c>
      <c r="T209" s="277">
        <v>655015</v>
      </c>
      <c r="U209" s="277">
        <v>65501454</v>
      </c>
      <c r="V209" s="277">
        <v>0</v>
      </c>
      <c r="W209" s="277">
        <v>32750726.6</v>
      </c>
      <c r="X209" s="277">
        <v>239602</v>
      </c>
      <c r="Y209" s="277">
        <v>239602</v>
      </c>
      <c r="Z209" s="277">
        <v>0</v>
      </c>
      <c r="AA209" s="277">
        <v>0</v>
      </c>
      <c r="AB209" s="277">
        <v>0</v>
      </c>
      <c r="AC209" s="277">
        <v>0</v>
      </c>
      <c r="AD209" s="277">
        <v>0</v>
      </c>
      <c r="AE209" s="277">
        <v>0</v>
      </c>
      <c r="AF209" s="277">
        <v>0</v>
      </c>
      <c r="AG209" s="277">
        <v>0</v>
      </c>
      <c r="AH209" s="277">
        <v>0</v>
      </c>
      <c r="AI209" s="277">
        <v>0</v>
      </c>
      <c r="AJ209" s="277">
        <v>0</v>
      </c>
      <c r="AK209" s="277">
        <v>0</v>
      </c>
      <c r="AL209" s="277">
        <v>0</v>
      </c>
      <c r="AM209" s="277">
        <v>-1224186</v>
      </c>
      <c r="AN209" s="277">
        <v>-979348.8</v>
      </c>
      <c r="AO209" s="277">
        <v>-220353.48</v>
      </c>
      <c r="AP209" s="277">
        <v>-24483.72</v>
      </c>
      <c r="AQ209" s="277">
        <v>-2448372</v>
      </c>
      <c r="AR209" s="277">
        <v>31526541</v>
      </c>
      <c r="AS209" s="277">
        <v>25460834</v>
      </c>
      <c r="AT209" s="277">
        <v>5674778</v>
      </c>
      <c r="AU209" s="277">
        <v>630531</v>
      </c>
      <c r="AV209" s="277">
        <v>63292684</v>
      </c>
      <c r="AW209" s="277">
        <v>280681</v>
      </c>
      <c r="AX209" s="277">
        <v>62581</v>
      </c>
      <c r="AY209" s="277">
        <v>6953</v>
      </c>
      <c r="AZ209" s="277">
        <v>350215</v>
      </c>
      <c r="BA209" s="277">
        <v>645893</v>
      </c>
      <c r="BB209" s="277">
        <v>145326</v>
      </c>
      <c r="BC209" s="277">
        <v>16147</v>
      </c>
      <c r="BD209" s="277">
        <v>807366</v>
      </c>
      <c r="BE209" s="277">
        <v>0</v>
      </c>
      <c r="BF209" s="277">
        <v>0</v>
      </c>
      <c r="BG209" s="277">
        <v>0</v>
      </c>
      <c r="BH209" s="277">
        <v>0</v>
      </c>
      <c r="BI209" s="277">
        <v>0</v>
      </c>
      <c r="BJ209" s="277">
        <v>0</v>
      </c>
      <c r="BK209" s="277">
        <v>0</v>
      </c>
      <c r="BL209" s="277">
        <v>0</v>
      </c>
      <c r="BM209" s="277">
        <v>55863</v>
      </c>
      <c r="BN209" s="277">
        <v>12569</v>
      </c>
      <c r="BO209" s="277">
        <v>1397</v>
      </c>
      <c r="BP209" s="277">
        <v>69829</v>
      </c>
      <c r="BQ209" s="277">
        <v>319762</v>
      </c>
      <c r="BR209" s="277">
        <v>71947</v>
      </c>
      <c r="BS209" s="277">
        <v>7994</v>
      </c>
      <c r="BT209" s="277">
        <v>399703</v>
      </c>
      <c r="BU209" s="277">
        <v>1302199</v>
      </c>
      <c r="BV209" s="277">
        <v>292423</v>
      </c>
      <c r="BW209" s="277">
        <v>32491</v>
      </c>
      <c r="BX209" s="277">
        <v>1627113</v>
      </c>
      <c r="BY209" s="278" t="s">
        <v>333</v>
      </c>
      <c r="BZ209" s="279" t="s">
        <v>1022</v>
      </c>
      <c r="CA209" s="280" t="s">
        <v>1009</v>
      </c>
    </row>
    <row r="210" spans="1:79" ht="12.75">
      <c r="A210" s="169">
        <v>203</v>
      </c>
      <c r="B210" s="172" t="s">
        <v>335</v>
      </c>
      <c r="C210" s="258" t="s">
        <v>336</v>
      </c>
      <c r="D210" s="277">
        <v>16449530</v>
      </c>
      <c r="E210" s="277">
        <v>64257</v>
      </c>
      <c r="F210" s="277">
        <v>0</v>
      </c>
      <c r="G210" s="277">
        <v>94366</v>
      </c>
      <c r="H210" s="277">
        <v>0</v>
      </c>
      <c r="I210" s="277">
        <v>94366</v>
      </c>
      <c r="J210" s="277">
        <v>0</v>
      </c>
      <c r="K210" s="277">
        <v>0</v>
      </c>
      <c r="L210" s="277">
        <v>0</v>
      </c>
      <c r="M210" s="277">
        <v>0</v>
      </c>
      <c r="N210" s="277">
        <v>0</v>
      </c>
      <c r="O210" s="277">
        <v>0</v>
      </c>
      <c r="P210" s="277">
        <v>16419421</v>
      </c>
      <c r="Q210" s="277">
        <v>8209711</v>
      </c>
      <c r="R210" s="277">
        <v>6567768</v>
      </c>
      <c r="S210" s="277">
        <v>1477748</v>
      </c>
      <c r="T210" s="277">
        <v>164194</v>
      </c>
      <c r="U210" s="277">
        <v>16419421</v>
      </c>
      <c r="V210" s="277">
        <v>0</v>
      </c>
      <c r="W210" s="277">
        <v>8209711</v>
      </c>
      <c r="X210" s="277">
        <v>94366</v>
      </c>
      <c r="Y210" s="277">
        <v>94366</v>
      </c>
      <c r="Z210" s="277">
        <v>0</v>
      </c>
      <c r="AA210" s="277">
        <v>0</v>
      </c>
      <c r="AB210" s="277">
        <v>0</v>
      </c>
      <c r="AC210" s="277">
        <v>0</v>
      </c>
      <c r="AD210" s="277">
        <v>0</v>
      </c>
      <c r="AE210" s="277">
        <v>0</v>
      </c>
      <c r="AF210" s="277">
        <v>0</v>
      </c>
      <c r="AG210" s="277">
        <v>0</v>
      </c>
      <c r="AH210" s="277">
        <v>0</v>
      </c>
      <c r="AI210" s="277">
        <v>0</v>
      </c>
      <c r="AJ210" s="277">
        <v>0</v>
      </c>
      <c r="AK210" s="277">
        <v>0</v>
      </c>
      <c r="AL210" s="277">
        <v>0</v>
      </c>
      <c r="AM210" s="277">
        <v>225194.5</v>
      </c>
      <c r="AN210" s="277">
        <v>180155.6</v>
      </c>
      <c r="AO210" s="277">
        <v>40535.01</v>
      </c>
      <c r="AP210" s="277">
        <v>4503.89</v>
      </c>
      <c r="AQ210" s="277">
        <v>450389</v>
      </c>
      <c r="AR210" s="277">
        <v>8434906</v>
      </c>
      <c r="AS210" s="277">
        <v>6842290</v>
      </c>
      <c r="AT210" s="277">
        <v>1518283</v>
      </c>
      <c r="AU210" s="277">
        <v>168698</v>
      </c>
      <c r="AV210" s="277">
        <v>16964176</v>
      </c>
      <c r="AW210" s="277">
        <v>70723</v>
      </c>
      <c r="AX210" s="277">
        <v>15687</v>
      </c>
      <c r="AY210" s="277">
        <v>1743</v>
      </c>
      <c r="AZ210" s="277">
        <v>88153</v>
      </c>
      <c r="BA210" s="277">
        <v>316123</v>
      </c>
      <c r="BB210" s="277">
        <v>71128</v>
      </c>
      <c r="BC210" s="277">
        <v>7903</v>
      </c>
      <c r="BD210" s="277">
        <v>395154</v>
      </c>
      <c r="BE210" s="277">
        <v>6386</v>
      </c>
      <c r="BF210" s="277">
        <v>1437</v>
      </c>
      <c r="BG210" s="277">
        <v>160</v>
      </c>
      <c r="BH210" s="277">
        <v>7983</v>
      </c>
      <c r="BI210" s="277">
        <v>4851</v>
      </c>
      <c r="BJ210" s="277">
        <v>1092</v>
      </c>
      <c r="BK210" s="277">
        <v>121</v>
      </c>
      <c r="BL210" s="277">
        <v>6064</v>
      </c>
      <c r="BM210" s="277">
        <v>0</v>
      </c>
      <c r="BN210" s="277">
        <v>0</v>
      </c>
      <c r="BO210" s="277">
        <v>0</v>
      </c>
      <c r="BP210" s="277">
        <v>0</v>
      </c>
      <c r="BQ210" s="277">
        <v>107934</v>
      </c>
      <c r="BR210" s="277">
        <v>24285</v>
      </c>
      <c r="BS210" s="277">
        <v>2698</v>
      </c>
      <c r="BT210" s="277">
        <v>134917</v>
      </c>
      <c r="BU210" s="277">
        <v>506017</v>
      </c>
      <c r="BV210" s="277">
        <v>113629</v>
      </c>
      <c r="BW210" s="277">
        <v>12625</v>
      </c>
      <c r="BX210" s="277">
        <v>632271</v>
      </c>
      <c r="BY210" s="278" t="s">
        <v>335</v>
      </c>
      <c r="BZ210" s="279" t="s">
        <v>1030</v>
      </c>
      <c r="CA210" s="280" t="s">
        <v>1012</v>
      </c>
    </row>
    <row r="211" spans="1:79" ht="12.75">
      <c r="A211" s="169">
        <v>204</v>
      </c>
      <c r="B211" s="172" t="s">
        <v>337</v>
      </c>
      <c r="C211" s="258" t="s">
        <v>338</v>
      </c>
      <c r="D211" s="277">
        <v>100205468</v>
      </c>
      <c r="E211" s="277">
        <v>242684.56</v>
      </c>
      <c r="F211" s="277">
        <v>0</v>
      </c>
      <c r="G211" s="277">
        <v>271390</v>
      </c>
      <c r="H211" s="277">
        <v>0</v>
      </c>
      <c r="I211" s="277">
        <v>271390</v>
      </c>
      <c r="J211" s="277">
        <v>0</v>
      </c>
      <c r="K211" s="277">
        <v>0</v>
      </c>
      <c r="L211" s="277">
        <v>0</v>
      </c>
      <c r="M211" s="277">
        <v>0</v>
      </c>
      <c r="N211" s="277">
        <v>0</v>
      </c>
      <c r="O211" s="277">
        <v>0</v>
      </c>
      <c r="P211" s="277">
        <v>100176763</v>
      </c>
      <c r="Q211" s="277">
        <v>50088381</v>
      </c>
      <c r="R211" s="277">
        <v>49086614</v>
      </c>
      <c r="S211" s="277">
        <v>0</v>
      </c>
      <c r="T211" s="277">
        <v>1001768</v>
      </c>
      <c r="U211" s="277">
        <v>100176763</v>
      </c>
      <c r="V211" s="277">
        <v>0</v>
      </c>
      <c r="W211" s="277">
        <v>50088381</v>
      </c>
      <c r="X211" s="277">
        <v>271390</v>
      </c>
      <c r="Y211" s="277">
        <v>271390</v>
      </c>
      <c r="Z211" s="277">
        <v>0</v>
      </c>
      <c r="AA211" s="277">
        <v>0</v>
      </c>
      <c r="AB211" s="277">
        <v>0</v>
      </c>
      <c r="AC211" s="277">
        <v>0</v>
      </c>
      <c r="AD211" s="277">
        <v>0</v>
      </c>
      <c r="AE211" s="277">
        <v>0</v>
      </c>
      <c r="AF211" s="277">
        <v>0</v>
      </c>
      <c r="AG211" s="277">
        <v>0</v>
      </c>
      <c r="AH211" s="277">
        <v>0</v>
      </c>
      <c r="AI211" s="277">
        <v>0</v>
      </c>
      <c r="AJ211" s="277">
        <v>0</v>
      </c>
      <c r="AK211" s="277">
        <v>0</v>
      </c>
      <c r="AL211" s="277">
        <v>0</v>
      </c>
      <c r="AM211" s="277">
        <v>206480</v>
      </c>
      <c r="AN211" s="277">
        <v>202350.4</v>
      </c>
      <c r="AO211" s="277">
        <v>0</v>
      </c>
      <c r="AP211" s="277">
        <v>4129.6</v>
      </c>
      <c r="AQ211" s="277">
        <v>412959.99</v>
      </c>
      <c r="AR211" s="277">
        <v>50294861</v>
      </c>
      <c r="AS211" s="277">
        <v>49560354</v>
      </c>
      <c r="AT211" s="277">
        <v>0</v>
      </c>
      <c r="AU211" s="277">
        <v>1005898</v>
      </c>
      <c r="AV211" s="277">
        <v>100861113</v>
      </c>
      <c r="AW211" s="277">
        <v>523970</v>
      </c>
      <c r="AX211" s="277">
        <v>0</v>
      </c>
      <c r="AY211" s="277">
        <v>10634</v>
      </c>
      <c r="AZ211" s="277">
        <v>534604</v>
      </c>
      <c r="BA211" s="277">
        <v>401982</v>
      </c>
      <c r="BB211" s="277">
        <v>0</v>
      </c>
      <c r="BC211" s="277">
        <v>8204</v>
      </c>
      <c r="BD211" s="277">
        <v>410186</v>
      </c>
      <c r="BE211" s="277">
        <v>0</v>
      </c>
      <c r="BF211" s="277">
        <v>0</v>
      </c>
      <c r="BG211" s="277">
        <v>0</v>
      </c>
      <c r="BH211" s="277">
        <v>0</v>
      </c>
      <c r="BI211" s="277">
        <v>0</v>
      </c>
      <c r="BJ211" s="277">
        <v>0</v>
      </c>
      <c r="BK211" s="277">
        <v>0</v>
      </c>
      <c r="BL211" s="277">
        <v>0</v>
      </c>
      <c r="BM211" s="277">
        <v>0</v>
      </c>
      <c r="BN211" s="277">
        <v>0</v>
      </c>
      <c r="BO211" s="277">
        <v>0</v>
      </c>
      <c r="BP211" s="277">
        <v>0</v>
      </c>
      <c r="BQ211" s="277">
        <v>0</v>
      </c>
      <c r="BR211" s="277">
        <v>0</v>
      </c>
      <c r="BS211" s="277">
        <v>0</v>
      </c>
      <c r="BT211" s="277">
        <v>0</v>
      </c>
      <c r="BU211" s="277">
        <v>925952</v>
      </c>
      <c r="BV211" s="277">
        <v>0</v>
      </c>
      <c r="BW211" s="277">
        <v>18838</v>
      </c>
      <c r="BX211" s="277">
        <v>944790</v>
      </c>
      <c r="BY211" s="278" t="s">
        <v>913</v>
      </c>
      <c r="BZ211" s="279" t="s">
        <v>1003</v>
      </c>
      <c r="CA211" s="280" t="s">
        <v>1013</v>
      </c>
    </row>
    <row r="212" spans="1:79" ht="12.75">
      <c r="A212" s="169">
        <v>205</v>
      </c>
      <c r="B212" s="172" t="s">
        <v>339</v>
      </c>
      <c r="C212" s="258" t="s">
        <v>340</v>
      </c>
      <c r="D212" s="277">
        <v>47933073</v>
      </c>
      <c r="E212" s="277">
        <v>130930</v>
      </c>
      <c r="F212" s="277">
        <v>0</v>
      </c>
      <c r="G212" s="277">
        <v>279552</v>
      </c>
      <c r="H212" s="277">
        <v>0</v>
      </c>
      <c r="I212" s="277">
        <v>279552</v>
      </c>
      <c r="J212" s="277">
        <v>0</v>
      </c>
      <c r="K212" s="277">
        <v>0</v>
      </c>
      <c r="L212" s="277">
        <v>0</v>
      </c>
      <c r="M212" s="277">
        <v>0</v>
      </c>
      <c r="N212" s="277">
        <v>0</v>
      </c>
      <c r="O212" s="277">
        <v>0</v>
      </c>
      <c r="P212" s="277">
        <v>47784451</v>
      </c>
      <c r="Q212" s="277">
        <v>23892226</v>
      </c>
      <c r="R212" s="277">
        <v>14335335</v>
      </c>
      <c r="S212" s="277">
        <v>9556890</v>
      </c>
      <c r="T212" s="277">
        <v>0</v>
      </c>
      <c r="U212" s="277">
        <v>47784451</v>
      </c>
      <c r="V212" s="277">
        <v>0</v>
      </c>
      <c r="W212" s="277">
        <v>23892226</v>
      </c>
      <c r="X212" s="277">
        <v>279552</v>
      </c>
      <c r="Y212" s="277">
        <v>279552</v>
      </c>
      <c r="Z212" s="277">
        <v>0</v>
      </c>
      <c r="AA212" s="277">
        <v>0</v>
      </c>
      <c r="AB212" s="277">
        <v>0</v>
      </c>
      <c r="AC212" s="277">
        <v>0</v>
      </c>
      <c r="AD212" s="277">
        <v>0</v>
      </c>
      <c r="AE212" s="277">
        <v>0</v>
      </c>
      <c r="AF212" s="277">
        <v>0</v>
      </c>
      <c r="AG212" s="277">
        <v>0</v>
      </c>
      <c r="AH212" s="277">
        <v>0</v>
      </c>
      <c r="AI212" s="277">
        <v>0</v>
      </c>
      <c r="AJ212" s="277">
        <v>0</v>
      </c>
      <c r="AK212" s="277">
        <v>0</v>
      </c>
      <c r="AL212" s="277">
        <v>0</v>
      </c>
      <c r="AM212" s="277">
        <v>-438725.76</v>
      </c>
      <c r="AN212" s="277">
        <v>-263235.46</v>
      </c>
      <c r="AO212" s="277">
        <v>-175490.3</v>
      </c>
      <c r="AP212" s="277">
        <v>0</v>
      </c>
      <c r="AQ212" s="277">
        <v>-877451.52</v>
      </c>
      <c r="AR212" s="277">
        <v>23453500</v>
      </c>
      <c r="AS212" s="277">
        <v>14351652</v>
      </c>
      <c r="AT212" s="277">
        <v>9381400</v>
      </c>
      <c r="AU212" s="277">
        <v>0</v>
      </c>
      <c r="AV212" s="277">
        <v>47186551</v>
      </c>
      <c r="AW212" s="277">
        <v>155147</v>
      </c>
      <c r="AX212" s="277">
        <v>101453</v>
      </c>
      <c r="AY212" s="277">
        <v>0</v>
      </c>
      <c r="AZ212" s="277">
        <v>256600</v>
      </c>
      <c r="BA212" s="277">
        <v>520924</v>
      </c>
      <c r="BB212" s="277">
        <v>347282</v>
      </c>
      <c r="BC212" s="277">
        <v>0</v>
      </c>
      <c r="BD212" s="277">
        <v>868206</v>
      </c>
      <c r="BE212" s="277">
        <v>0</v>
      </c>
      <c r="BF212" s="277">
        <v>0</v>
      </c>
      <c r="BG212" s="277">
        <v>0</v>
      </c>
      <c r="BH212" s="277">
        <v>0</v>
      </c>
      <c r="BI212" s="277">
        <v>0</v>
      </c>
      <c r="BJ212" s="277">
        <v>0</v>
      </c>
      <c r="BK212" s="277">
        <v>0</v>
      </c>
      <c r="BL212" s="277">
        <v>0</v>
      </c>
      <c r="BM212" s="277">
        <v>109147</v>
      </c>
      <c r="BN212" s="277">
        <v>72764</v>
      </c>
      <c r="BO212" s="277">
        <v>0</v>
      </c>
      <c r="BP212" s="277">
        <v>181911</v>
      </c>
      <c r="BQ212" s="277">
        <v>818599</v>
      </c>
      <c r="BR212" s="277">
        <v>545732</v>
      </c>
      <c r="BS212" s="277">
        <v>0</v>
      </c>
      <c r="BT212" s="277">
        <v>1364331</v>
      </c>
      <c r="BU212" s="277">
        <v>1603817</v>
      </c>
      <c r="BV212" s="277">
        <v>1067231</v>
      </c>
      <c r="BW212" s="277">
        <v>0</v>
      </c>
      <c r="BX212" s="277">
        <v>2671048</v>
      </c>
      <c r="BY212" s="278" t="s">
        <v>339</v>
      </c>
      <c r="BZ212" s="279" t="s">
        <v>995</v>
      </c>
      <c r="CA212" s="279" t="s">
        <v>983</v>
      </c>
    </row>
    <row r="213" spans="1:79" ht="12.75">
      <c r="A213" s="169">
        <v>206</v>
      </c>
      <c r="B213" s="172" t="s">
        <v>341</v>
      </c>
      <c r="C213" s="258" t="s">
        <v>342</v>
      </c>
      <c r="D213" s="277">
        <v>36441410</v>
      </c>
      <c r="E213" s="277">
        <v>252652</v>
      </c>
      <c r="F213" s="277">
        <v>0</v>
      </c>
      <c r="G213" s="277">
        <v>173562</v>
      </c>
      <c r="H213" s="277">
        <v>0</v>
      </c>
      <c r="I213" s="277">
        <v>173562</v>
      </c>
      <c r="J213" s="277">
        <v>0</v>
      </c>
      <c r="K213" s="277">
        <v>0</v>
      </c>
      <c r="L213" s="277">
        <v>0</v>
      </c>
      <c r="M213" s="277">
        <v>0</v>
      </c>
      <c r="N213" s="277">
        <v>0</v>
      </c>
      <c r="O213" s="277">
        <v>0</v>
      </c>
      <c r="P213" s="277">
        <v>36520500</v>
      </c>
      <c r="Q213" s="277">
        <v>18260250</v>
      </c>
      <c r="R213" s="277">
        <v>17895045</v>
      </c>
      <c r="S213" s="277">
        <v>0</v>
      </c>
      <c r="T213" s="277">
        <v>365205</v>
      </c>
      <c r="U213" s="277">
        <v>36520500</v>
      </c>
      <c r="V213" s="277">
        <v>0</v>
      </c>
      <c r="W213" s="277">
        <v>18260250</v>
      </c>
      <c r="X213" s="277">
        <v>173562</v>
      </c>
      <c r="Y213" s="277">
        <v>173562</v>
      </c>
      <c r="Z213" s="277">
        <v>0</v>
      </c>
      <c r="AA213" s="277">
        <v>0</v>
      </c>
      <c r="AB213" s="277">
        <v>0</v>
      </c>
      <c r="AC213" s="277">
        <v>0</v>
      </c>
      <c r="AD213" s="277">
        <v>0</v>
      </c>
      <c r="AE213" s="277">
        <v>0</v>
      </c>
      <c r="AF213" s="277">
        <v>0</v>
      </c>
      <c r="AG213" s="277">
        <v>0</v>
      </c>
      <c r="AH213" s="277">
        <v>0</v>
      </c>
      <c r="AI213" s="277">
        <v>0</v>
      </c>
      <c r="AJ213" s="277">
        <v>0</v>
      </c>
      <c r="AK213" s="277">
        <v>0</v>
      </c>
      <c r="AL213" s="277">
        <v>0</v>
      </c>
      <c r="AM213" s="277">
        <v>-9302417</v>
      </c>
      <c r="AN213" s="277">
        <v>-9116368.7</v>
      </c>
      <c r="AO213" s="277">
        <v>0</v>
      </c>
      <c r="AP213" s="277">
        <v>-186048.34</v>
      </c>
      <c r="AQ213" s="277">
        <v>-18604834</v>
      </c>
      <c r="AR213" s="277">
        <v>8957833</v>
      </c>
      <c r="AS213" s="277">
        <v>8952238</v>
      </c>
      <c r="AT213" s="277">
        <v>0</v>
      </c>
      <c r="AU213" s="277">
        <v>179157</v>
      </c>
      <c r="AV213" s="277">
        <v>18089228</v>
      </c>
      <c r="AW213" s="277">
        <v>191811</v>
      </c>
      <c r="AX213" s="277">
        <v>0</v>
      </c>
      <c r="AY213" s="277">
        <v>3877</v>
      </c>
      <c r="AZ213" s="277">
        <v>195688</v>
      </c>
      <c r="BA213" s="277">
        <v>577128</v>
      </c>
      <c r="BB213" s="277">
        <v>0</v>
      </c>
      <c r="BC213" s="277">
        <v>11778</v>
      </c>
      <c r="BD213" s="277">
        <v>588906</v>
      </c>
      <c r="BE213" s="277">
        <v>0</v>
      </c>
      <c r="BF213" s="277">
        <v>0</v>
      </c>
      <c r="BG213" s="277">
        <v>0</v>
      </c>
      <c r="BH213" s="277">
        <v>0</v>
      </c>
      <c r="BI213" s="277">
        <v>0</v>
      </c>
      <c r="BJ213" s="277">
        <v>0</v>
      </c>
      <c r="BK213" s="277">
        <v>0</v>
      </c>
      <c r="BL213" s="277">
        <v>0</v>
      </c>
      <c r="BM213" s="277">
        <v>440726</v>
      </c>
      <c r="BN213" s="277">
        <v>0</v>
      </c>
      <c r="BO213" s="277">
        <v>8994</v>
      </c>
      <c r="BP213" s="277">
        <v>449720</v>
      </c>
      <c r="BQ213" s="277">
        <v>256019</v>
      </c>
      <c r="BR213" s="277">
        <v>0</v>
      </c>
      <c r="BS213" s="277">
        <v>5225</v>
      </c>
      <c r="BT213" s="277">
        <v>261244</v>
      </c>
      <c r="BU213" s="277">
        <v>1465684</v>
      </c>
      <c r="BV213" s="277">
        <v>0</v>
      </c>
      <c r="BW213" s="277">
        <v>29874</v>
      </c>
      <c r="BX213" s="277">
        <v>1495558</v>
      </c>
      <c r="BY213" s="278" t="s">
        <v>914</v>
      </c>
      <c r="BZ213" s="279" t="s">
        <v>1003</v>
      </c>
      <c r="CA213" s="280" t="s">
        <v>1042</v>
      </c>
    </row>
    <row r="214" spans="1:79" ht="12.75">
      <c r="A214" s="169">
        <v>207</v>
      </c>
      <c r="B214" s="172" t="s">
        <v>343</v>
      </c>
      <c r="C214" s="258" t="s">
        <v>344</v>
      </c>
      <c r="D214" s="277">
        <v>35533118.9</v>
      </c>
      <c r="E214" s="277">
        <v>22553.4</v>
      </c>
      <c r="F214" s="277">
        <v>0</v>
      </c>
      <c r="G214" s="277">
        <v>110669</v>
      </c>
      <c r="H214" s="277">
        <v>0</v>
      </c>
      <c r="I214" s="277">
        <v>110669</v>
      </c>
      <c r="J214" s="277">
        <v>0</v>
      </c>
      <c r="K214" s="277">
        <v>0</v>
      </c>
      <c r="L214" s="277">
        <v>0</v>
      </c>
      <c r="M214" s="277">
        <v>0</v>
      </c>
      <c r="N214" s="277">
        <v>0</v>
      </c>
      <c r="O214" s="277">
        <v>0</v>
      </c>
      <c r="P214" s="277">
        <v>35445003.3</v>
      </c>
      <c r="Q214" s="277">
        <v>17722502.3</v>
      </c>
      <c r="R214" s="277">
        <v>14178001</v>
      </c>
      <c r="S214" s="277">
        <v>3190050</v>
      </c>
      <c r="T214" s="277">
        <v>354450</v>
      </c>
      <c r="U214" s="277">
        <v>35445003</v>
      </c>
      <c r="V214" s="277">
        <v>0</v>
      </c>
      <c r="W214" s="277">
        <v>17722502.3</v>
      </c>
      <c r="X214" s="277">
        <v>110669</v>
      </c>
      <c r="Y214" s="277">
        <v>110669</v>
      </c>
      <c r="Z214" s="277">
        <v>0</v>
      </c>
      <c r="AA214" s="277">
        <v>0</v>
      </c>
      <c r="AB214" s="277">
        <v>0</v>
      </c>
      <c r="AC214" s="277">
        <v>0</v>
      </c>
      <c r="AD214" s="277">
        <v>0</v>
      </c>
      <c r="AE214" s="277">
        <v>0</v>
      </c>
      <c r="AF214" s="277">
        <v>0</v>
      </c>
      <c r="AG214" s="277">
        <v>0</v>
      </c>
      <c r="AH214" s="277">
        <v>0</v>
      </c>
      <c r="AI214" s="277">
        <v>0</v>
      </c>
      <c r="AJ214" s="277">
        <v>0</v>
      </c>
      <c r="AK214" s="277">
        <v>0</v>
      </c>
      <c r="AL214" s="277">
        <v>0</v>
      </c>
      <c r="AM214" s="277">
        <v>-625249.5</v>
      </c>
      <c r="AN214" s="277">
        <v>-500199.6</v>
      </c>
      <c r="AO214" s="277">
        <v>-112544.91</v>
      </c>
      <c r="AP214" s="277">
        <v>-12504.99</v>
      </c>
      <c r="AQ214" s="277">
        <v>-1250499</v>
      </c>
      <c r="AR214" s="277">
        <v>17097253</v>
      </c>
      <c r="AS214" s="277">
        <v>13788470</v>
      </c>
      <c r="AT214" s="277">
        <v>3077505</v>
      </c>
      <c r="AU214" s="277">
        <v>341945</v>
      </c>
      <c r="AV214" s="277">
        <v>34305173</v>
      </c>
      <c r="AW214" s="277">
        <v>151684</v>
      </c>
      <c r="AX214" s="277">
        <v>33865</v>
      </c>
      <c r="AY214" s="277">
        <v>3763</v>
      </c>
      <c r="AZ214" s="277">
        <v>189312</v>
      </c>
      <c r="BA214" s="277">
        <v>253704</v>
      </c>
      <c r="BB214" s="277">
        <v>57084</v>
      </c>
      <c r="BC214" s="277">
        <v>6343</v>
      </c>
      <c r="BD214" s="277">
        <v>317131</v>
      </c>
      <c r="BE214" s="277">
        <v>0</v>
      </c>
      <c r="BF214" s="277">
        <v>0</v>
      </c>
      <c r="BG214" s="277">
        <v>0</v>
      </c>
      <c r="BH214" s="277">
        <v>0</v>
      </c>
      <c r="BI214" s="277">
        <v>0</v>
      </c>
      <c r="BJ214" s="277">
        <v>0</v>
      </c>
      <c r="BK214" s="277">
        <v>0</v>
      </c>
      <c r="BL214" s="277">
        <v>0</v>
      </c>
      <c r="BM214" s="277">
        <v>90513</v>
      </c>
      <c r="BN214" s="277">
        <v>20365</v>
      </c>
      <c r="BO214" s="277">
        <v>2263</v>
      </c>
      <c r="BP214" s="277">
        <v>113141</v>
      </c>
      <c r="BQ214" s="277">
        <v>114127</v>
      </c>
      <c r="BR214" s="277">
        <v>25679</v>
      </c>
      <c r="BS214" s="277">
        <v>2853</v>
      </c>
      <c r="BT214" s="277">
        <v>142659</v>
      </c>
      <c r="BU214" s="277">
        <v>610028</v>
      </c>
      <c r="BV214" s="277">
        <v>136993</v>
      </c>
      <c r="BW214" s="277">
        <v>15222</v>
      </c>
      <c r="BX214" s="277">
        <v>762243</v>
      </c>
      <c r="BY214" s="278" t="s">
        <v>343</v>
      </c>
      <c r="BZ214" s="279" t="s">
        <v>1019</v>
      </c>
      <c r="CA214" s="280" t="s">
        <v>1020</v>
      </c>
    </row>
    <row r="215" spans="1:79" ht="12.75">
      <c r="A215" s="169">
        <v>208</v>
      </c>
      <c r="B215" s="172" t="s">
        <v>345</v>
      </c>
      <c r="C215" s="258" t="s">
        <v>346</v>
      </c>
      <c r="D215" s="277">
        <v>48317048</v>
      </c>
      <c r="E215" s="277">
        <v>0</v>
      </c>
      <c r="F215" s="277">
        <v>40961.95</v>
      </c>
      <c r="G215" s="277">
        <v>177048</v>
      </c>
      <c r="H215" s="277">
        <v>0</v>
      </c>
      <c r="I215" s="277">
        <v>177048</v>
      </c>
      <c r="J215" s="277">
        <v>0</v>
      </c>
      <c r="K215" s="277">
        <v>0</v>
      </c>
      <c r="L215" s="277">
        <v>0</v>
      </c>
      <c r="M215" s="277">
        <v>0</v>
      </c>
      <c r="N215" s="277">
        <v>0</v>
      </c>
      <c r="O215" s="277">
        <v>0</v>
      </c>
      <c r="P215" s="277">
        <v>48099038</v>
      </c>
      <c r="Q215" s="277">
        <v>24049519</v>
      </c>
      <c r="R215" s="277">
        <v>19239615</v>
      </c>
      <c r="S215" s="277">
        <v>4809904</v>
      </c>
      <c r="T215" s="277">
        <v>0</v>
      </c>
      <c r="U215" s="277">
        <v>48099038</v>
      </c>
      <c r="V215" s="277">
        <v>0</v>
      </c>
      <c r="W215" s="277">
        <v>24049519</v>
      </c>
      <c r="X215" s="277">
        <v>177048</v>
      </c>
      <c r="Y215" s="277">
        <v>177048</v>
      </c>
      <c r="Z215" s="277">
        <v>0</v>
      </c>
      <c r="AA215" s="277">
        <v>0</v>
      </c>
      <c r="AB215" s="277">
        <v>0</v>
      </c>
      <c r="AC215" s="277">
        <v>0</v>
      </c>
      <c r="AD215" s="277">
        <v>0</v>
      </c>
      <c r="AE215" s="277">
        <v>0</v>
      </c>
      <c r="AF215" s="277">
        <v>0</v>
      </c>
      <c r="AG215" s="277">
        <v>0</v>
      </c>
      <c r="AH215" s="277">
        <v>0</v>
      </c>
      <c r="AI215" s="277">
        <v>0</v>
      </c>
      <c r="AJ215" s="277">
        <v>0</v>
      </c>
      <c r="AK215" s="277">
        <v>0</v>
      </c>
      <c r="AL215" s="277">
        <v>0</v>
      </c>
      <c r="AM215" s="277">
        <v>139357.99</v>
      </c>
      <c r="AN215" s="277">
        <v>111486.39</v>
      </c>
      <c r="AO215" s="277">
        <v>27871.6</v>
      </c>
      <c r="AP215" s="277">
        <v>0</v>
      </c>
      <c r="AQ215" s="277">
        <v>278715.97</v>
      </c>
      <c r="AR215" s="277">
        <v>24188877</v>
      </c>
      <c r="AS215" s="277">
        <v>19528149</v>
      </c>
      <c r="AT215" s="277">
        <v>4837776</v>
      </c>
      <c r="AU215" s="277">
        <v>0</v>
      </c>
      <c r="AV215" s="277">
        <v>48554802</v>
      </c>
      <c r="AW215" s="277">
        <v>206122</v>
      </c>
      <c r="AX215" s="277">
        <v>51061</v>
      </c>
      <c r="AY215" s="277">
        <v>0</v>
      </c>
      <c r="AZ215" s="277">
        <v>257183</v>
      </c>
      <c r="BA215" s="277">
        <v>387448</v>
      </c>
      <c r="BB215" s="277">
        <v>96862</v>
      </c>
      <c r="BC215" s="277">
        <v>0</v>
      </c>
      <c r="BD215" s="277">
        <v>484310</v>
      </c>
      <c r="BE215" s="277">
        <v>0</v>
      </c>
      <c r="BF215" s="277">
        <v>0</v>
      </c>
      <c r="BG215" s="277">
        <v>0</v>
      </c>
      <c r="BH215" s="277">
        <v>0</v>
      </c>
      <c r="BI215" s="277">
        <v>181911</v>
      </c>
      <c r="BJ215" s="277">
        <v>45478</v>
      </c>
      <c r="BK215" s="277">
        <v>0</v>
      </c>
      <c r="BL215" s="277">
        <v>227389</v>
      </c>
      <c r="BM215" s="277">
        <v>0</v>
      </c>
      <c r="BN215" s="277">
        <v>0</v>
      </c>
      <c r="BO215" s="277">
        <v>0</v>
      </c>
      <c r="BP215" s="277">
        <v>0</v>
      </c>
      <c r="BQ215" s="277">
        <v>202123</v>
      </c>
      <c r="BR215" s="277">
        <v>50531</v>
      </c>
      <c r="BS215" s="277">
        <v>0</v>
      </c>
      <c r="BT215" s="277">
        <v>252654</v>
      </c>
      <c r="BU215" s="277">
        <v>977604</v>
      </c>
      <c r="BV215" s="277">
        <v>243932</v>
      </c>
      <c r="BW215" s="277">
        <v>0</v>
      </c>
      <c r="BX215" s="277">
        <v>1221536</v>
      </c>
      <c r="BY215" s="278" t="s">
        <v>915</v>
      </c>
      <c r="BZ215" s="279" t="s">
        <v>1040</v>
      </c>
      <c r="CA215" s="280" t="s">
        <v>984</v>
      </c>
    </row>
    <row r="216" spans="1:79" ht="12.75">
      <c r="A216" s="169">
        <v>209</v>
      </c>
      <c r="B216" s="172" t="s">
        <v>347</v>
      </c>
      <c r="C216" s="258" t="s">
        <v>348</v>
      </c>
      <c r="D216" s="277">
        <v>14006294</v>
      </c>
      <c r="E216" s="277">
        <v>65436</v>
      </c>
      <c r="F216" s="277">
        <v>0</v>
      </c>
      <c r="G216" s="277">
        <v>87901</v>
      </c>
      <c r="H216" s="277">
        <v>0</v>
      </c>
      <c r="I216" s="277">
        <v>87901</v>
      </c>
      <c r="J216" s="277">
        <v>0</v>
      </c>
      <c r="K216" s="277">
        <v>10008</v>
      </c>
      <c r="L216" s="277">
        <v>0</v>
      </c>
      <c r="M216" s="277">
        <v>0</v>
      </c>
      <c r="N216" s="277">
        <v>0</v>
      </c>
      <c r="O216" s="277">
        <v>0</v>
      </c>
      <c r="P216" s="277">
        <v>13973821</v>
      </c>
      <c r="Q216" s="277">
        <v>6986911</v>
      </c>
      <c r="R216" s="277">
        <v>5589528</v>
      </c>
      <c r="S216" s="277">
        <v>1257644</v>
      </c>
      <c r="T216" s="277">
        <v>139738</v>
      </c>
      <c r="U216" s="277">
        <v>13973821</v>
      </c>
      <c r="V216" s="277">
        <v>0</v>
      </c>
      <c r="W216" s="277">
        <v>6986911</v>
      </c>
      <c r="X216" s="277">
        <v>87901</v>
      </c>
      <c r="Y216" s="277">
        <v>87901</v>
      </c>
      <c r="Z216" s="277">
        <v>10008</v>
      </c>
      <c r="AA216" s="277">
        <v>10008</v>
      </c>
      <c r="AB216" s="277">
        <v>0</v>
      </c>
      <c r="AC216" s="277">
        <v>0</v>
      </c>
      <c r="AD216" s="277">
        <v>0</v>
      </c>
      <c r="AE216" s="277">
        <v>0</v>
      </c>
      <c r="AF216" s="277">
        <v>0</v>
      </c>
      <c r="AG216" s="277">
        <v>0</v>
      </c>
      <c r="AH216" s="277">
        <v>0</v>
      </c>
      <c r="AI216" s="277">
        <v>0</v>
      </c>
      <c r="AJ216" s="277">
        <v>0</v>
      </c>
      <c r="AK216" s="277">
        <v>0</v>
      </c>
      <c r="AL216" s="277">
        <v>0</v>
      </c>
      <c r="AM216" s="277">
        <v>37652.5</v>
      </c>
      <c r="AN216" s="277">
        <v>30122</v>
      </c>
      <c r="AO216" s="277">
        <v>6777.45</v>
      </c>
      <c r="AP216" s="277">
        <v>753.05</v>
      </c>
      <c r="AQ216" s="277">
        <v>75305</v>
      </c>
      <c r="AR216" s="277">
        <v>7024564</v>
      </c>
      <c r="AS216" s="277">
        <v>5717559</v>
      </c>
      <c r="AT216" s="277">
        <v>1264421</v>
      </c>
      <c r="AU216" s="277">
        <v>140491</v>
      </c>
      <c r="AV216" s="277">
        <v>14147035</v>
      </c>
      <c r="AW216" s="277">
        <v>60376</v>
      </c>
      <c r="AX216" s="277">
        <v>13351</v>
      </c>
      <c r="AY216" s="277">
        <v>1483</v>
      </c>
      <c r="AZ216" s="277">
        <v>75210</v>
      </c>
      <c r="BA216" s="277">
        <v>358596</v>
      </c>
      <c r="BB216" s="277">
        <v>80684</v>
      </c>
      <c r="BC216" s="277">
        <v>8965</v>
      </c>
      <c r="BD216" s="277">
        <v>448245</v>
      </c>
      <c r="BE216" s="277">
        <v>8085</v>
      </c>
      <c r="BF216" s="277">
        <v>1819</v>
      </c>
      <c r="BG216" s="277">
        <v>202</v>
      </c>
      <c r="BH216" s="277">
        <v>10106</v>
      </c>
      <c r="BI216" s="277">
        <v>8085</v>
      </c>
      <c r="BJ216" s="277">
        <v>1819</v>
      </c>
      <c r="BK216" s="277">
        <v>202</v>
      </c>
      <c r="BL216" s="277">
        <v>10106</v>
      </c>
      <c r="BM216" s="277">
        <v>8085</v>
      </c>
      <c r="BN216" s="277">
        <v>1819</v>
      </c>
      <c r="BO216" s="277">
        <v>202</v>
      </c>
      <c r="BP216" s="277">
        <v>10106</v>
      </c>
      <c r="BQ216" s="277">
        <v>161699</v>
      </c>
      <c r="BR216" s="277">
        <v>36382</v>
      </c>
      <c r="BS216" s="277">
        <v>4042</v>
      </c>
      <c r="BT216" s="277">
        <v>202123</v>
      </c>
      <c r="BU216" s="277">
        <v>604926</v>
      </c>
      <c r="BV216" s="277">
        <v>135874</v>
      </c>
      <c r="BW216" s="277">
        <v>15096</v>
      </c>
      <c r="BX216" s="277">
        <v>755896</v>
      </c>
      <c r="BY216" s="278" t="s">
        <v>347</v>
      </c>
      <c r="BZ216" s="279" t="s">
        <v>1022</v>
      </c>
      <c r="CA216" s="280" t="s">
        <v>1009</v>
      </c>
    </row>
    <row r="217" spans="1:79" ht="12.75">
      <c r="A217" s="169">
        <v>210</v>
      </c>
      <c r="B217" s="172" t="s">
        <v>349</v>
      </c>
      <c r="C217" s="258" t="s">
        <v>350</v>
      </c>
      <c r="D217" s="277">
        <v>82468004</v>
      </c>
      <c r="E217" s="277">
        <v>80111</v>
      </c>
      <c r="F217" s="277">
        <v>0</v>
      </c>
      <c r="G217" s="277">
        <v>303621</v>
      </c>
      <c r="H217" s="277">
        <v>0</v>
      </c>
      <c r="I217" s="277">
        <v>303621</v>
      </c>
      <c r="J217" s="277">
        <v>0</v>
      </c>
      <c r="K217" s="277">
        <v>0</v>
      </c>
      <c r="L217" s="277">
        <v>0</v>
      </c>
      <c r="M217" s="277">
        <v>0</v>
      </c>
      <c r="N217" s="277">
        <v>0</v>
      </c>
      <c r="O217" s="277">
        <v>0</v>
      </c>
      <c r="P217" s="277">
        <v>82244494</v>
      </c>
      <c r="Q217" s="277">
        <v>41122247</v>
      </c>
      <c r="R217" s="277">
        <v>24673348</v>
      </c>
      <c r="S217" s="277">
        <v>16448899</v>
      </c>
      <c r="T217" s="277">
        <v>0</v>
      </c>
      <c r="U217" s="277">
        <v>82244494</v>
      </c>
      <c r="V217" s="277">
        <v>0</v>
      </c>
      <c r="W217" s="277">
        <v>41122247</v>
      </c>
      <c r="X217" s="277">
        <v>303621</v>
      </c>
      <c r="Y217" s="277">
        <v>303621</v>
      </c>
      <c r="Z217" s="277">
        <v>0</v>
      </c>
      <c r="AA217" s="277">
        <v>0</v>
      </c>
      <c r="AB217" s="277">
        <v>0</v>
      </c>
      <c r="AC217" s="277">
        <v>0</v>
      </c>
      <c r="AD217" s="277">
        <v>0</v>
      </c>
      <c r="AE217" s="277">
        <v>0</v>
      </c>
      <c r="AF217" s="277">
        <v>0</v>
      </c>
      <c r="AG217" s="277">
        <v>0</v>
      </c>
      <c r="AH217" s="277">
        <v>0</v>
      </c>
      <c r="AI217" s="277">
        <v>0</v>
      </c>
      <c r="AJ217" s="277">
        <v>0</v>
      </c>
      <c r="AK217" s="277">
        <v>0</v>
      </c>
      <c r="AL217" s="277">
        <v>0</v>
      </c>
      <c r="AM217" s="277">
        <v>551711</v>
      </c>
      <c r="AN217" s="277">
        <v>331026.6</v>
      </c>
      <c r="AO217" s="277">
        <v>220684.4</v>
      </c>
      <c r="AP217" s="277">
        <v>0</v>
      </c>
      <c r="AQ217" s="277">
        <v>1103422</v>
      </c>
      <c r="AR217" s="277">
        <v>41673958</v>
      </c>
      <c r="AS217" s="277">
        <v>25307996</v>
      </c>
      <c r="AT217" s="277">
        <v>16669583</v>
      </c>
      <c r="AU217" s="277">
        <v>0</v>
      </c>
      <c r="AV217" s="277">
        <v>83651537</v>
      </c>
      <c r="AW217" s="277">
        <v>265148</v>
      </c>
      <c r="AX217" s="277">
        <v>174617</v>
      </c>
      <c r="AY217" s="277">
        <v>0</v>
      </c>
      <c r="AZ217" s="277">
        <v>439765</v>
      </c>
      <c r="BA217" s="277">
        <v>323515</v>
      </c>
      <c r="BB217" s="277">
        <v>215676</v>
      </c>
      <c r="BC217" s="277">
        <v>0</v>
      </c>
      <c r="BD217" s="277">
        <v>539191</v>
      </c>
      <c r="BE217" s="277">
        <v>0</v>
      </c>
      <c r="BF217" s="277">
        <v>0</v>
      </c>
      <c r="BG217" s="277">
        <v>0</v>
      </c>
      <c r="BH217" s="277">
        <v>0</v>
      </c>
      <c r="BI217" s="277">
        <v>80344</v>
      </c>
      <c r="BJ217" s="277">
        <v>53563</v>
      </c>
      <c r="BK217" s="277">
        <v>0</v>
      </c>
      <c r="BL217" s="277">
        <v>133907</v>
      </c>
      <c r="BM217" s="277">
        <v>108237</v>
      </c>
      <c r="BN217" s="277">
        <v>72158</v>
      </c>
      <c r="BO217" s="277">
        <v>0</v>
      </c>
      <c r="BP217" s="277">
        <v>180395</v>
      </c>
      <c r="BQ217" s="277">
        <v>540881</v>
      </c>
      <c r="BR217" s="277">
        <v>360588</v>
      </c>
      <c r="BS217" s="277">
        <v>0</v>
      </c>
      <c r="BT217" s="277">
        <v>901469</v>
      </c>
      <c r="BU217" s="277">
        <v>1318125</v>
      </c>
      <c r="BV217" s="277">
        <v>876602</v>
      </c>
      <c r="BW217" s="277">
        <v>0</v>
      </c>
      <c r="BX217" s="277">
        <v>2194727</v>
      </c>
      <c r="BY217" s="281" t="s">
        <v>1050</v>
      </c>
      <c r="BZ217" s="279" t="s">
        <v>995</v>
      </c>
      <c r="CA217" s="279" t="s">
        <v>983</v>
      </c>
    </row>
    <row r="218" spans="1:79" ht="12.75">
      <c r="A218" s="169">
        <v>211</v>
      </c>
      <c r="B218" s="172" t="s">
        <v>351</v>
      </c>
      <c r="C218" s="258" t="s">
        <v>352</v>
      </c>
      <c r="D218" s="277">
        <v>12648515</v>
      </c>
      <c r="E218" s="277">
        <v>7569</v>
      </c>
      <c r="F218" s="277">
        <v>0</v>
      </c>
      <c r="G218" s="277">
        <v>96960</v>
      </c>
      <c r="H218" s="277">
        <v>0</v>
      </c>
      <c r="I218" s="277">
        <v>96960</v>
      </c>
      <c r="J218" s="277">
        <v>0</v>
      </c>
      <c r="K218" s="277">
        <v>0</v>
      </c>
      <c r="L218" s="277">
        <v>0</v>
      </c>
      <c r="M218" s="277">
        <v>0</v>
      </c>
      <c r="N218" s="277">
        <v>0</v>
      </c>
      <c r="O218" s="277">
        <v>0</v>
      </c>
      <c r="P218" s="277">
        <v>12559124</v>
      </c>
      <c r="Q218" s="277">
        <v>6279562</v>
      </c>
      <c r="R218" s="277">
        <v>5023650</v>
      </c>
      <c r="S218" s="277">
        <v>1130321</v>
      </c>
      <c r="T218" s="277">
        <v>125591</v>
      </c>
      <c r="U218" s="277">
        <v>12559124</v>
      </c>
      <c r="V218" s="277">
        <v>0</v>
      </c>
      <c r="W218" s="277">
        <v>6279562</v>
      </c>
      <c r="X218" s="277">
        <v>96960</v>
      </c>
      <c r="Y218" s="277">
        <v>96960</v>
      </c>
      <c r="Z218" s="277">
        <v>0</v>
      </c>
      <c r="AA218" s="277">
        <v>0</v>
      </c>
      <c r="AB218" s="277">
        <v>0</v>
      </c>
      <c r="AC218" s="277">
        <v>0</v>
      </c>
      <c r="AD218" s="277">
        <v>0</v>
      </c>
      <c r="AE218" s="277">
        <v>0</v>
      </c>
      <c r="AF218" s="277">
        <v>0</v>
      </c>
      <c r="AG218" s="277">
        <v>0</v>
      </c>
      <c r="AH218" s="277">
        <v>0</v>
      </c>
      <c r="AI218" s="277">
        <v>0</v>
      </c>
      <c r="AJ218" s="277">
        <v>0</v>
      </c>
      <c r="AK218" s="277">
        <v>0</v>
      </c>
      <c r="AL218" s="277">
        <v>0</v>
      </c>
      <c r="AM218" s="277">
        <v>-224203.5</v>
      </c>
      <c r="AN218" s="277">
        <v>-179362.8</v>
      </c>
      <c r="AO218" s="277">
        <v>-40356.63</v>
      </c>
      <c r="AP218" s="277">
        <v>-4484.07</v>
      </c>
      <c r="AQ218" s="277">
        <v>-448407</v>
      </c>
      <c r="AR218" s="277">
        <v>6055359</v>
      </c>
      <c r="AS218" s="277">
        <v>4941247</v>
      </c>
      <c r="AT218" s="277">
        <v>1089964</v>
      </c>
      <c r="AU218" s="277">
        <v>121107</v>
      </c>
      <c r="AV218" s="277">
        <v>12207677</v>
      </c>
      <c r="AW218" s="277">
        <v>54359</v>
      </c>
      <c r="AX218" s="277">
        <v>11999</v>
      </c>
      <c r="AY218" s="277">
        <v>1333</v>
      </c>
      <c r="AZ218" s="277">
        <v>67691</v>
      </c>
      <c r="BA218" s="277">
        <v>334253</v>
      </c>
      <c r="BB218" s="277">
        <v>75207</v>
      </c>
      <c r="BC218" s="277">
        <v>8356</v>
      </c>
      <c r="BD218" s="277">
        <v>417816</v>
      </c>
      <c r="BE218" s="277">
        <v>404</v>
      </c>
      <c r="BF218" s="277">
        <v>91</v>
      </c>
      <c r="BG218" s="277">
        <v>10</v>
      </c>
      <c r="BH218" s="277">
        <v>505</v>
      </c>
      <c r="BI218" s="277">
        <v>8085</v>
      </c>
      <c r="BJ218" s="277">
        <v>1819</v>
      </c>
      <c r="BK218" s="277">
        <v>202</v>
      </c>
      <c r="BL218" s="277">
        <v>10106</v>
      </c>
      <c r="BM218" s="277">
        <v>8085</v>
      </c>
      <c r="BN218" s="277">
        <v>1819</v>
      </c>
      <c r="BO218" s="277">
        <v>202</v>
      </c>
      <c r="BP218" s="277">
        <v>10106</v>
      </c>
      <c r="BQ218" s="277">
        <v>62659</v>
      </c>
      <c r="BR218" s="277">
        <v>14098</v>
      </c>
      <c r="BS218" s="277">
        <v>1566</v>
      </c>
      <c r="BT218" s="277">
        <v>78323</v>
      </c>
      <c r="BU218" s="277">
        <v>467845</v>
      </c>
      <c r="BV218" s="277">
        <v>105033</v>
      </c>
      <c r="BW218" s="277">
        <v>11669</v>
      </c>
      <c r="BX218" s="277">
        <v>584547</v>
      </c>
      <c r="BY218" s="278" t="s">
        <v>351</v>
      </c>
      <c r="BZ218" s="279" t="s">
        <v>1033</v>
      </c>
      <c r="CA218" s="280" t="s">
        <v>1034</v>
      </c>
    </row>
    <row r="219" spans="1:79" ht="12.75">
      <c r="A219" s="169">
        <v>212</v>
      </c>
      <c r="B219" s="172" t="s">
        <v>353</v>
      </c>
      <c r="C219" s="258" t="s">
        <v>354</v>
      </c>
      <c r="D219" s="277">
        <v>60603529</v>
      </c>
      <c r="E219" s="277">
        <v>0</v>
      </c>
      <c r="F219" s="277">
        <v>38791</v>
      </c>
      <c r="G219" s="277">
        <v>287498</v>
      </c>
      <c r="H219" s="277">
        <v>0</v>
      </c>
      <c r="I219" s="277">
        <v>287498</v>
      </c>
      <c r="J219" s="277">
        <v>0</v>
      </c>
      <c r="K219" s="277">
        <v>0</v>
      </c>
      <c r="L219" s="277">
        <v>0</v>
      </c>
      <c r="M219" s="277">
        <v>0</v>
      </c>
      <c r="N219" s="277">
        <v>0</v>
      </c>
      <c r="O219" s="277">
        <v>0</v>
      </c>
      <c r="P219" s="277">
        <v>60277240</v>
      </c>
      <c r="Q219" s="277">
        <v>30138620</v>
      </c>
      <c r="R219" s="277">
        <v>29535848</v>
      </c>
      <c r="S219" s="277">
        <v>0</v>
      </c>
      <c r="T219" s="277">
        <v>602772</v>
      </c>
      <c r="U219" s="277">
        <v>60277240</v>
      </c>
      <c r="V219" s="277">
        <v>0</v>
      </c>
      <c r="W219" s="277">
        <v>30138620</v>
      </c>
      <c r="X219" s="277">
        <v>287498</v>
      </c>
      <c r="Y219" s="277">
        <v>287498</v>
      </c>
      <c r="Z219" s="277">
        <v>0</v>
      </c>
      <c r="AA219" s="277">
        <v>0</v>
      </c>
      <c r="AB219" s="277">
        <v>0</v>
      </c>
      <c r="AC219" s="277">
        <v>0</v>
      </c>
      <c r="AD219" s="277">
        <v>0</v>
      </c>
      <c r="AE219" s="277">
        <v>0</v>
      </c>
      <c r="AF219" s="277">
        <v>0</v>
      </c>
      <c r="AG219" s="277">
        <v>0</v>
      </c>
      <c r="AH219" s="277">
        <v>0</v>
      </c>
      <c r="AI219" s="277">
        <v>0</v>
      </c>
      <c r="AJ219" s="277">
        <v>0</v>
      </c>
      <c r="AK219" s="277">
        <v>0</v>
      </c>
      <c r="AL219" s="277">
        <v>0</v>
      </c>
      <c r="AM219" s="277">
        <v>-690015</v>
      </c>
      <c r="AN219" s="277">
        <v>-676214.7</v>
      </c>
      <c r="AO219" s="277">
        <v>0</v>
      </c>
      <c r="AP219" s="277">
        <v>-13800.3</v>
      </c>
      <c r="AQ219" s="277">
        <v>-1380030</v>
      </c>
      <c r="AR219" s="277">
        <v>29448605</v>
      </c>
      <c r="AS219" s="277">
        <v>29147131</v>
      </c>
      <c r="AT219" s="277">
        <v>0</v>
      </c>
      <c r="AU219" s="277">
        <v>588972</v>
      </c>
      <c r="AV219" s="277">
        <v>59184708</v>
      </c>
      <c r="AW219" s="277">
        <v>316596</v>
      </c>
      <c r="AX219" s="277">
        <v>0</v>
      </c>
      <c r="AY219" s="277">
        <v>6399</v>
      </c>
      <c r="AZ219" s="277">
        <v>322995</v>
      </c>
      <c r="BA219" s="277">
        <v>1187529</v>
      </c>
      <c r="BB219" s="277">
        <v>0</v>
      </c>
      <c r="BC219" s="277">
        <v>24235</v>
      </c>
      <c r="BD219" s="277">
        <v>1211764</v>
      </c>
      <c r="BE219" s="277">
        <v>0</v>
      </c>
      <c r="BF219" s="277">
        <v>0</v>
      </c>
      <c r="BG219" s="277">
        <v>0</v>
      </c>
      <c r="BH219" s="277">
        <v>0</v>
      </c>
      <c r="BI219" s="277">
        <v>0</v>
      </c>
      <c r="BJ219" s="277">
        <v>0</v>
      </c>
      <c r="BK219" s="277">
        <v>0</v>
      </c>
      <c r="BL219" s="277">
        <v>0</v>
      </c>
      <c r="BM219" s="277">
        <v>9904</v>
      </c>
      <c r="BN219" s="277">
        <v>0</v>
      </c>
      <c r="BO219" s="277">
        <v>202</v>
      </c>
      <c r="BP219" s="277">
        <v>10106</v>
      </c>
      <c r="BQ219" s="277">
        <v>398008</v>
      </c>
      <c r="BR219" s="277">
        <v>0</v>
      </c>
      <c r="BS219" s="277">
        <v>8123</v>
      </c>
      <c r="BT219" s="277">
        <v>406131</v>
      </c>
      <c r="BU219" s="277">
        <v>1912037</v>
      </c>
      <c r="BV219" s="277">
        <v>0</v>
      </c>
      <c r="BW219" s="277">
        <v>38959</v>
      </c>
      <c r="BX219" s="277">
        <v>1950996</v>
      </c>
      <c r="BY219" s="278" t="s">
        <v>353</v>
      </c>
      <c r="BZ219" s="279" t="s">
        <v>996</v>
      </c>
      <c r="CA219" s="280" t="s">
        <v>1010</v>
      </c>
    </row>
    <row r="220" spans="1:79" ht="12.75">
      <c r="A220" s="169">
        <v>213</v>
      </c>
      <c r="B220" s="172" t="s">
        <v>355</v>
      </c>
      <c r="C220" s="258" t="s">
        <v>356</v>
      </c>
      <c r="D220" s="277">
        <v>16682114</v>
      </c>
      <c r="E220" s="277">
        <v>22414</v>
      </c>
      <c r="F220" s="277">
        <v>0</v>
      </c>
      <c r="G220" s="277">
        <v>85477</v>
      </c>
      <c r="H220" s="277">
        <v>0</v>
      </c>
      <c r="I220" s="277">
        <v>85477</v>
      </c>
      <c r="J220" s="277">
        <v>0</v>
      </c>
      <c r="K220" s="277">
        <v>0</v>
      </c>
      <c r="L220" s="277">
        <v>0</v>
      </c>
      <c r="M220" s="277">
        <v>0</v>
      </c>
      <c r="N220" s="277">
        <v>0</v>
      </c>
      <c r="O220" s="277">
        <v>0</v>
      </c>
      <c r="P220" s="277">
        <v>16619051</v>
      </c>
      <c r="Q220" s="277">
        <v>8309525</v>
      </c>
      <c r="R220" s="277">
        <v>6647620</v>
      </c>
      <c r="S220" s="277">
        <v>1495715</v>
      </c>
      <c r="T220" s="277">
        <v>166191</v>
      </c>
      <c r="U220" s="277">
        <v>16619051</v>
      </c>
      <c r="V220" s="277">
        <v>0</v>
      </c>
      <c r="W220" s="277">
        <v>8309525</v>
      </c>
      <c r="X220" s="277">
        <v>85477</v>
      </c>
      <c r="Y220" s="277">
        <v>85477</v>
      </c>
      <c r="Z220" s="277">
        <v>0</v>
      </c>
      <c r="AA220" s="277">
        <v>0</v>
      </c>
      <c r="AB220" s="277">
        <v>0</v>
      </c>
      <c r="AC220" s="277">
        <v>0</v>
      </c>
      <c r="AD220" s="277">
        <v>0</v>
      </c>
      <c r="AE220" s="277">
        <v>0</v>
      </c>
      <c r="AF220" s="277">
        <v>0</v>
      </c>
      <c r="AG220" s="277">
        <v>0</v>
      </c>
      <c r="AH220" s="277">
        <v>0</v>
      </c>
      <c r="AI220" s="277">
        <v>0</v>
      </c>
      <c r="AJ220" s="277">
        <v>0</v>
      </c>
      <c r="AK220" s="277">
        <v>0</v>
      </c>
      <c r="AL220" s="277">
        <v>0</v>
      </c>
      <c r="AM220" s="277">
        <v>179929.5</v>
      </c>
      <c r="AN220" s="277">
        <v>143943.6</v>
      </c>
      <c r="AO220" s="277">
        <v>32387.31</v>
      </c>
      <c r="AP220" s="277">
        <v>3598.59</v>
      </c>
      <c r="AQ220" s="277">
        <v>359859</v>
      </c>
      <c r="AR220" s="277">
        <v>8489455</v>
      </c>
      <c r="AS220" s="277">
        <v>6877041</v>
      </c>
      <c r="AT220" s="277">
        <v>1528102</v>
      </c>
      <c r="AU220" s="277">
        <v>169790</v>
      </c>
      <c r="AV220" s="277">
        <v>17064387</v>
      </c>
      <c r="AW220" s="277">
        <v>71477</v>
      </c>
      <c r="AX220" s="277">
        <v>15878</v>
      </c>
      <c r="AY220" s="277">
        <v>1764</v>
      </c>
      <c r="AZ220" s="277">
        <v>89119</v>
      </c>
      <c r="BA220" s="277">
        <v>282767</v>
      </c>
      <c r="BB220" s="277">
        <v>63622</v>
      </c>
      <c r="BC220" s="277">
        <v>7069</v>
      </c>
      <c r="BD220" s="277">
        <v>353458</v>
      </c>
      <c r="BE220" s="277">
        <v>20212</v>
      </c>
      <c r="BF220" s="277">
        <v>4548</v>
      </c>
      <c r="BG220" s="277">
        <v>505</v>
      </c>
      <c r="BH220" s="277">
        <v>25265</v>
      </c>
      <c r="BI220" s="277">
        <v>0</v>
      </c>
      <c r="BJ220" s="277">
        <v>0</v>
      </c>
      <c r="BK220" s="277">
        <v>0</v>
      </c>
      <c r="BL220" s="277">
        <v>0</v>
      </c>
      <c r="BM220" s="277">
        <v>580</v>
      </c>
      <c r="BN220" s="277">
        <v>131</v>
      </c>
      <c r="BO220" s="277">
        <v>15</v>
      </c>
      <c r="BP220" s="277">
        <v>726</v>
      </c>
      <c r="BQ220" s="277">
        <v>132417</v>
      </c>
      <c r="BR220" s="277">
        <v>29794</v>
      </c>
      <c r="BS220" s="277">
        <v>3310</v>
      </c>
      <c r="BT220" s="277">
        <v>165521</v>
      </c>
      <c r="BU220" s="277">
        <v>507453</v>
      </c>
      <c r="BV220" s="277">
        <v>113973</v>
      </c>
      <c r="BW220" s="277">
        <v>12663</v>
      </c>
      <c r="BX220" s="277">
        <v>634089</v>
      </c>
      <c r="BY220" s="278" t="s">
        <v>355</v>
      </c>
      <c r="BZ220" s="279" t="s">
        <v>998</v>
      </c>
      <c r="CA220" s="280" t="s">
        <v>999</v>
      </c>
    </row>
    <row r="221" spans="1:79" ht="12.75">
      <c r="A221" s="169">
        <v>214</v>
      </c>
      <c r="B221" s="172" t="s">
        <v>357</v>
      </c>
      <c r="C221" s="258" t="s">
        <v>358</v>
      </c>
      <c r="D221" s="277">
        <v>12834932</v>
      </c>
      <c r="E221" s="277">
        <v>50500</v>
      </c>
      <c r="F221" s="277">
        <v>0</v>
      </c>
      <c r="G221" s="277">
        <v>100612</v>
      </c>
      <c r="H221" s="277">
        <v>0</v>
      </c>
      <c r="I221" s="277">
        <v>100612</v>
      </c>
      <c r="J221" s="277">
        <v>0</v>
      </c>
      <c r="K221" s="277">
        <v>0</v>
      </c>
      <c r="L221" s="277">
        <v>0</v>
      </c>
      <c r="M221" s="277">
        <v>0</v>
      </c>
      <c r="N221" s="277">
        <v>0</v>
      </c>
      <c r="O221" s="277">
        <v>0</v>
      </c>
      <c r="P221" s="277">
        <v>12784820</v>
      </c>
      <c r="Q221" s="277">
        <v>6392410</v>
      </c>
      <c r="R221" s="277">
        <v>5113928</v>
      </c>
      <c r="S221" s="277">
        <v>1150634</v>
      </c>
      <c r="T221" s="277">
        <v>127848</v>
      </c>
      <c r="U221" s="277">
        <v>12784820</v>
      </c>
      <c r="V221" s="277">
        <v>0</v>
      </c>
      <c r="W221" s="277">
        <v>6392410</v>
      </c>
      <c r="X221" s="277">
        <v>100612</v>
      </c>
      <c r="Y221" s="277">
        <v>100612</v>
      </c>
      <c r="Z221" s="277">
        <v>0</v>
      </c>
      <c r="AA221" s="277">
        <v>0</v>
      </c>
      <c r="AB221" s="277">
        <v>0</v>
      </c>
      <c r="AC221" s="277">
        <v>0</v>
      </c>
      <c r="AD221" s="277">
        <v>0</v>
      </c>
      <c r="AE221" s="277">
        <v>0</v>
      </c>
      <c r="AF221" s="277">
        <v>0</v>
      </c>
      <c r="AG221" s="277">
        <v>0</v>
      </c>
      <c r="AH221" s="277">
        <v>0</v>
      </c>
      <c r="AI221" s="277">
        <v>0</v>
      </c>
      <c r="AJ221" s="277">
        <v>0</v>
      </c>
      <c r="AK221" s="277">
        <v>0</v>
      </c>
      <c r="AL221" s="277">
        <v>0</v>
      </c>
      <c r="AM221" s="277">
        <v>-172793</v>
      </c>
      <c r="AN221" s="277">
        <v>-138234.4</v>
      </c>
      <c r="AO221" s="277">
        <v>-31102.74</v>
      </c>
      <c r="AP221" s="277">
        <v>-3455.86</v>
      </c>
      <c r="AQ221" s="277">
        <v>-345586</v>
      </c>
      <c r="AR221" s="277">
        <v>6219617</v>
      </c>
      <c r="AS221" s="277">
        <v>5076306</v>
      </c>
      <c r="AT221" s="277">
        <v>1119531</v>
      </c>
      <c r="AU221" s="277">
        <v>124392</v>
      </c>
      <c r="AV221" s="277">
        <v>12539846</v>
      </c>
      <c r="AW221" s="277">
        <v>55356</v>
      </c>
      <c r="AX221" s="277">
        <v>12215</v>
      </c>
      <c r="AY221" s="277">
        <v>1357</v>
      </c>
      <c r="AZ221" s="277">
        <v>68928</v>
      </c>
      <c r="BA221" s="277">
        <v>389087</v>
      </c>
      <c r="BB221" s="277">
        <v>87545</v>
      </c>
      <c r="BC221" s="277">
        <v>9727</v>
      </c>
      <c r="BD221" s="277">
        <v>486359</v>
      </c>
      <c r="BE221" s="277">
        <v>2021</v>
      </c>
      <c r="BF221" s="277">
        <v>455</v>
      </c>
      <c r="BG221" s="277">
        <v>51</v>
      </c>
      <c r="BH221" s="277">
        <v>2527</v>
      </c>
      <c r="BI221" s="277">
        <v>80850</v>
      </c>
      <c r="BJ221" s="277">
        <v>18191</v>
      </c>
      <c r="BK221" s="277">
        <v>2021</v>
      </c>
      <c r="BL221" s="277">
        <v>101062</v>
      </c>
      <c r="BM221" s="277">
        <v>4547</v>
      </c>
      <c r="BN221" s="277">
        <v>455</v>
      </c>
      <c r="BO221" s="277">
        <v>51</v>
      </c>
      <c r="BP221" s="277">
        <v>5053</v>
      </c>
      <c r="BQ221" s="277">
        <v>91865</v>
      </c>
      <c r="BR221" s="277">
        <v>9186</v>
      </c>
      <c r="BS221" s="277">
        <v>1021</v>
      </c>
      <c r="BT221" s="277">
        <v>102072</v>
      </c>
      <c r="BU221" s="277">
        <v>623726</v>
      </c>
      <c r="BV221" s="277">
        <v>128047</v>
      </c>
      <c r="BW221" s="277">
        <v>14228</v>
      </c>
      <c r="BX221" s="277">
        <v>766001</v>
      </c>
      <c r="BY221" s="278" t="s">
        <v>357</v>
      </c>
      <c r="BZ221" s="279" t="s">
        <v>1022</v>
      </c>
      <c r="CA221" s="280" t="s">
        <v>1009</v>
      </c>
    </row>
    <row r="222" spans="1:79" ht="12.75">
      <c r="A222" s="169">
        <v>215</v>
      </c>
      <c r="B222" s="172" t="s">
        <v>359</v>
      </c>
      <c r="C222" s="258" t="s">
        <v>360</v>
      </c>
      <c r="D222" s="277">
        <v>15984973.7</v>
      </c>
      <c r="E222" s="277">
        <v>34035.49</v>
      </c>
      <c r="F222" s="277">
        <v>0</v>
      </c>
      <c r="G222" s="277">
        <v>146250</v>
      </c>
      <c r="H222" s="277">
        <v>0</v>
      </c>
      <c r="I222" s="277">
        <v>146250</v>
      </c>
      <c r="J222" s="277">
        <v>0</v>
      </c>
      <c r="K222" s="277">
        <v>0</v>
      </c>
      <c r="L222" s="277">
        <v>0</v>
      </c>
      <c r="M222" s="277">
        <v>0</v>
      </c>
      <c r="N222" s="277">
        <v>0</v>
      </c>
      <c r="O222" s="277">
        <v>0</v>
      </c>
      <c r="P222" s="277">
        <v>15872759.2</v>
      </c>
      <c r="Q222" s="277">
        <v>7936379.18</v>
      </c>
      <c r="R222" s="277">
        <v>6349104</v>
      </c>
      <c r="S222" s="277">
        <v>1428548</v>
      </c>
      <c r="T222" s="277">
        <v>158728</v>
      </c>
      <c r="U222" s="277">
        <v>15872759</v>
      </c>
      <c r="V222" s="277">
        <v>0</v>
      </c>
      <c r="W222" s="277">
        <v>7936379.18</v>
      </c>
      <c r="X222" s="277">
        <v>146250</v>
      </c>
      <c r="Y222" s="277">
        <v>146250</v>
      </c>
      <c r="Z222" s="277">
        <v>0</v>
      </c>
      <c r="AA222" s="277">
        <v>0</v>
      </c>
      <c r="AB222" s="277">
        <v>0</v>
      </c>
      <c r="AC222" s="277">
        <v>0</v>
      </c>
      <c r="AD222" s="277">
        <v>0</v>
      </c>
      <c r="AE222" s="277">
        <v>0</v>
      </c>
      <c r="AF222" s="277">
        <v>0</v>
      </c>
      <c r="AG222" s="277">
        <v>0</v>
      </c>
      <c r="AH222" s="277">
        <v>0</v>
      </c>
      <c r="AI222" s="277">
        <v>0</v>
      </c>
      <c r="AJ222" s="277">
        <v>0</v>
      </c>
      <c r="AK222" s="277">
        <v>0</v>
      </c>
      <c r="AL222" s="277">
        <v>0</v>
      </c>
      <c r="AM222" s="277">
        <v>-424434.5</v>
      </c>
      <c r="AN222" s="277">
        <v>-339547.6</v>
      </c>
      <c r="AO222" s="277">
        <v>-76398.21</v>
      </c>
      <c r="AP222" s="277">
        <v>-8488.69</v>
      </c>
      <c r="AQ222" s="277">
        <v>-848869</v>
      </c>
      <c r="AR222" s="277">
        <v>7511945</v>
      </c>
      <c r="AS222" s="277">
        <v>6155806</v>
      </c>
      <c r="AT222" s="277">
        <v>1352150</v>
      </c>
      <c r="AU222" s="277">
        <v>150239</v>
      </c>
      <c r="AV222" s="277">
        <v>15170140</v>
      </c>
      <c r="AW222" s="277">
        <v>68953</v>
      </c>
      <c r="AX222" s="277">
        <v>15165</v>
      </c>
      <c r="AY222" s="277">
        <v>1685</v>
      </c>
      <c r="AZ222" s="277">
        <v>85803</v>
      </c>
      <c r="BA222" s="277">
        <v>545023</v>
      </c>
      <c r="BB222" s="277">
        <v>122630</v>
      </c>
      <c r="BC222" s="277">
        <v>13626</v>
      </c>
      <c r="BD222" s="277">
        <v>681279</v>
      </c>
      <c r="BE222" s="277">
        <v>0</v>
      </c>
      <c r="BF222" s="277">
        <v>0</v>
      </c>
      <c r="BG222" s="277">
        <v>0</v>
      </c>
      <c r="BH222" s="277">
        <v>0</v>
      </c>
      <c r="BI222" s="277">
        <v>0</v>
      </c>
      <c r="BJ222" s="277">
        <v>0</v>
      </c>
      <c r="BK222" s="277">
        <v>0</v>
      </c>
      <c r="BL222" s="277">
        <v>0</v>
      </c>
      <c r="BM222" s="277">
        <v>6468</v>
      </c>
      <c r="BN222" s="277">
        <v>1455</v>
      </c>
      <c r="BO222" s="277">
        <v>162</v>
      </c>
      <c r="BP222" s="277">
        <v>8085</v>
      </c>
      <c r="BQ222" s="277">
        <v>301599</v>
      </c>
      <c r="BR222" s="277">
        <v>67860</v>
      </c>
      <c r="BS222" s="277">
        <v>7540</v>
      </c>
      <c r="BT222" s="277">
        <v>376999</v>
      </c>
      <c r="BU222" s="277">
        <v>922043</v>
      </c>
      <c r="BV222" s="277">
        <v>207110</v>
      </c>
      <c r="BW222" s="277">
        <v>23013</v>
      </c>
      <c r="BX222" s="277">
        <v>1152166</v>
      </c>
      <c r="BY222" s="278" t="s">
        <v>359</v>
      </c>
      <c r="BZ222" s="279" t="s">
        <v>1039</v>
      </c>
      <c r="CA222" s="280" t="s">
        <v>1017</v>
      </c>
    </row>
    <row r="223" spans="1:79" ht="12.75">
      <c r="A223" s="169">
        <v>216</v>
      </c>
      <c r="B223" s="172" t="s">
        <v>361</v>
      </c>
      <c r="C223" s="258" t="s">
        <v>362</v>
      </c>
      <c r="D223" s="277">
        <v>72254333.7</v>
      </c>
      <c r="E223" s="277">
        <v>55712.41</v>
      </c>
      <c r="F223" s="277">
        <v>0</v>
      </c>
      <c r="G223" s="277">
        <v>307775</v>
      </c>
      <c r="H223" s="277">
        <v>0</v>
      </c>
      <c r="I223" s="277">
        <v>307775</v>
      </c>
      <c r="J223" s="277">
        <v>0</v>
      </c>
      <c r="K223" s="277">
        <v>0</v>
      </c>
      <c r="L223" s="277">
        <v>0</v>
      </c>
      <c r="M223" s="277">
        <v>151830</v>
      </c>
      <c r="N223" s="277">
        <v>151830</v>
      </c>
      <c r="O223" s="277">
        <v>0</v>
      </c>
      <c r="P223" s="277">
        <v>71850441.1</v>
      </c>
      <c r="Q223" s="277">
        <v>35925221.1</v>
      </c>
      <c r="R223" s="277">
        <v>35206716</v>
      </c>
      <c r="S223" s="277">
        <v>0</v>
      </c>
      <c r="T223" s="277">
        <v>718504</v>
      </c>
      <c r="U223" s="277">
        <v>71850441</v>
      </c>
      <c r="V223" s="277">
        <v>462440</v>
      </c>
      <c r="W223" s="277">
        <v>35462781.1</v>
      </c>
      <c r="X223" s="277">
        <v>307775</v>
      </c>
      <c r="Y223" s="277">
        <v>307775</v>
      </c>
      <c r="Z223" s="277">
        <v>0</v>
      </c>
      <c r="AA223" s="277">
        <v>0</v>
      </c>
      <c r="AB223" s="277">
        <v>0</v>
      </c>
      <c r="AC223" s="277">
        <v>0</v>
      </c>
      <c r="AD223" s="277">
        <v>151830</v>
      </c>
      <c r="AE223" s="277">
        <v>0</v>
      </c>
      <c r="AF223" s="277">
        <v>151830</v>
      </c>
      <c r="AG223" s="277">
        <v>462440</v>
      </c>
      <c r="AH223" s="277">
        <v>0</v>
      </c>
      <c r="AI223" s="277">
        <v>0</v>
      </c>
      <c r="AJ223" s="277">
        <v>462440</v>
      </c>
      <c r="AK223" s="277">
        <v>0</v>
      </c>
      <c r="AL223" s="277">
        <v>0</v>
      </c>
      <c r="AM223" s="277">
        <v>-1531916</v>
      </c>
      <c r="AN223" s="277">
        <v>-1501277.7</v>
      </c>
      <c r="AO223" s="277">
        <v>0</v>
      </c>
      <c r="AP223" s="277">
        <v>-30638.32</v>
      </c>
      <c r="AQ223" s="277">
        <v>-3063832</v>
      </c>
      <c r="AR223" s="277">
        <v>33930865</v>
      </c>
      <c r="AS223" s="277">
        <v>34627483</v>
      </c>
      <c r="AT223" s="277">
        <v>0</v>
      </c>
      <c r="AU223" s="277">
        <v>687866</v>
      </c>
      <c r="AV223" s="277">
        <v>69246214</v>
      </c>
      <c r="AW223" s="277">
        <v>383532</v>
      </c>
      <c r="AX223" s="277">
        <v>0</v>
      </c>
      <c r="AY223" s="277">
        <v>7627</v>
      </c>
      <c r="AZ223" s="277">
        <v>391159</v>
      </c>
      <c r="BA223" s="277">
        <v>1171487</v>
      </c>
      <c r="BB223" s="277">
        <v>0</v>
      </c>
      <c r="BC223" s="277">
        <v>23908</v>
      </c>
      <c r="BD223" s="277">
        <v>1195395</v>
      </c>
      <c r="BE223" s="277">
        <v>0</v>
      </c>
      <c r="BF223" s="277">
        <v>0</v>
      </c>
      <c r="BG223" s="277">
        <v>0</v>
      </c>
      <c r="BH223" s="277">
        <v>0</v>
      </c>
      <c r="BI223" s="277">
        <v>0</v>
      </c>
      <c r="BJ223" s="277">
        <v>0</v>
      </c>
      <c r="BK223" s="277">
        <v>0</v>
      </c>
      <c r="BL223" s="277">
        <v>0</v>
      </c>
      <c r="BM223" s="277">
        <v>0</v>
      </c>
      <c r="BN223" s="277">
        <v>0</v>
      </c>
      <c r="BO223" s="277">
        <v>0</v>
      </c>
      <c r="BP223" s="277">
        <v>0</v>
      </c>
      <c r="BQ223" s="277">
        <v>396161</v>
      </c>
      <c r="BR223" s="277">
        <v>0</v>
      </c>
      <c r="BS223" s="277">
        <v>8085</v>
      </c>
      <c r="BT223" s="277">
        <v>404246</v>
      </c>
      <c r="BU223" s="277">
        <v>1951180</v>
      </c>
      <c r="BV223" s="277">
        <v>0</v>
      </c>
      <c r="BW223" s="277">
        <v>39620</v>
      </c>
      <c r="BX223" s="277">
        <v>1990800</v>
      </c>
      <c r="BY223" s="278" t="s">
        <v>361</v>
      </c>
      <c r="BZ223" s="279" t="s">
        <v>996</v>
      </c>
      <c r="CA223" s="280" t="s">
        <v>997</v>
      </c>
    </row>
    <row r="224" spans="1:79" ht="12.75">
      <c r="A224" s="169">
        <v>217</v>
      </c>
      <c r="B224" s="172" t="s">
        <v>363</v>
      </c>
      <c r="C224" s="258" t="s">
        <v>364</v>
      </c>
      <c r="D224" s="277">
        <v>41289853</v>
      </c>
      <c r="E224" s="277">
        <v>29110</v>
      </c>
      <c r="F224" s="277">
        <v>0</v>
      </c>
      <c r="G224" s="277">
        <v>135186</v>
      </c>
      <c r="H224" s="277">
        <v>0</v>
      </c>
      <c r="I224" s="277">
        <v>135186</v>
      </c>
      <c r="J224" s="277">
        <v>0</v>
      </c>
      <c r="K224" s="277">
        <v>0</v>
      </c>
      <c r="L224" s="277">
        <v>0</v>
      </c>
      <c r="M224" s="277">
        <v>0</v>
      </c>
      <c r="N224" s="277">
        <v>0</v>
      </c>
      <c r="O224" s="277">
        <v>0</v>
      </c>
      <c r="P224" s="277">
        <v>41183777</v>
      </c>
      <c r="Q224" s="277">
        <v>20591888</v>
      </c>
      <c r="R224" s="277">
        <v>16473511</v>
      </c>
      <c r="S224" s="277">
        <v>4118378</v>
      </c>
      <c r="T224" s="277">
        <v>0</v>
      </c>
      <c r="U224" s="277">
        <v>41183777</v>
      </c>
      <c r="V224" s="277">
        <v>0</v>
      </c>
      <c r="W224" s="277">
        <v>20591888</v>
      </c>
      <c r="X224" s="277">
        <v>135186</v>
      </c>
      <c r="Y224" s="277">
        <v>135186</v>
      </c>
      <c r="Z224" s="277">
        <v>0</v>
      </c>
      <c r="AA224" s="277">
        <v>0</v>
      </c>
      <c r="AB224" s="277">
        <v>0</v>
      </c>
      <c r="AC224" s="277">
        <v>0</v>
      </c>
      <c r="AD224" s="277">
        <v>0</v>
      </c>
      <c r="AE224" s="277">
        <v>0</v>
      </c>
      <c r="AF224" s="277">
        <v>0</v>
      </c>
      <c r="AG224" s="277">
        <v>0</v>
      </c>
      <c r="AH224" s="277">
        <v>0</v>
      </c>
      <c r="AI224" s="277">
        <v>0</v>
      </c>
      <c r="AJ224" s="277">
        <v>0</v>
      </c>
      <c r="AK224" s="277">
        <v>0</v>
      </c>
      <c r="AL224" s="277">
        <v>0</v>
      </c>
      <c r="AM224" s="277">
        <v>-844176.5</v>
      </c>
      <c r="AN224" s="277">
        <v>-675341.2</v>
      </c>
      <c r="AO224" s="277">
        <v>-168835.3</v>
      </c>
      <c r="AP224" s="277">
        <v>0</v>
      </c>
      <c r="AQ224" s="277">
        <v>-1688353</v>
      </c>
      <c r="AR224" s="277">
        <v>19747712</v>
      </c>
      <c r="AS224" s="277">
        <v>15933356</v>
      </c>
      <c r="AT224" s="277">
        <v>3949543</v>
      </c>
      <c r="AU224" s="277">
        <v>0</v>
      </c>
      <c r="AV224" s="277">
        <v>39630610</v>
      </c>
      <c r="AW224" s="277">
        <v>176313</v>
      </c>
      <c r="AX224" s="277">
        <v>43720</v>
      </c>
      <c r="AY224" s="277">
        <v>0</v>
      </c>
      <c r="AZ224" s="277">
        <v>220033</v>
      </c>
      <c r="BA224" s="277">
        <v>346599</v>
      </c>
      <c r="BB224" s="277">
        <v>86650</v>
      </c>
      <c r="BC224" s="277">
        <v>0</v>
      </c>
      <c r="BD224" s="277">
        <v>433249</v>
      </c>
      <c r="BE224" s="277">
        <v>0</v>
      </c>
      <c r="BF224" s="277">
        <v>0</v>
      </c>
      <c r="BG224" s="277">
        <v>0</v>
      </c>
      <c r="BH224" s="277">
        <v>0</v>
      </c>
      <c r="BI224" s="277">
        <v>0</v>
      </c>
      <c r="BJ224" s="277">
        <v>0</v>
      </c>
      <c r="BK224" s="277">
        <v>0</v>
      </c>
      <c r="BL224" s="277">
        <v>0</v>
      </c>
      <c r="BM224" s="277">
        <v>0</v>
      </c>
      <c r="BN224" s="277">
        <v>0</v>
      </c>
      <c r="BO224" s="277">
        <v>0</v>
      </c>
      <c r="BP224" s="277">
        <v>0</v>
      </c>
      <c r="BQ224" s="277">
        <v>163067</v>
      </c>
      <c r="BR224" s="277">
        <v>40767</v>
      </c>
      <c r="BS224" s="277">
        <v>0</v>
      </c>
      <c r="BT224" s="277">
        <v>203834</v>
      </c>
      <c r="BU224" s="277">
        <v>685979</v>
      </c>
      <c r="BV224" s="277">
        <v>171137</v>
      </c>
      <c r="BW224" s="277">
        <v>0</v>
      </c>
      <c r="BX224" s="277">
        <v>857116</v>
      </c>
      <c r="BY224" s="278" t="s">
        <v>363</v>
      </c>
      <c r="BZ224" s="279" t="s">
        <v>1049</v>
      </c>
      <c r="CA224" s="280" t="s">
        <v>984</v>
      </c>
    </row>
    <row r="225" spans="1:79" ht="12.75">
      <c r="A225" s="169">
        <v>218</v>
      </c>
      <c r="B225" s="172" t="s">
        <v>365</v>
      </c>
      <c r="C225" s="258" t="s">
        <v>366</v>
      </c>
      <c r="D225" s="277">
        <v>43942074.7</v>
      </c>
      <c r="E225" s="277">
        <v>0</v>
      </c>
      <c r="F225" s="277">
        <v>2072.58</v>
      </c>
      <c r="G225" s="277">
        <v>127393</v>
      </c>
      <c r="H225" s="277">
        <v>0</v>
      </c>
      <c r="I225" s="277">
        <v>127393</v>
      </c>
      <c r="J225" s="277">
        <v>0</v>
      </c>
      <c r="K225" s="277">
        <v>0</v>
      </c>
      <c r="L225" s="277">
        <v>0</v>
      </c>
      <c r="M225" s="277">
        <v>0</v>
      </c>
      <c r="N225" s="277">
        <v>0</v>
      </c>
      <c r="O225" s="277">
        <v>0</v>
      </c>
      <c r="P225" s="277">
        <v>43812609.2</v>
      </c>
      <c r="Q225" s="277">
        <v>21906304.2</v>
      </c>
      <c r="R225" s="277">
        <v>17525044</v>
      </c>
      <c r="S225" s="277">
        <v>4381261</v>
      </c>
      <c r="T225" s="277">
        <v>0</v>
      </c>
      <c r="U225" s="277">
        <v>43812609</v>
      </c>
      <c r="V225" s="277">
        <v>0</v>
      </c>
      <c r="W225" s="277">
        <v>21906304.2</v>
      </c>
      <c r="X225" s="277">
        <v>127393</v>
      </c>
      <c r="Y225" s="277">
        <v>127393</v>
      </c>
      <c r="Z225" s="277">
        <v>0</v>
      </c>
      <c r="AA225" s="277">
        <v>0</v>
      </c>
      <c r="AB225" s="277">
        <v>0</v>
      </c>
      <c r="AC225" s="277">
        <v>0</v>
      </c>
      <c r="AD225" s="277">
        <v>0</v>
      </c>
      <c r="AE225" s="277">
        <v>0</v>
      </c>
      <c r="AF225" s="277">
        <v>0</v>
      </c>
      <c r="AG225" s="277">
        <v>0</v>
      </c>
      <c r="AH225" s="277">
        <v>0</v>
      </c>
      <c r="AI225" s="277">
        <v>0</v>
      </c>
      <c r="AJ225" s="277">
        <v>0</v>
      </c>
      <c r="AK225" s="277">
        <v>0</v>
      </c>
      <c r="AL225" s="277">
        <v>0</v>
      </c>
      <c r="AM225" s="277">
        <v>-780858.68</v>
      </c>
      <c r="AN225" s="277">
        <v>-624686.94</v>
      </c>
      <c r="AO225" s="277">
        <v>-156171.74</v>
      </c>
      <c r="AP225" s="277">
        <v>0</v>
      </c>
      <c r="AQ225" s="277">
        <v>-1561717.4</v>
      </c>
      <c r="AR225" s="277">
        <v>21125445</v>
      </c>
      <c r="AS225" s="277">
        <v>17027750</v>
      </c>
      <c r="AT225" s="277">
        <v>4225089</v>
      </c>
      <c r="AU225" s="277">
        <v>0</v>
      </c>
      <c r="AV225" s="277">
        <v>42378285</v>
      </c>
      <c r="AW225" s="277">
        <v>187393</v>
      </c>
      <c r="AX225" s="277">
        <v>46510</v>
      </c>
      <c r="AY225" s="277">
        <v>0</v>
      </c>
      <c r="AZ225" s="277">
        <v>233903</v>
      </c>
      <c r="BA225" s="277">
        <v>244344</v>
      </c>
      <c r="BB225" s="277">
        <v>61086</v>
      </c>
      <c r="BC225" s="277">
        <v>0</v>
      </c>
      <c r="BD225" s="277">
        <v>305430</v>
      </c>
      <c r="BE225" s="277">
        <v>0</v>
      </c>
      <c r="BF225" s="277">
        <v>0</v>
      </c>
      <c r="BG225" s="277">
        <v>0</v>
      </c>
      <c r="BH225" s="277">
        <v>0</v>
      </c>
      <c r="BI225" s="277">
        <v>0</v>
      </c>
      <c r="BJ225" s="277">
        <v>0</v>
      </c>
      <c r="BK225" s="277">
        <v>0</v>
      </c>
      <c r="BL225" s="277">
        <v>0</v>
      </c>
      <c r="BM225" s="277">
        <v>16170</v>
      </c>
      <c r="BN225" s="277">
        <v>4042</v>
      </c>
      <c r="BO225" s="277">
        <v>0</v>
      </c>
      <c r="BP225" s="277">
        <v>20212</v>
      </c>
      <c r="BQ225" s="277">
        <v>223144</v>
      </c>
      <c r="BR225" s="277">
        <v>55786</v>
      </c>
      <c r="BS225" s="277">
        <v>0</v>
      </c>
      <c r="BT225" s="277">
        <v>278930</v>
      </c>
      <c r="BU225" s="277">
        <v>671051</v>
      </c>
      <c r="BV225" s="277">
        <v>167424</v>
      </c>
      <c r="BW225" s="277">
        <v>0</v>
      </c>
      <c r="BX225" s="277">
        <v>838475</v>
      </c>
      <c r="BY225" s="278" t="s">
        <v>365</v>
      </c>
      <c r="BZ225" s="279" t="s">
        <v>1040</v>
      </c>
      <c r="CA225" s="280" t="s">
        <v>984</v>
      </c>
    </row>
    <row r="226" spans="1:79" ht="12.75">
      <c r="A226" s="169">
        <v>219</v>
      </c>
      <c r="B226" s="172" t="s">
        <v>367</v>
      </c>
      <c r="C226" s="258" t="s">
        <v>368</v>
      </c>
      <c r="D226" s="277">
        <v>26488945.3</v>
      </c>
      <c r="E226" s="277">
        <v>440895.75</v>
      </c>
      <c r="F226" s="277">
        <v>0</v>
      </c>
      <c r="G226" s="277">
        <v>109949</v>
      </c>
      <c r="H226" s="277">
        <v>0</v>
      </c>
      <c r="I226" s="277">
        <v>109949</v>
      </c>
      <c r="J226" s="277">
        <v>0</v>
      </c>
      <c r="K226" s="277">
        <v>0</v>
      </c>
      <c r="L226" s="277">
        <v>0</v>
      </c>
      <c r="M226" s="277">
        <v>0</v>
      </c>
      <c r="N226" s="277">
        <v>0</v>
      </c>
      <c r="O226" s="277">
        <v>0</v>
      </c>
      <c r="P226" s="277">
        <v>26819892.1</v>
      </c>
      <c r="Q226" s="277">
        <v>13409946.1</v>
      </c>
      <c r="R226" s="277">
        <v>10727957</v>
      </c>
      <c r="S226" s="277">
        <v>2413790</v>
      </c>
      <c r="T226" s="277">
        <v>268199</v>
      </c>
      <c r="U226" s="277">
        <v>26819892</v>
      </c>
      <c r="V226" s="277">
        <v>0</v>
      </c>
      <c r="W226" s="277">
        <v>13409946.1</v>
      </c>
      <c r="X226" s="277">
        <v>109949</v>
      </c>
      <c r="Y226" s="277">
        <v>109949</v>
      </c>
      <c r="Z226" s="277">
        <v>0</v>
      </c>
      <c r="AA226" s="277">
        <v>0</v>
      </c>
      <c r="AB226" s="277">
        <v>0</v>
      </c>
      <c r="AC226" s="277">
        <v>0</v>
      </c>
      <c r="AD226" s="277">
        <v>0</v>
      </c>
      <c r="AE226" s="277">
        <v>0</v>
      </c>
      <c r="AF226" s="277">
        <v>0</v>
      </c>
      <c r="AG226" s="277">
        <v>0</v>
      </c>
      <c r="AH226" s="277">
        <v>0</v>
      </c>
      <c r="AI226" s="277">
        <v>0</v>
      </c>
      <c r="AJ226" s="277">
        <v>0</v>
      </c>
      <c r="AK226" s="277">
        <v>0</v>
      </c>
      <c r="AL226" s="277">
        <v>0</v>
      </c>
      <c r="AM226" s="277">
        <v>-692817.25</v>
      </c>
      <c r="AN226" s="277">
        <v>-554253.8</v>
      </c>
      <c r="AO226" s="277">
        <v>-124707.11</v>
      </c>
      <c r="AP226" s="277">
        <v>-13856.35</v>
      </c>
      <c r="AQ226" s="277">
        <v>-1385634.5</v>
      </c>
      <c r="AR226" s="277">
        <v>12717129</v>
      </c>
      <c r="AS226" s="277">
        <v>10283652</v>
      </c>
      <c r="AT226" s="277">
        <v>2289083</v>
      </c>
      <c r="AU226" s="277">
        <v>254343</v>
      </c>
      <c r="AV226" s="277">
        <v>25544207</v>
      </c>
      <c r="AW226" s="277">
        <v>115052</v>
      </c>
      <c r="AX226" s="277">
        <v>25624</v>
      </c>
      <c r="AY226" s="277">
        <v>2847</v>
      </c>
      <c r="AZ226" s="277">
        <v>143523</v>
      </c>
      <c r="BA226" s="277">
        <v>354962</v>
      </c>
      <c r="BB226" s="277">
        <v>79867</v>
      </c>
      <c r="BC226" s="277">
        <v>8874</v>
      </c>
      <c r="BD226" s="277">
        <v>443703</v>
      </c>
      <c r="BE226" s="277">
        <v>4042</v>
      </c>
      <c r="BF226" s="277">
        <v>910</v>
      </c>
      <c r="BG226" s="277">
        <v>101</v>
      </c>
      <c r="BH226" s="277">
        <v>5053</v>
      </c>
      <c r="BI226" s="277">
        <v>4042</v>
      </c>
      <c r="BJ226" s="277">
        <v>910</v>
      </c>
      <c r="BK226" s="277">
        <v>101</v>
      </c>
      <c r="BL226" s="277">
        <v>5053</v>
      </c>
      <c r="BM226" s="277">
        <v>8456</v>
      </c>
      <c r="BN226" s="277">
        <v>1903</v>
      </c>
      <c r="BO226" s="277">
        <v>211</v>
      </c>
      <c r="BP226" s="277">
        <v>10570</v>
      </c>
      <c r="BQ226" s="277">
        <v>128660</v>
      </c>
      <c r="BR226" s="277">
        <v>28949</v>
      </c>
      <c r="BS226" s="277">
        <v>3217</v>
      </c>
      <c r="BT226" s="277">
        <v>160826</v>
      </c>
      <c r="BU226" s="277">
        <v>615214</v>
      </c>
      <c r="BV226" s="277">
        <v>138163</v>
      </c>
      <c r="BW226" s="277">
        <v>15351</v>
      </c>
      <c r="BX226" s="277">
        <v>768728</v>
      </c>
      <c r="BY226" s="278" t="s">
        <v>367</v>
      </c>
      <c r="BZ226" s="279" t="s">
        <v>988</v>
      </c>
      <c r="CA226" s="280" t="s">
        <v>989</v>
      </c>
    </row>
    <row r="227" spans="1:79" ht="12.75">
      <c r="A227" s="169">
        <v>220</v>
      </c>
      <c r="B227" s="172" t="s">
        <v>369</v>
      </c>
      <c r="C227" s="258" t="s">
        <v>370</v>
      </c>
      <c r="D227" s="277">
        <v>39953811.4</v>
      </c>
      <c r="E227" s="277">
        <v>6725</v>
      </c>
      <c r="F227" s="277">
        <v>0</v>
      </c>
      <c r="G227" s="277">
        <v>124863</v>
      </c>
      <c r="H227" s="277">
        <v>0</v>
      </c>
      <c r="I227" s="277">
        <v>124863</v>
      </c>
      <c r="J227" s="277">
        <v>0</v>
      </c>
      <c r="K227" s="277">
        <v>0</v>
      </c>
      <c r="L227" s="277">
        <v>0</v>
      </c>
      <c r="M227" s="277">
        <v>0</v>
      </c>
      <c r="N227" s="277">
        <v>0</v>
      </c>
      <c r="O227" s="277">
        <v>0</v>
      </c>
      <c r="P227" s="277">
        <v>39835673.4</v>
      </c>
      <c r="Q227" s="277">
        <v>19917836.4</v>
      </c>
      <c r="R227" s="277">
        <v>15934269</v>
      </c>
      <c r="S227" s="277">
        <v>3585211</v>
      </c>
      <c r="T227" s="277">
        <v>398357</v>
      </c>
      <c r="U227" s="277">
        <v>39835673</v>
      </c>
      <c r="V227" s="277">
        <v>0</v>
      </c>
      <c r="W227" s="277">
        <v>19917836.4</v>
      </c>
      <c r="X227" s="277">
        <v>124863</v>
      </c>
      <c r="Y227" s="277">
        <v>124863</v>
      </c>
      <c r="Z227" s="277">
        <v>0</v>
      </c>
      <c r="AA227" s="277">
        <v>0</v>
      </c>
      <c r="AB227" s="277">
        <v>0</v>
      </c>
      <c r="AC227" s="277">
        <v>0</v>
      </c>
      <c r="AD227" s="277">
        <v>0</v>
      </c>
      <c r="AE227" s="277">
        <v>0</v>
      </c>
      <c r="AF227" s="277">
        <v>0</v>
      </c>
      <c r="AG227" s="277">
        <v>0</v>
      </c>
      <c r="AH227" s="277">
        <v>0</v>
      </c>
      <c r="AI227" s="277">
        <v>0</v>
      </c>
      <c r="AJ227" s="277">
        <v>0</v>
      </c>
      <c r="AK227" s="277">
        <v>0</v>
      </c>
      <c r="AL227" s="277">
        <v>0</v>
      </c>
      <c r="AM227" s="277">
        <v>-5592197.5</v>
      </c>
      <c r="AN227" s="277">
        <v>-4473758</v>
      </c>
      <c r="AO227" s="277">
        <v>-1006595.6</v>
      </c>
      <c r="AP227" s="277">
        <v>-111843.95</v>
      </c>
      <c r="AQ227" s="277">
        <v>-11184395</v>
      </c>
      <c r="AR227" s="277">
        <v>14325639</v>
      </c>
      <c r="AS227" s="277">
        <v>11585374</v>
      </c>
      <c r="AT227" s="277">
        <v>2578615</v>
      </c>
      <c r="AU227" s="277">
        <v>286513</v>
      </c>
      <c r="AV227" s="277">
        <v>28776141</v>
      </c>
      <c r="AW227" s="277">
        <v>170479</v>
      </c>
      <c r="AX227" s="277">
        <v>38060</v>
      </c>
      <c r="AY227" s="277">
        <v>4229</v>
      </c>
      <c r="AZ227" s="277">
        <v>212768</v>
      </c>
      <c r="BA227" s="277">
        <v>232799</v>
      </c>
      <c r="BB227" s="277">
        <v>52380</v>
      </c>
      <c r="BC227" s="277">
        <v>5820</v>
      </c>
      <c r="BD227" s="277">
        <v>290999</v>
      </c>
      <c r="BE227" s="277">
        <v>10589</v>
      </c>
      <c r="BF227" s="277">
        <v>2383</v>
      </c>
      <c r="BG227" s="277">
        <v>265</v>
      </c>
      <c r="BH227" s="277">
        <v>13237</v>
      </c>
      <c r="BI227" s="277">
        <v>35219</v>
      </c>
      <c r="BJ227" s="277">
        <v>7924</v>
      </c>
      <c r="BK227" s="277">
        <v>880</v>
      </c>
      <c r="BL227" s="277">
        <v>44023</v>
      </c>
      <c r="BM227" s="277">
        <v>9298</v>
      </c>
      <c r="BN227" s="277">
        <v>2092</v>
      </c>
      <c r="BO227" s="277">
        <v>232</v>
      </c>
      <c r="BP227" s="277">
        <v>11622</v>
      </c>
      <c r="BQ227" s="277">
        <v>227859</v>
      </c>
      <c r="BR227" s="277">
        <v>51269</v>
      </c>
      <c r="BS227" s="277">
        <v>5697</v>
      </c>
      <c r="BT227" s="277">
        <v>284825</v>
      </c>
      <c r="BU227" s="277">
        <v>686243</v>
      </c>
      <c r="BV227" s="277">
        <v>154108</v>
      </c>
      <c r="BW227" s="277">
        <v>17123</v>
      </c>
      <c r="BX227" s="277">
        <v>857474</v>
      </c>
      <c r="BY227" s="278" t="s">
        <v>369</v>
      </c>
      <c r="BZ227" s="279" t="s">
        <v>1000</v>
      </c>
      <c r="CA227" s="280" t="s">
        <v>1001</v>
      </c>
    </row>
    <row r="228" spans="1:79" ht="12.75">
      <c r="A228" s="169">
        <v>221</v>
      </c>
      <c r="B228" s="172" t="s">
        <v>371</v>
      </c>
      <c r="C228" s="258" t="s">
        <v>372</v>
      </c>
      <c r="D228" s="277">
        <v>9954737</v>
      </c>
      <c r="E228" s="277">
        <v>17261</v>
      </c>
      <c r="F228" s="277">
        <v>0</v>
      </c>
      <c r="G228" s="277">
        <v>53083</v>
      </c>
      <c r="H228" s="277">
        <v>0</v>
      </c>
      <c r="I228" s="277">
        <v>53083</v>
      </c>
      <c r="J228" s="277">
        <v>0</v>
      </c>
      <c r="K228" s="277">
        <v>0</v>
      </c>
      <c r="L228" s="277">
        <v>0</v>
      </c>
      <c r="M228" s="277">
        <v>0</v>
      </c>
      <c r="N228" s="277">
        <v>0</v>
      </c>
      <c r="O228" s="277">
        <v>0</v>
      </c>
      <c r="P228" s="277">
        <v>9918915</v>
      </c>
      <c r="Q228" s="277">
        <v>4959458</v>
      </c>
      <c r="R228" s="277">
        <v>4860268</v>
      </c>
      <c r="S228" s="277">
        <v>0</v>
      </c>
      <c r="T228" s="277">
        <v>99189</v>
      </c>
      <c r="U228" s="277">
        <v>9918915</v>
      </c>
      <c r="V228" s="277">
        <v>0</v>
      </c>
      <c r="W228" s="277">
        <v>4959458</v>
      </c>
      <c r="X228" s="277">
        <v>53083</v>
      </c>
      <c r="Y228" s="277">
        <v>53083</v>
      </c>
      <c r="Z228" s="277">
        <v>0</v>
      </c>
      <c r="AA228" s="277">
        <v>0</v>
      </c>
      <c r="AB228" s="277">
        <v>0</v>
      </c>
      <c r="AC228" s="277">
        <v>0</v>
      </c>
      <c r="AD228" s="277">
        <v>0</v>
      </c>
      <c r="AE228" s="277">
        <v>0</v>
      </c>
      <c r="AF228" s="277">
        <v>0</v>
      </c>
      <c r="AG228" s="277">
        <v>0</v>
      </c>
      <c r="AH228" s="277">
        <v>0</v>
      </c>
      <c r="AI228" s="277">
        <v>0</v>
      </c>
      <c r="AJ228" s="277">
        <v>0</v>
      </c>
      <c r="AK228" s="277">
        <v>0</v>
      </c>
      <c r="AL228" s="277">
        <v>0</v>
      </c>
      <c r="AM228" s="277">
        <v>57018.67</v>
      </c>
      <c r="AN228" s="277">
        <v>55878.29</v>
      </c>
      <c r="AO228" s="277">
        <v>0</v>
      </c>
      <c r="AP228" s="277">
        <v>1140.37</v>
      </c>
      <c r="AQ228" s="277">
        <v>114037.33</v>
      </c>
      <c r="AR228" s="277">
        <v>5016477</v>
      </c>
      <c r="AS228" s="277">
        <v>4969229</v>
      </c>
      <c r="AT228" s="277">
        <v>0</v>
      </c>
      <c r="AU228" s="277">
        <v>100329</v>
      </c>
      <c r="AV228" s="277">
        <v>10086035</v>
      </c>
      <c r="AW228" s="277">
        <v>52159</v>
      </c>
      <c r="AX228" s="277">
        <v>0</v>
      </c>
      <c r="AY228" s="277">
        <v>1053</v>
      </c>
      <c r="AZ228" s="277">
        <v>53212</v>
      </c>
      <c r="BA228" s="277">
        <v>200189</v>
      </c>
      <c r="BB228" s="277">
        <v>0</v>
      </c>
      <c r="BC228" s="277">
        <v>4086</v>
      </c>
      <c r="BD228" s="277">
        <v>204275</v>
      </c>
      <c r="BE228" s="277">
        <v>4942</v>
      </c>
      <c r="BF228" s="277">
        <v>0</v>
      </c>
      <c r="BG228" s="277">
        <v>101</v>
      </c>
      <c r="BH228" s="277">
        <v>5043</v>
      </c>
      <c r="BI228" s="277">
        <v>4846</v>
      </c>
      <c r="BJ228" s="277">
        <v>0</v>
      </c>
      <c r="BK228" s="277">
        <v>99</v>
      </c>
      <c r="BL228" s="277">
        <v>4945</v>
      </c>
      <c r="BM228" s="277">
        <v>13174</v>
      </c>
      <c r="BN228" s="277">
        <v>0</v>
      </c>
      <c r="BO228" s="277">
        <v>269</v>
      </c>
      <c r="BP228" s="277">
        <v>13443</v>
      </c>
      <c r="BQ228" s="277">
        <v>85441</v>
      </c>
      <c r="BR228" s="277">
        <v>0</v>
      </c>
      <c r="BS228" s="277">
        <v>1744</v>
      </c>
      <c r="BT228" s="277">
        <v>87185</v>
      </c>
      <c r="BU228" s="277">
        <v>360751</v>
      </c>
      <c r="BV228" s="277">
        <v>0</v>
      </c>
      <c r="BW228" s="277">
        <v>7352</v>
      </c>
      <c r="BX228" s="277">
        <v>368103</v>
      </c>
      <c r="BY228" s="278" t="s">
        <v>916</v>
      </c>
      <c r="BZ228" s="279" t="s">
        <v>1003</v>
      </c>
      <c r="CA228" s="280" t="s">
        <v>1008</v>
      </c>
    </row>
    <row r="229" spans="1:79" ht="12.75">
      <c r="A229" s="169">
        <v>222</v>
      </c>
      <c r="B229" s="172" t="s">
        <v>373</v>
      </c>
      <c r="C229" s="258" t="s">
        <v>374</v>
      </c>
      <c r="D229" s="277">
        <v>16242610</v>
      </c>
      <c r="E229" s="277">
        <v>50014</v>
      </c>
      <c r="F229" s="277">
        <v>0</v>
      </c>
      <c r="G229" s="277">
        <v>111446</v>
      </c>
      <c r="H229" s="277">
        <v>0</v>
      </c>
      <c r="I229" s="277">
        <v>111446</v>
      </c>
      <c r="J229" s="277">
        <v>0</v>
      </c>
      <c r="K229" s="277">
        <v>0</v>
      </c>
      <c r="L229" s="277">
        <v>0</v>
      </c>
      <c r="M229" s="277">
        <v>0</v>
      </c>
      <c r="N229" s="277">
        <v>0</v>
      </c>
      <c r="O229" s="277">
        <v>0</v>
      </c>
      <c r="P229" s="277">
        <v>16181178</v>
      </c>
      <c r="Q229" s="277">
        <v>8090589</v>
      </c>
      <c r="R229" s="277">
        <v>6472471</v>
      </c>
      <c r="S229" s="277">
        <v>1456306</v>
      </c>
      <c r="T229" s="277">
        <v>161812</v>
      </c>
      <c r="U229" s="277">
        <v>16181178</v>
      </c>
      <c r="V229" s="277">
        <v>0</v>
      </c>
      <c r="W229" s="277">
        <v>8090589</v>
      </c>
      <c r="X229" s="277">
        <v>111446</v>
      </c>
      <c r="Y229" s="277">
        <v>111446</v>
      </c>
      <c r="Z229" s="277">
        <v>0</v>
      </c>
      <c r="AA229" s="277">
        <v>0</v>
      </c>
      <c r="AB229" s="277">
        <v>0</v>
      </c>
      <c r="AC229" s="277">
        <v>0</v>
      </c>
      <c r="AD229" s="277">
        <v>0</v>
      </c>
      <c r="AE229" s="277">
        <v>0</v>
      </c>
      <c r="AF229" s="277">
        <v>0</v>
      </c>
      <c r="AG229" s="277">
        <v>0</v>
      </c>
      <c r="AH229" s="277">
        <v>0</v>
      </c>
      <c r="AI229" s="277">
        <v>0</v>
      </c>
      <c r="AJ229" s="277">
        <v>0</v>
      </c>
      <c r="AK229" s="277">
        <v>0</v>
      </c>
      <c r="AL229" s="277">
        <v>0</v>
      </c>
      <c r="AM229" s="277">
        <v>-537967</v>
      </c>
      <c r="AN229" s="277">
        <v>-430373.6</v>
      </c>
      <c r="AO229" s="277">
        <v>-96834.06</v>
      </c>
      <c r="AP229" s="277">
        <v>-10759.34</v>
      </c>
      <c r="AQ229" s="277">
        <v>-1075934</v>
      </c>
      <c r="AR229" s="277">
        <v>7552622</v>
      </c>
      <c r="AS229" s="277">
        <v>6153543</v>
      </c>
      <c r="AT229" s="277">
        <v>1359472</v>
      </c>
      <c r="AU229" s="277">
        <v>151053</v>
      </c>
      <c r="AV229" s="277">
        <v>15216690</v>
      </c>
      <c r="AW229" s="277">
        <v>69893</v>
      </c>
      <c r="AX229" s="277">
        <v>15460</v>
      </c>
      <c r="AY229" s="277">
        <v>1718</v>
      </c>
      <c r="AZ229" s="277">
        <v>87071</v>
      </c>
      <c r="BA229" s="277">
        <v>418597</v>
      </c>
      <c r="BB229" s="277">
        <v>94184</v>
      </c>
      <c r="BC229" s="277">
        <v>10465</v>
      </c>
      <c r="BD229" s="277">
        <v>523246</v>
      </c>
      <c r="BE229" s="277">
        <v>6064</v>
      </c>
      <c r="BF229" s="277">
        <v>1364</v>
      </c>
      <c r="BG229" s="277">
        <v>152</v>
      </c>
      <c r="BH229" s="277">
        <v>7580</v>
      </c>
      <c r="BI229" s="277">
        <v>0</v>
      </c>
      <c r="BJ229" s="277">
        <v>0</v>
      </c>
      <c r="BK229" s="277">
        <v>0</v>
      </c>
      <c r="BL229" s="277">
        <v>0</v>
      </c>
      <c r="BM229" s="277">
        <v>18191</v>
      </c>
      <c r="BN229" s="277">
        <v>4093</v>
      </c>
      <c r="BO229" s="277">
        <v>455</v>
      </c>
      <c r="BP229" s="277">
        <v>22739</v>
      </c>
      <c r="BQ229" s="277">
        <v>140282</v>
      </c>
      <c r="BR229" s="277">
        <v>31564</v>
      </c>
      <c r="BS229" s="277">
        <v>3507</v>
      </c>
      <c r="BT229" s="277">
        <v>175353</v>
      </c>
      <c r="BU229" s="277">
        <v>653027</v>
      </c>
      <c r="BV229" s="277">
        <v>146665</v>
      </c>
      <c r="BW229" s="277">
        <v>16297</v>
      </c>
      <c r="BX229" s="277">
        <v>815989</v>
      </c>
      <c r="BY229" s="278" t="s">
        <v>373</v>
      </c>
      <c r="BZ229" s="279" t="s">
        <v>1033</v>
      </c>
      <c r="CA229" s="280" t="s">
        <v>1034</v>
      </c>
    </row>
    <row r="230" spans="1:79" ht="12.75">
      <c r="A230" s="169">
        <v>223</v>
      </c>
      <c r="B230" s="172" t="s">
        <v>375</v>
      </c>
      <c r="C230" s="258" t="s">
        <v>376</v>
      </c>
      <c r="D230" s="277">
        <v>89622748</v>
      </c>
      <c r="E230" s="277">
        <v>43782</v>
      </c>
      <c r="F230" s="277">
        <v>0</v>
      </c>
      <c r="G230" s="277">
        <v>445614</v>
      </c>
      <c r="H230" s="277">
        <v>0</v>
      </c>
      <c r="I230" s="277">
        <v>445614</v>
      </c>
      <c r="J230" s="277">
        <v>0</v>
      </c>
      <c r="K230" s="277">
        <v>0</v>
      </c>
      <c r="L230" s="277">
        <v>0</v>
      </c>
      <c r="M230" s="277">
        <v>0</v>
      </c>
      <c r="N230" s="277">
        <v>0</v>
      </c>
      <c r="O230" s="277">
        <v>0</v>
      </c>
      <c r="P230" s="277">
        <v>89220916</v>
      </c>
      <c r="Q230" s="277">
        <v>44610458</v>
      </c>
      <c r="R230" s="277">
        <v>43718249</v>
      </c>
      <c r="S230" s="277">
        <v>0</v>
      </c>
      <c r="T230" s="277">
        <v>892209</v>
      </c>
      <c r="U230" s="277">
        <v>89220916</v>
      </c>
      <c r="V230" s="277">
        <v>0</v>
      </c>
      <c r="W230" s="277">
        <v>44610458</v>
      </c>
      <c r="X230" s="277">
        <v>445614</v>
      </c>
      <c r="Y230" s="277">
        <v>445614</v>
      </c>
      <c r="Z230" s="277">
        <v>0</v>
      </c>
      <c r="AA230" s="277">
        <v>0</v>
      </c>
      <c r="AB230" s="277">
        <v>0</v>
      </c>
      <c r="AC230" s="277">
        <v>0</v>
      </c>
      <c r="AD230" s="277">
        <v>0</v>
      </c>
      <c r="AE230" s="277">
        <v>0</v>
      </c>
      <c r="AF230" s="277">
        <v>0</v>
      </c>
      <c r="AG230" s="277">
        <v>0</v>
      </c>
      <c r="AH230" s="277">
        <v>0</v>
      </c>
      <c r="AI230" s="277">
        <v>0</v>
      </c>
      <c r="AJ230" s="277">
        <v>0</v>
      </c>
      <c r="AK230" s="277">
        <v>0</v>
      </c>
      <c r="AL230" s="277">
        <v>0</v>
      </c>
      <c r="AM230" s="277">
        <v>3065306</v>
      </c>
      <c r="AN230" s="277">
        <v>3003999.88</v>
      </c>
      <c r="AO230" s="277">
        <v>0</v>
      </c>
      <c r="AP230" s="277">
        <v>61306.12</v>
      </c>
      <c r="AQ230" s="277">
        <v>6130612</v>
      </c>
      <c r="AR230" s="277">
        <v>47675764</v>
      </c>
      <c r="AS230" s="277">
        <v>47167863</v>
      </c>
      <c r="AT230" s="277">
        <v>0</v>
      </c>
      <c r="AU230" s="277">
        <v>953515</v>
      </c>
      <c r="AV230" s="277">
        <v>95797142</v>
      </c>
      <c r="AW230" s="277">
        <v>468831</v>
      </c>
      <c r="AX230" s="277">
        <v>0</v>
      </c>
      <c r="AY230" s="277">
        <v>9471</v>
      </c>
      <c r="AZ230" s="277">
        <v>478302</v>
      </c>
      <c r="BA230" s="277">
        <v>999743</v>
      </c>
      <c r="BB230" s="277">
        <v>0</v>
      </c>
      <c r="BC230" s="277">
        <v>20403</v>
      </c>
      <c r="BD230" s="277">
        <v>1020146</v>
      </c>
      <c r="BE230" s="277">
        <v>0</v>
      </c>
      <c r="BF230" s="277">
        <v>0</v>
      </c>
      <c r="BG230" s="277">
        <v>0</v>
      </c>
      <c r="BH230" s="277">
        <v>0</v>
      </c>
      <c r="BI230" s="277">
        <v>371401</v>
      </c>
      <c r="BJ230" s="277">
        <v>0</v>
      </c>
      <c r="BK230" s="277">
        <v>7580</v>
      </c>
      <c r="BL230" s="277">
        <v>378981</v>
      </c>
      <c r="BM230" s="277">
        <v>0</v>
      </c>
      <c r="BN230" s="277">
        <v>0</v>
      </c>
      <c r="BO230" s="277">
        <v>0</v>
      </c>
      <c r="BP230" s="277">
        <v>0</v>
      </c>
      <c r="BQ230" s="277">
        <v>990404</v>
      </c>
      <c r="BR230" s="277">
        <v>0</v>
      </c>
      <c r="BS230" s="277">
        <v>20212</v>
      </c>
      <c r="BT230" s="277">
        <v>1010616</v>
      </c>
      <c r="BU230" s="277">
        <v>2830379</v>
      </c>
      <c r="BV230" s="277">
        <v>0</v>
      </c>
      <c r="BW230" s="277">
        <v>57666</v>
      </c>
      <c r="BX230" s="277">
        <v>2888045</v>
      </c>
      <c r="BY230" s="278" t="s">
        <v>375</v>
      </c>
      <c r="BZ230" s="279" t="s">
        <v>996</v>
      </c>
      <c r="CA230" s="280" t="s">
        <v>1010</v>
      </c>
    </row>
    <row r="231" spans="1:79" ht="12.75">
      <c r="A231" s="169">
        <v>224</v>
      </c>
      <c r="B231" s="172" t="s">
        <v>377</v>
      </c>
      <c r="C231" s="258" t="s">
        <v>378</v>
      </c>
      <c r="D231" s="277">
        <v>100725379</v>
      </c>
      <c r="E231" s="277">
        <v>14707</v>
      </c>
      <c r="F231" s="277">
        <v>0</v>
      </c>
      <c r="G231" s="277">
        <v>444854</v>
      </c>
      <c r="H231" s="277">
        <v>0</v>
      </c>
      <c r="I231" s="277">
        <v>444854</v>
      </c>
      <c r="J231" s="277">
        <v>0</v>
      </c>
      <c r="K231" s="277">
        <v>0</v>
      </c>
      <c r="L231" s="277">
        <v>0</v>
      </c>
      <c r="M231" s="277">
        <v>0</v>
      </c>
      <c r="N231" s="277">
        <v>0</v>
      </c>
      <c r="O231" s="277">
        <v>0</v>
      </c>
      <c r="P231" s="277">
        <v>100295232</v>
      </c>
      <c r="Q231" s="277">
        <v>50147616.5</v>
      </c>
      <c r="R231" s="277">
        <v>49144663</v>
      </c>
      <c r="S231" s="277">
        <v>0</v>
      </c>
      <c r="T231" s="277">
        <v>1002952</v>
      </c>
      <c r="U231" s="277">
        <v>100295232</v>
      </c>
      <c r="V231" s="277">
        <v>0</v>
      </c>
      <c r="W231" s="277">
        <v>50147616.5</v>
      </c>
      <c r="X231" s="277">
        <v>444854</v>
      </c>
      <c r="Y231" s="277">
        <v>444854</v>
      </c>
      <c r="Z231" s="277">
        <v>0</v>
      </c>
      <c r="AA231" s="277">
        <v>0</v>
      </c>
      <c r="AB231" s="277">
        <v>0</v>
      </c>
      <c r="AC231" s="277">
        <v>0</v>
      </c>
      <c r="AD231" s="277">
        <v>0</v>
      </c>
      <c r="AE231" s="277">
        <v>0</v>
      </c>
      <c r="AF231" s="277">
        <v>0</v>
      </c>
      <c r="AG231" s="277">
        <v>0</v>
      </c>
      <c r="AH231" s="277">
        <v>0</v>
      </c>
      <c r="AI231" s="277">
        <v>0</v>
      </c>
      <c r="AJ231" s="277">
        <v>0</v>
      </c>
      <c r="AK231" s="277">
        <v>0</v>
      </c>
      <c r="AL231" s="277">
        <v>0</v>
      </c>
      <c r="AM231" s="277">
        <v>-1147494</v>
      </c>
      <c r="AN231" s="277">
        <v>-1124544.1</v>
      </c>
      <c r="AO231" s="277">
        <v>0</v>
      </c>
      <c r="AP231" s="277">
        <v>-22949.88</v>
      </c>
      <c r="AQ231" s="277">
        <v>-2294988</v>
      </c>
      <c r="AR231" s="277">
        <v>49000123</v>
      </c>
      <c r="AS231" s="277">
        <v>48464973</v>
      </c>
      <c r="AT231" s="277">
        <v>0</v>
      </c>
      <c r="AU231" s="277">
        <v>980002</v>
      </c>
      <c r="AV231" s="277">
        <v>98445098</v>
      </c>
      <c r="AW231" s="277">
        <v>526428</v>
      </c>
      <c r="AX231" s="277">
        <v>0</v>
      </c>
      <c r="AY231" s="277">
        <v>10647</v>
      </c>
      <c r="AZ231" s="277">
        <v>537075</v>
      </c>
      <c r="BA231" s="277">
        <v>1508036</v>
      </c>
      <c r="BB231" s="277">
        <v>0</v>
      </c>
      <c r="BC231" s="277">
        <v>30776</v>
      </c>
      <c r="BD231" s="277">
        <v>1538812</v>
      </c>
      <c r="BE231" s="277">
        <v>9904</v>
      </c>
      <c r="BF231" s="277">
        <v>0</v>
      </c>
      <c r="BG231" s="277">
        <v>202</v>
      </c>
      <c r="BH231" s="277">
        <v>10106</v>
      </c>
      <c r="BI231" s="277">
        <v>47738</v>
      </c>
      <c r="BJ231" s="277">
        <v>0</v>
      </c>
      <c r="BK231" s="277">
        <v>974</v>
      </c>
      <c r="BL231" s="277">
        <v>48712</v>
      </c>
      <c r="BM231" s="277">
        <v>7923</v>
      </c>
      <c r="BN231" s="277">
        <v>0</v>
      </c>
      <c r="BO231" s="277">
        <v>162</v>
      </c>
      <c r="BP231" s="277">
        <v>8085</v>
      </c>
      <c r="BQ231" s="277">
        <v>297121</v>
      </c>
      <c r="BR231" s="277">
        <v>0</v>
      </c>
      <c r="BS231" s="277">
        <v>6064</v>
      </c>
      <c r="BT231" s="277">
        <v>303185</v>
      </c>
      <c r="BU231" s="277">
        <v>2397150</v>
      </c>
      <c r="BV231" s="277">
        <v>0</v>
      </c>
      <c r="BW231" s="277">
        <v>48825</v>
      </c>
      <c r="BX231" s="277">
        <v>2445975</v>
      </c>
      <c r="BY231" s="278" t="s">
        <v>377</v>
      </c>
      <c r="BZ231" s="279" t="s">
        <v>996</v>
      </c>
      <c r="CA231" s="280" t="s">
        <v>1006</v>
      </c>
    </row>
    <row r="232" spans="1:79" ht="12.75">
      <c r="A232" s="169">
        <v>225</v>
      </c>
      <c r="B232" s="172" t="s">
        <v>379</v>
      </c>
      <c r="C232" s="258" t="s">
        <v>380</v>
      </c>
      <c r="D232" s="277">
        <v>32725976</v>
      </c>
      <c r="E232" s="277">
        <v>171039</v>
      </c>
      <c r="F232" s="277">
        <v>0</v>
      </c>
      <c r="G232" s="277">
        <v>250789</v>
      </c>
      <c r="H232" s="277">
        <v>0</v>
      </c>
      <c r="I232" s="277">
        <v>250789</v>
      </c>
      <c r="J232" s="277">
        <v>0</v>
      </c>
      <c r="K232" s="277">
        <v>0</v>
      </c>
      <c r="L232" s="277">
        <v>0</v>
      </c>
      <c r="M232" s="277">
        <v>0</v>
      </c>
      <c r="N232" s="277">
        <v>0</v>
      </c>
      <c r="O232" s="277">
        <v>0</v>
      </c>
      <c r="P232" s="277">
        <v>32646226</v>
      </c>
      <c r="Q232" s="277">
        <v>16323114</v>
      </c>
      <c r="R232" s="277">
        <v>13058490</v>
      </c>
      <c r="S232" s="277">
        <v>2938160</v>
      </c>
      <c r="T232" s="277">
        <v>326462</v>
      </c>
      <c r="U232" s="277">
        <v>32646226</v>
      </c>
      <c r="V232" s="277">
        <v>0</v>
      </c>
      <c r="W232" s="277">
        <v>16323114</v>
      </c>
      <c r="X232" s="277">
        <v>250789</v>
      </c>
      <c r="Y232" s="277">
        <v>250789</v>
      </c>
      <c r="Z232" s="277">
        <v>0</v>
      </c>
      <c r="AA232" s="277">
        <v>0</v>
      </c>
      <c r="AB232" s="277">
        <v>0</v>
      </c>
      <c r="AC232" s="277">
        <v>0</v>
      </c>
      <c r="AD232" s="277">
        <v>0</v>
      </c>
      <c r="AE232" s="277">
        <v>0</v>
      </c>
      <c r="AF232" s="277">
        <v>0</v>
      </c>
      <c r="AG232" s="277">
        <v>0</v>
      </c>
      <c r="AH232" s="277">
        <v>0</v>
      </c>
      <c r="AI232" s="277">
        <v>0</v>
      </c>
      <c r="AJ232" s="277">
        <v>0</v>
      </c>
      <c r="AK232" s="277">
        <v>0</v>
      </c>
      <c r="AL232" s="277">
        <v>0</v>
      </c>
      <c r="AM232" s="277">
        <v>356677.5</v>
      </c>
      <c r="AN232" s="277">
        <v>285342</v>
      </c>
      <c r="AO232" s="277">
        <v>64201.95</v>
      </c>
      <c r="AP232" s="277">
        <v>7133.55</v>
      </c>
      <c r="AQ232" s="277">
        <v>713355</v>
      </c>
      <c r="AR232" s="277">
        <v>16679792</v>
      </c>
      <c r="AS232" s="277">
        <v>13594621</v>
      </c>
      <c r="AT232" s="277">
        <v>3002362</v>
      </c>
      <c r="AU232" s="277">
        <v>333596</v>
      </c>
      <c r="AV232" s="277">
        <v>33610370</v>
      </c>
      <c r="AW232" s="277">
        <v>141287</v>
      </c>
      <c r="AX232" s="277">
        <v>31191</v>
      </c>
      <c r="AY232" s="277">
        <v>3466</v>
      </c>
      <c r="AZ232" s="277">
        <v>175944</v>
      </c>
      <c r="BA232" s="277">
        <v>986305</v>
      </c>
      <c r="BB232" s="277">
        <v>221919</v>
      </c>
      <c r="BC232" s="277">
        <v>24658</v>
      </c>
      <c r="BD232" s="277">
        <v>1232882</v>
      </c>
      <c r="BE232" s="277">
        <v>2021</v>
      </c>
      <c r="BF232" s="277">
        <v>455</v>
      </c>
      <c r="BG232" s="277">
        <v>51</v>
      </c>
      <c r="BH232" s="277">
        <v>2527</v>
      </c>
      <c r="BI232" s="277">
        <v>54752</v>
      </c>
      <c r="BJ232" s="277">
        <v>12319</v>
      </c>
      <c r="BK232" s="277">
        <v>1369</v>
      </c>
      <c r="BL232" s="277">
        <v>68440</v>
      </c>
      <c r="BM232" s="277">
        <v>4042</v>
      </c>
      <c r="BN232" s="277">
        <v>910</v>
      </c>
      <c r="BO232" s="277">
        <v>101</v>
      </c>
      <c r="BP232" s="277">
        <v>5053</v>
      </c>
      <c r="BQ232" s="277">
        <v>275429</v>
      </c>
      <c r="BR232" s="277">
        <v>61972</v>
      </c>
      <c r="BS232" s="277">
        <v>6886</v>
      </c>
      <c r="BT232" s="277">
        <v>344287</v>
      </c>
      <c r="BU232" s="277">
        <v>1463836</v>
      </c>
      <c r="BV232" s="277">
        <v>328766</v>
      </c>
      <c r="BW232" s="277">
        <v>36531</v>
      </c>
      <c r="BX232" s="277">
        <v>1829133</v>
      </c>
      <c r="BY232" s="278" t="s">
        <v>379</v>
      </c>
      <c r="BZ232" s="279" t="s">
        <v>1033</v>
      </c>
      <c r="CA232" s="280" t="s">
        <v>1034</v>
      </c>
    </row>
    <row r="233" spans="1:79" ht="12.75">
      <c r="A233" s="169">
        <v>226</v>
      </c>
      <c r="B233" s="172" t="s">
        <v>381</v>
      </c>
      <c r="C233" s="258" t="s">
        <v>383</v>
      </c>
      <c r="D233" s="277">
        <v>35601339</v>
      </c>
      <c r="E233" s="277">
        <v>101814</v>
      </c>
      <c r="F233" s="277">
        <v>0</v>
      </c>
      <c r="G233" s="277">
        <v>162192</v>
      </c>
      <c r="H233" s="277">
        <v>0</v>
      </c>
      <c r="I233" s="277">
        <v>162192</v>
      </c>
      <c r="J233" s="277">
        <v>0</v>
      </c>
      <c r="K233" s="277">
        <v>0</v>
      </c>
      <c r="L233" s="277">
        <v>0</v>
      </c>
      <c r="M233" s="277">
        <v>82580</v>
      </c>
      <c r="N233" s="277">
        <v>82580</v>
      </c>
      <c r="O233" s="277">
        <v>0</v>
      </c>
      <c r="P233" s="277">
        <v>35458381</v>
      </c>
      <c r="Q233" s="277">
        <v>17729191</v>
      </c>
      <c r="R233" s="277">
        <v>14183352</v>
      </c>
      <c r="S233" s="277">
        <v>3191254</v>
      </c>
      <c r="T233" s="277">
        <v>354584</v>
      </c>
      <c r="U233" s="277">
        <v>35458381</v>
      </c>
      <c r="V233" s="277">
        <v>0</v>
      </c>
      <c r="W233" s="277">
        <v>17729191</v>
      </c>
      <c r="X233" s="277">
        <v>162192</v>
      </c>
      <c r="Y233" s="277">
        <v>162192</v>
      </c>
      <c r="Z233" s="277">
        <v>0</v>
      </c>
      <c r="AA233" s="277">
        <v>0</v>
      </c>
      <c r="AB233" s="277">
        <v>0</v>
      </c>
      <c r="AC233" s="277">
        <v>0</v>
      </c>
      <c r="AD233" s="277">
        <v>82580</v>
      </c>
      <c r="AE233" s="277">
        <v>0</v>
      </c>
      <c r="AF233" s="277">
        <v>82580</v>
      </c>
      <c r="AG233" s="277">
        <v>0</v>
      </c>
      <c r="AH233" s="277">
        <v>0</v>
      </c>
      <c r="AI233" s="277">
        <v>0</v>
      </c>
      <c r="AJ233" s="277">
        <v>0</v>
      </c>
      <c r="AK233" s="277">
        <v>0</v>
      </c>
      <c r="AL233" s="277">
        <v>0</v>
      </c>
      <c r="AM233" s="277">
        <v>-774251.5</v>
      </c>
      <c r="AN233" s="277">
        <v>-619401.2</v>
      </c>
      <c r="AO233" s="277">
        <v>-139365.27</v>
      </c>
      <c r="AP233" s="277">
        <v>-15485.03</v>
      </c>
      <c r="AQ233" s="277">
        <v>-1548503</v>
      </c>
      <c r="AR233" s="277">
        <v>16954940</v>
      </c>
      <c r="AS233" s="277">
        <v>13808723</v>
      </c>
      <c r="AT233" s="277">
        <v>3051889</v>
      </c>
      <c r="AU233" s="277">
        <v>339099</v>
      </c>
      <c r="AV233" s="277">
        <v>34154650</v>
      </c>
      <c r="AW233" s="277">
        <v>153165</v>
      </c>
      <c r="AX233" s="277">
        <v>33877</v>
      </c>
      <c r="AY233" s="277">
        <v>3764</v>
      </c>
      <c r="AZ233" s="277">
        <v>190806</v>
      </c>
      <c r="BA233" s="277">
        <v>520826</v>
      </c>
      <c r="BB233" s="277">
        <v>117186</v>
      </c>
      <c r="BC233" s="277">
        <v>13021</v>
      </c>
      <c r="BD233" s="277">
        <v>651033</v>
      </c>
      <c r="BE233" s="277">
        <v>0</v>
      </c>
      <c r="BF233" s="277">
        <v>0</v>
      </c>
      <c r="BG233" s="277">
        <v>0</v>
      </c>
      <c r="BH233" s="277">
        <v>0</v>
      </c>
      <c r="BI233" s="277">
        <v>16367</v>
      </c>
      <c r="BJ233" s="277">
        <v>3683</v>
      </c>
      <c r="BK233" s="277">
        <v>409</v>
      </c>
      <c r="BL233" s="277">
        <v>20459</v>
      </c>
      <c r="BM233" s="277">
        <v>0</v>
      </c>
      <c r="BN233" s="277">
        <v>0</v>
      </c>
      <c r="BO233" s="277">
        <v>0</v>
      </c>
      <c r="BP233" s="277">
        <v>0</v>
      </c>
      <c r="BQ233" s="277">
        <v>207834</v>
      </c>
      <c r="BR233" s="277">
        <v>20783</v>
      </c>
      <c r="BS233" s="277">
        <v>2309</v>
      </c>
      <c r="BT233" s="277">
        <v>230926</v>
      </c>
      <c r="BU233" s="277">
        <v>898192</v>
      </c>
      <c r="BV233" s="277">
        <v>175529</v>
      </c>
      <c r="BW233" s="277">
        <v>19503</v>
      </c>
      <c r="BX233" s="277">
        <v>1093224</v>
      </c>
      <c r="BY233" s="278" t="s">
        <v>381</v>
      </c>
      <c r="BZ233" s="279" t="s">
        <v>1048</v>
      </c>
      <c r="CA233" s="280" t="s">
        <v>1037</v>
      </c>
    </row>
    <row r="234" spans="1:79" ht="12.75">
      <c r="A234" s="169">
        <v>227</v>
      </c>
      <c r="B234" s="172" t="s">
        <v>384</v>
      </c>
      <c r="C234" s="258" t="s">
        <v>385</v>
      </c>
      <c r="D234" s="277">
        <v>62191209</v>
      </c>
      <c r="E234" s="277">
        <v>20877</v>
      </c>
      <c r="F234" s="277">
        <v>0</v>
      </c>
      <c r="G234" s="277">
        <v>322496</v>
      </c>
      <c r="H234" s="277">
        <v>0</v>
      </c>
      <c r="I234" s="277">
        <v>322496</v>
      </c>
      <c r="J234" s="277">
        <v>0</v>
      </c>
      <c r="K234" s="277">
        <v>0</v>
      </c>
      <c r="L234" s="277">
        <v>0</v>
      </c>
      <c r="M234" s="277">
        <v>0</v>
      </c>
      <c r="N234" s="277">
        <v>0</v>
      </c>
      <c r="O234" s="277">
        <v>0</v>
      </c>
      <c r="P234" s="277">
        <v>61889590</v>
      </c>
      <c r="Q234" s="277">
        <v>30944795</v>
      </c>
      <c r="R234" s="277">
        <v>30325899</v>
      </c>
      <c r="S234" s="277">
        <v>0</v>
      </c>
      <c r="T234" s="277">
        <v>618896</v>
      </c>
      <c r="U234" s="277">
        <v>61889590</v>
      </c>
      <c r="V234" s="277">
        <v>0</v>
      </c>
      <c r="W234" s="277">
        <v>30944795</v>
      </c>
      <c r="X234" s="277">
        <v>322496</v>
      </c>
      <c r="Y234" s="277">
        <v>322496</v>
      </c>
      <c r="Z234" s="277">
        <v>0</v>
      </c>
      <c r="AA234" s="277">
        <v>0</v>
      </c>
      <c r="AB234" s="277">
        <v>0</v>
      </c>
      <c r="AC234" s="277">
        <v>0</v>
      </c>
      <c r="AD234" s="277">
        <v>0</v>
      </c>
      <c r="AE234" s="277">
        <v>0</v>
      </c>
      <c r="AF234" s="277">
        <v>0</v>
      </c>
      <c r="AG234" s="277">
        <v>0</v>
      </c>
      <c r="AH234" s="277">
        <v>0</v>
      </c>
      <c r="AI234" s="277">
        <v>0</v>
      </c>
      <c r="AJ234" s="277">
        <v>0</v>
      </c>
      <c r="AK234" s="277">
        <v>0</v>
      </c>
      <c r="AL234" s="277">
        <v>0</v>
      </c>
      <c r="AM234" s="277">
        <v>-1524110</v>
      </c>
      <c r="AN234" s="277">
        <v>-1493627.8</v>
      </c>
      <c r="AO234" s="277">
        <v>0</v>
      </c>
      <c r="AP234" s="277">
        <v>-30482.2</v>
      </c>
      <c r="AQ234" s="277">
        <v>-3048220</v>
      </c>
      <c r="AR234" s="277">
        <v>29420685</v>
      </c>
      <c r="AS234" s="277">
        <v>29154767</v>
      </c>
      <c r="AT234" s="277">
        <v>0</v>
      </c>
      <c r="AU234" s="277">
        <v>588414</v>
      </c>
      <c r="AV234" s="277">
        <v>59163866</v>
      </c>
      <c r="AW234" s="277">
        <v>325355</v>
      </c>
      <c r="AX234" s="277">
        <v>0</v>
      </c>
      <c r="AY234" s="277">
        <v>6570</v>
      </c>
      <c r="AZ234" s="277">
        <v>331925</v>
      </c>
      <c r="BA234" s="277">
        <v>1318668</v>
      </c>
      <c r="BB234" s="277">
        <v>0</v>
      </c>
      <c r="BC234" s="277">
        <v>26912</v>
      </c>
      <c r="BD234" s="277">
        <v>1345580</v>
      </c>
      <c r="BE234" s="277">
        <v>7477</v>
      </c>
      <c r="BF234" s="277">
        <v>0</v>
      </c>
      <c r="BG234" s="277">
        <v>153</v>
      </c>
      <c r="BH234" s="277">
        <v>7630</v>
      </c>
      <c r="BI234" s="277">
        <v>77027</v>
      </c>
      <c r="BJ234" s="277">
        <v>0</v>
      </c>
      <c r="BK234" s="277">
        <v>1572</v>
      </c>
      <c r="BL234" s="277">
        <v>78599</v>
      </c>
      <c r="BM234" s="277">
        <v>43931</v>
      </c>
      <c r="BN234" s="277">
        <v>0</v>
      </c>
      <c r="BO234" s="277">
        <v>897</v>
      </c>
      <c r="BP234" s="277">
        <v>44828</v>
      </c>
      <c r="BQ234" s="277">
        <v>761827</v>
      </c>
      <c r="BR234" s="277">
        <v>0</v>
      </c>
      <c r="BS234" s="277">
        <v>15548</v>
      </c>
      <c r="BT234" s="277">
        <v>777375</v>
      </c>
      <c r="BU234" s="277">
        <v>2534285</v>
      </c>
      <c r="BV234" s="277">
        <v>0</v>
      </c>
      <c r="BW234" s="277">
        <v>51652</v>
      </c>
      <c r="BX234" s="277">
        <v>2585937</v>
      </c>
      <c r="BY234" s="278" t="s">
        <v>384</v>
      </c>
      <c r="BZ234" s="279" t="s">
        <v>996</v>
      </c>
      <c r="CA234" s="280" t="s">
        <v>1047</v>
      </c>
    </row>
    <row r="235" spans="1:79" ht="12.75">
      <c r="A235" s="169">
        <v>228</v>
      </c>
      <c r="B235" s="172" t="s">
        <v>386</v>
      </c>
      <c r="C235" s="258" t="s">
        <v>387</v>
      </c>
      <c r="D235" s="277">
        <v>41915624.6</v>
      </c>
      <c r="E235" s="277">
        <v>122860</v>
      </c>
      <c r="F235" s="277">
        <v>0</v>
      </c>
      <c r="G235" s="277">
        <v>117702</v>
      </c>
      <c r="H235" s="277">
        <v>0</v>
      </c>
      <c r="I235" s="277">
        <v>117702</v>
      </c>
      <c r="J235" s="277">
        <v>0</v>
      </c>
      <c r="K235" s="277">
        <v>0</v>
      </c>
      <c r="L235" s="277">
        <v>0</v>
      </c>
      <c r="M235" s="277">
        <v>19405</v>
      </c>
      <c r="N235" s="277">
        <v>19405</v>
      </c>
      <c r="O235" s="277">
        <v>0</v>
      </c>
      <c r="P235" s="277">
        <v>41901377.6</v>
      </c>
      <c r="Q235" s="277">
        <v>20950688.6</v>
      </c>
      <c r="R235" s="277">
        <v>16760551</v>
      </c>
      <c r="S235" s="277">
        <v>3771124</v>
      </c>
      <c r="T235" s="277">
        <v>419014</v>
      </c>
      <c r="U235" s="277">
        <v>41901378</v>
      </c>
      <c r="V235" s="277">
        <v>0</v>
      </c>
      <c r="W235" s="277">
        <v>20950688.6</v>
      </c>
      <c r="X235" s="277">
        <v>117702</v>
      </c>
      <c r="Y235" s="277">
        <v>117702</v>
      </c>
      <c r="Z235" s="277">
        <v>0</v>
      </c>
      <c r="AA235" s="277">
        <v>0</v>
      </c>
      <c r="AB235" s="277">
        <v>0</v>
      </c>
      <c r="AC235" s="277">
        <v>0</v>
      </c>
      <c r="AD235" s="277">
        <v>19405</v>
      </c>
      <c r="AE235" s="277">
        <v>0</v>
      </c>
      <c r="AF235" s="277">
        <v>19405</v>
      </c>
      <c r="AG235" s="277">
        <v>0</v>
      </c>
      <c r="AH235" s="277">
        <v>0</v>
      </c>
      <c r="AI235" s="277">
        <v>0</v>
      </c>
      <c r="AJ235" s="277">
        <v>0</v>
      </c>
      <c r="AK235" s="277">
        <v>0</v>
      </c>
      <c r="AL235" s="277">
        <v>0</v>
      </c>
      <c r="AM235" s="277">
        <v>-3474275.5</v>
      </c>
      <c r="AN235" s="277">
        <v>-2779420.4</v>
      </c>
      <c r="AO235" s="277">
        <v>-625369.59</v>
      </c>
      <c r="AP235" s="277">
        <v>-69485.51</v>
      </c>
      <c r="AQ235" s="277">
        <v>-6948551</v>
      </c>
      <c r="AR235" s="277">
        <v>17476413</v>
      </c>
      <c r="AS235" s="277">
        <v>14118238</v>
      </c>
      <c r="AT235" s="277">
        <v>3145754</v>
      </c>
      <c r="AU235" s="277">
        <v>349528</v>
      </c>
      <c r="AV235" s="277">
        <v>35089934</v>
      </c>
      <c r="AW235" s="277">
        <v>179381</v>
      </c>
      <c r="AX235" s="277">
        <v>40033</v>
      </c>
      <c r="AY235" s="277">
        <v>4448</v>
      </c>
      <c r="AZ235" s="277">
        <v>223862</v>
      </c>
      <c r="BA235" s="277">
        <v>301628</v>
      </c>
      <c r="BB235" s="277">
        <v>67866</v>
      </c>
      <c r="BC235" s="277">
        <v>7541</v>
      </c>
      <c r="BD235" s="277">
        <v>377035</v>
      </c>
      <c r="BE235" s="277">
        <v>14851</v>
      </c>
      <c r="BF235" s="277">
        <v>3342</v>
      </c>
      <c r="BG235" s="277">
        <v>371</v>
      </c>
      <c r="BH235" s="277">
        <v>18564</v>
      </c>
      <c r="BI235" s="277">
        <v>4042</v>
      </c>
      <c r="BJ235" s="277">
        <v>910</v>
      </c>
      <c r="BK235" s="277">
        <v>101</v>
      </c>
      <c r="BL235" s="277">
        <v>5053</v>
      </c>
      <c r="BM235" s="277">
        <v>4829</v>
      </c>
      <c r="BN235" s="277">
        <v>1086</v>
      </c>
      <c r="BO235" s="277">
        <v>121</v>
      </c>
      <c r="BP235" s="277">
        <v>6036</v>
      </c>
      <c r="BQ235" s="277">
        <v>161699</v>
      </c>
      <c r="BR235" s="277">
        <v>36382</v>
      </c>
      <c r="BS235" s="277">
        <v>4042</v>
      </c>
      <c r="BT235" s="277">
        <v>202123</v>
      </c>
      <c r="BU235" s="277">
        <v>666430</v>
      </c>
      <c r="BV235" s="277">
        <v>149619</v>
      </c>
      <c r="BW235" s="277">
        <v>16624</v>
      </c>
      <c r="BX235" s="277">
        <v>832673</v>
      </c>
      <c r="BY235" s="278" t="s">
        <v>386</v>
      </c>
      <c r="BZ235" s="279" t="s">
        <v>1033</v>
      </c>
      <c r="CA235" s="280" t="s">
        <v>1034</v>
      </c>
    </row>
    <row r="236" spans="1:79" ht="12.75">
      <c r="A236" s="169">
        <v>229</v>
      </c>
      <c r="B236" s="172" t="s">
        <v>388</v>
      </c>
      <c r="C236" s="258" t="s">
        <v>389</v>
      </c>
      <c r="D236" s="277">
        <v>32482099.7</v>
      </c>
      <c r="E236" s="277">
        <v>57100</v>
      </c>
      <c r="F236" s="277">
        <v>0</v>
      </c>
      <c r="G236" s="277">
        <v>169927</v>
      </c>
      <c r="H236" s="277">
        <v>0</v>
      </c>
      <c r="I236" s="277">
        <v>169927</v>
      </c>
      <c r="J236" s="277">
        <v>0</v>
      </c>
      <c r="K236" s="277">
        <v>0</v>
      </c>
      <c r="L236" s="277">
        <v>0</v>
      </c>
      <c r="M236" s="277">
        <v>0</v>
      </c>
      <c r="N236" s="277">
        <v>0</v>
      </c>
      <c r="O236" s="277">
        <v>0</v>
      </c>
      <c r="P236" s="277">
        <v>32369272.7</v>
      </c>
      <c r="Q236" s="277">
        <v>16184635.7</v>
      </c>
      <c r="R236" s="277">
        <v>12947709</v>
      </c>
      <c r="S236" s="277">
        <v>2913235</v>
      </c>
      <c r="T236" s="277">
        <v>323693</v>
      </c>
      <c r="U236" s="277">
        <v>32369273</v>
      </c>
      <c r="V236" s="277">
        <v>0</v>
      </c>
      <c r="W236" s="277">
        <v>16184635.7</v>
      </c>
      <c r="X236" s="277">
        <v>169927</v>
      </c>
      <c r="Y236" s="277">
        <v>169927</v>
      </c>
      <c r="Z236" s="277">
        <v>0</v>
      </c>
      <c r="AA236" s="277">
        <v>0</v>
      </c>
      <c r="AB236" s="277">
        <v>0</v>
      </c>
      <c r="AC236" s="277">
        <v>0</v>
      </c>
      <c r="AD236" s="277">
        <v>0</v>
      </c>
      <c r="AE236" s="277">
        <v>0</v>
      </c>
      <c r="AF236" s="277">
        <v>0</v>
      </c>
      <c r="AG236" s="277">
        <v>0</v>
      </c>
      <c r="AH236" s="277">
        <v>0</v>
      </c>
      <c r="AI236" s="277">
        <v>0</v>
      </c>
      <c r="AJ236" s="277">
        <v>0</v>
      </c>
      <c r="AK236" s="277">
        <v>0</v>
      </c>
      <c r="AL236" s="277">
        <v>0</v>
      </c>
      <c r="AM236" s="277">
        <v>-1541313.5</v>
      </c>
      <c r="AN236" s="277">
        <v>-1233050.8</v>
      </c>
      <c r="AO236" s="277">
        <v>-277436.43</v>
      </c>
      <c r="AP236" s="277">
        <v>-30826.27</v>
      </c>
      <c r="AQ236" s="277">
        <v>-3082627</v>
      </c>
      <c r="AR236" s="277">
        <v>14643322</v>
      </c>
      <c r="AS236" s="277">
        <v>11884585</v>
      </c>
      <c r="AT236" s="277">
        <v>2635799</v>
      </c>
      <c r="AU236" s="277">
        <v>292867</v>
      </c>
      <c r="AV236" s="277">
        <v>29456573</v>
      </c>
      <c r="AW236" s="277">
        <v>139253</v>
      </c>
      <c r="AX236" s="277">
        <v>30926</v>
      </c>
      <c r="AY236" s="277">
        <v>3436</v>
      </c>
      <c r="AZ236" s="277">
        <v>173615</v>
      </c>
      <c r="BA236" s="277">
        <v>453784</v>
      </c>
      <c r="BB236" s="277">
        <v>102101</v>
      </c>
      <c r="BC236" s="277">
        <v>11345</v>
      </c>
      <c r="BD236" s="277">
        <v>567230</v>
      </c>
      <c r="BE236" s="277">
        <v>3139</v>
      </c>
      <c r="BF236" s="277">
        <v>707</v>
      </c>
      <c r="BG236" s="277">
        <v>79</v>
      </c>
      <c r="BH236" s="277">
        <v>3925</v>
      </c>
      <c r="BI236" s="277">
        <v>22071</v>
      </c>
      <c r="BJ236" s="277">
        <v>4966</v>
      </c>
      <c r="BK236" s="277">
        <v>552</v>
      </c>
      <c r="BL236" s="277">
        <v>27589</v>
      </c>
      <c r="BM236" s="277">
        <v>1968</v>
      </c>
      <c r="BN236" s="277">
        <v>443</v>
      </c>
      <c r="BO236" s="277">
        <v>49</v>
      </c>
      <c r="BP236" s="277">
        <v>2460</v>
      </c>
      <c r="BQ236" s="277">
        <v>256974</v>
      </c>
      <c r="BR236" s="277">
        <v>57819</v>
      </c>
      <c r="BS236" s="277">
        <v>6424</v>
      </c>
      <c r="BT236" s="277">
        <v>321217</v>
      </c>
      <c r="BU236" s="277">
        <v>877189</v>
      </c>
      <c r="BV236" s="277">
        <v>196962</v>
      </c>
      <c r="BW236" s="277">
        <v>21885</v>
      </c>
      <c r="BX236" s="277">
        <v>1096036</v>
      </c>
      <c r="BY236" s="278" t="s">
        <v>388</v>
      </c>
      <c r="BZ236" s="279" t="s">
        <v>990</v>
      </c>
      <c r="CA236" s="280" t="s">
        <v>991</v>
      </c>
    </row>
    <row r="237" spans="1:79" ht="12.75">
      <c r="A237" s="169">
        <v>230</v>
      </c>
      <c r="B237" s="172" t="s">
        <v>390</v>
      </c>
      <c r="C237" s="258" t="s">
        <v>391</v>
      </c>
      <c r="D237" s="277">
        <v>206534953</v>
      </c>
      <c r="E237" s="277">
        <v>44637</v>
      </c>
      <c r="F237" s="277">
        <v>0</v>
      </c>
      <c r="G237" s="277">
        <v>777513</v>
      </c>
      <c r="H237" s="277">
        <v>0</v>
      </c>
      <c r="I237" s="277">
        <v>777513</v>
      </c>
      <c r="J237" s="277">
        <v>0</v>
      </c>
      <c r="K237" s="277">
        <v>0</v>
      </c>
      <c r="L237" s="277">
        <v>0</v>
      </c>
      <c r="M237" s="277">
        <v>0</v>
      </c>
      <c r="N237" s="277">
        <v>0</v>
      </c>
      <c r="O237" s="277">
        <v>0</v>
      </c>
      <c r="P237" s="277">
        <v>205802077</v>
      </c>
      <c r="Q237" s="277">
        <v>102901038</v>
      </c>
      <c r="R237" s="277">
        <v>100843018</v>
      </c>
      <c r="S237" s="277">
        <v>0</v>
      </c>
      <c r="T237" s="277">
        <v>2058021</v>
      </c>
      <c r="U237" s="277">
        <v>205802077</v>
      </c>
      <c r="V237" s="277">
        <v>55000</v>
      </c>
      <c r="W237" s="277">
        <v>102846038</v>
      </c>
      <c r="X237" s="277">
        <v>777513</v>
      </c>
      <c r="Y237" s="277">
        <v>777513</v>
      </c>
      <c r="Z237" s="277">
        <v>0</v>
      </c>
      <c r="AA237" s="277">
        <v>0</v>
      </c>
      <c r="AB237" s="277">
        <v>0</v>
      </c>
      <c r="AC237" s="277">
        <v>0</v>
      </c>
      <c r="AD237" s="277">
        <v>0</v>
      </c>
      <c r="AE237" s="277">
        <v>0</v>
      </c>
      <c r="AF237" s="277">
        <v>0</v>
      </c>
      <c r="AG237" s="277">
        <v>55000</v>
      </c>
      <c r="AH237" s="277">
        <v>0</v>
      </c>
      <c r="AI237" s="277">
        <v>0</v>
      </c>
      <c r="AJ237" s="277">
        <v>55000</v>
      </c>
      <c r="AK237" s="277">
        <v>0</v>
      </c>
      <c r="AL237" s="277">
        <v>0</v>
      </c>
      <c r="AM237" s="277">
        <v>0</v>
      </c>
      <c r="AN237" s="277">
        <v>0</v>
      </c>
      <c r="AO237" s="277">
        <v>0</v>
      </c>
      <c r="AP237" s="277">
        <v>0</v>
      </c>
      <c r="AQ237" s="277">
        <v>0</v>
      </c>
      <c r="AR237" s="277">
        <v>102846038</v>
      </c>
      <c r="AS237" s="277">
        <v>101675531</v>
      </c>
      <c r="AT237" s="277">
        <v>0</v>
      </c>
      <c r="AU237" s="277">
        <v>2058021</v>
      </c>
      <c r="AV237" s="277">
        <v>206579590</v>
      </c>
      <c r="AW237" s="277">
        <v>1079358</v>
      </c>
      <c r="AX237" s="277">
        <v>0</v>
      </c>
      <c r="AY237" s="277">
        <v>21847</v>
      </c>
      <c r="AZ237" s="277">
        <v>1101205</v>
      </c>
      <c r="BA237" s="277">
        <v>2522578</v>
      </c>
      <c r="BB237" s="277">
        <v>0</v>
      </c>
      <c r="BC237" s="277">
        <v>51481</v>
      </c>
      <c r="BD237" s="277">
        <v>2574059</v>
      </c>
      <c r="BE237" s="277">
        <v>0</v>
      </c>
      <c r="BF237" s="277">
        <v>0</v>
      </c>
      <c r="BG237" s="277">
        <v>0</v>
      </c>
      <c r="BH237" s="277">
        <v>0</v>
      </c>
      <c r="BI237" s="277">
        <v>99041</v>
      </c>
      <c r="BJ237" s="277">
        <v>0</v>
      </c>
      <c r="BK237" s="277">
        <v>2021</v>
      </c>
      <c r="BL237" s="277">
        <v>101062</v>
      </c>
      <c r="BM237" s="277">
        <v>0</v>
      </c>
      <c r="BN237" s="277">
        <v>0</v>
      </c>
      <c r="BO237" s="277">
        <v>0</v>
      </c>
      <c r="BP237" s="277">
        <v>0</v>
      </c>
      <c r="BQ237" s="277">
        <v>495202</v>
      </c>
      <c r="BR237" s="277">
        <v>0</v>
      </c>
      <c r="BS237" s="277">
        <v>10106</v>
      </c>
      <c r="BT237" s="277">
        <v>505308</v>
      </c>
      <c r="BU237" s="277">
        <v>4196179</v>
      </c>
      <c r="BV237" s="277">
        <v>0</v>
      </c>
      <c r="BW237" s="277">
        <v>85455</v>
      </c>
      <c r="BX237" s="277">
        <v>4281634</v>
      </c>
      <c r="BY237" s="278" t="s">
        <v>390</v>
      </c>
      <c r="BZ237" s="279" t="s">
        <v>996</v>
      </c>
      <c r="CA237" s="280" t="s">
        <v>997</v>
      </c>
    </row>
    <row r="238" spans="1:79" ht="12.75">
      <c r="A238" s="169">
        <v>231</v>
      </c>
      <c r="B238" s="172" t="s">
        <v>392</v>
      </c>
      <c r="C238" s="258" t="s">
        <v>393</v>
      </c>
      <c r="D238" s="277">
        <v>25988291.7</v>
      </c>
      <c r="E238" s="277">
        <v>33956</v>
      </c>
      <c r="F238" s="277">
        <v>0</v>
      </c>
      <c r="G238" s="277">
        <v>151655</v>
      </c>
      <c r="H238" s="277">
        <v>0</v>
      </c>
      <c r="I238" s="277">
        <v>151655</v>
      </c>
      <c r="J238" s="277">
        <v>0</v>
      </c>
      <c r="K238" s="277">
        <v>0</v>
      </c>
      <c r="L238" s="277">
        <v>0</v>
      </c>
      <c r="M238" s="277">
        <v>0</v>
      </c>
      <c r="N238" s="277">
        <v>0</v>
      </c>
      <c r="O238" s="277">
        <v>0</v>
      </c>
      <c r="P238" s="277">
        <v>25870592.7</v>
      </c>
      <c r="Q238" s="277">
        <v>12935296.7</v>
      </c>
      <c r="R238" s="277">
        <v>10348237</v>
      </c>
      <c r="S238" s="277">
        <v>2328353</v>
      </c>
      <c r="T238" s="277">
        <v>258706</v>
      </c>
      <c r="U238" s="277">
        <v>25870593</v>
      </c>
      <c r="V238" s="277">
        <v>0</v>
      </c>
      <c r="W238" s="277">
        <v>12935296.7</v>
      </c>
      <c r="X238" s="277">
        <v>151655</v>
      </c>
      <c r="Y238" s="277">
        <v>151655</v>
      </c>
      <c r="Z238" s="277">
        <v>0</v>
      </c>
      <c r="AA238" s="277">
        <v>0</v>
      </c>
      <c r="AB238" s="277">
        <v>0</v>
      </c>
      <c r="AC238" s="277">
        <v>0</v>
      </c>
      <c r="AD238" s="277">
        <v>0</v>
      </c>
      <c r="AE238" s="277">
        <v>0</v>
      </c>
      <c r="AF238" s="277">
        <v>0</v>
      </c>
      <c r="AG238" s="277">
        <v>0</v>
      </c>
      <c r="AH238" s="277">
        <v>0</v>
      </c>
      <c r="AI238" s="277">
        <v>0</v>
      </c>
      <c r="AJ238" s="277">
        <v>0</v>
      </c>
      <c r="AK238" s="277">
        <v>0</v>
      </c>
      <c r="AL238" s="277">
        <v>0</v>
      </c>
      <c r="AM238" s="277">
        <v>-113173.03</v>
      </c>
      <c r="AN238" s="277">
        <v>-90538.42</v>
      </c>
      <c r="AO238" s="277">
        <v>-20371.15</v>
      </c>
      <c r="AP238" s="277">
        <v>-2263.46</v>
      </c>
      <c r="AQ238" s="277">
        <v>-226346.06</v>
      </c>
      <c r="AR238" s="277">
        <v>12822124</v>
      </c>
      <c r="AS238" s="277">
        <v>10409354</v>
      </c>
      <c r="AT238" s="277">
        <v>2307982</v>
      </c>
      <c r="AU238" s="277">
        <v>256443</v>
      </c>
      <c r="AV238" s="277">
        <v>25795902</v>
      </c>
      <c r="AW238" s="277">
        <v>111464</v>
      </c>
      <c r="AX238" s="277">
        <v>24717</v>
      </c>
      <c r="AY238" s="277">
        <v>2746</v>
      </c>
      <c r="AZ238" s="277">
        <v>138927</v>
      </c>
      <c r="BA238" s="277">
        <v>485304</v>
      </c>
      <c r="BB238" s="277">
        <v>109194</v>
      </c>
      <c r="BC238" s="277">
        <v>12133</v>
      </c>
      <c r="BD238" s="277">
        <v>606631</v>
      </c>
      <c r="BE238" s="277">
        <v>14780</v>
      </c>
      <c r="BF238" s="277">
        <v>3326</v>
      </c>
      <c r="BG238" s="277">
        <v>370</v>
      </c>
      <c r="BH238" s="277">
        <v>18476</v>
      </c>
      <c r="BI238" s="277">
        <v>11177</v>
      </c>
      <c r="BJ238" s="277">
        <v>2515</v>
      </c>
      <c r="BK238" s="277">
        <v>279</v>
      </c>
      <c r="BL238" s="277">
        <v>13971</v>
      </c>
      <c r="BM238" s="277">
        <v>10074</v>
      </c>
      <c r="BN238" s="277">
        <v>2267</v>
      </c>
      <c r="BO238" s="277">
        <v>252</v>
      </c>
      <c r="BP238" s="277">
        <v>12593</v>
      </c>
      <c r="BQ238" s="277">
        <v>174020</v>
      </c>
      <c r="BR238" s="277">
        <v>39154</v>
      </c>
      <c r="BS238" s="277">
        <v>4350</v>
      </c>
      <c r="BT238" s="277">
        <v>217524</v>
      </c>
      <c r="BU238" s="277">
        <v>806819</v>
      </c>
      <c r="BV238" s="277">
        <v>181173</v>
      </c>
      <c r="BW238" s="277">
        <v>20130</v>
      </c>
      <c r="BX238" s="277">
        <v>1008122</v>
      </c>
      <c r="BY238" s="278" t="s">
        <v>392</v>
      </c>
      <c r="BZ238" s="279" t="s">
        <v>990</v>
      </c>
      <c r="CA238" s="280" t="s">
        <v>991</v>
      </c>
    </row>
    <row r="239" spans="1:79" ht="12.75">
      <c r="A239" s="169">
        <v>232</v>
      </c>
      <c r="B239" s="172" t="s">
        <v>394</v>
      </c>
      <c r="C239" s="258" t="s">
        <v>395</v>
      </c>
      <c r="D239" s="277">
        <v>76653618.4</v>
      </c>
      <c r="E239" s="277">
        <v>150427</v>
      </c>
      <c r="F239" s="277">
        <v>0</v>
      </c>
      <c r="G239" s="277">
        <v>464476</v>
      </c>
      <c r="H239" s="277">
        <v>0</v>
      </c>
      <c r="I239" s="277">
        <v>464476</v>
      </c>
      <c r="J239" s="277">
        <v>0</v>
      </c>
      <c r="K239" s="277">
        <v>0</v>
      </c>
      <c r="L239" s="277">
        <v>0</v>
      </c>
      <c r="M239" s="277">
        <v>0</v>
      </c>
      <c r="N239" s="277">
        <v>0</v>
      </c>
      <c r="O239" s="277">
        <v>0</v>
      </c>
      <c r="P239" s="277">
        <v>76339569.4</v>
      </c>
      <c r="Q239" s="277">
        <v>38169784.4</v>
      </c>
      <c r="R239" s="277">
        <v>37406389</v>
      </c>
      <c r="S239" s="277">
        <v>0</v>
      </c>
      <c r="T239" s="277">
        <v>763396</v>
      </c>
      <c r="U239" s="277">
        <v>76339569</v>
      </c>
      <c r="V239" s="277">
        <v>0</v>
      </c>
      <c r="W239" s="277">
        <v>38169784.4</v>
      </c>
      <c r="X239" s="277">
        <v>464476</v>
      </c>
      <c r="Y239" s="277">
        <v>464476</v>
      </c>
      <c r="Z239" s="277">
        <v>0</v>
      </c>
      <c r="AA239" s="277">
        <v>0</v>
      </c>
      <c r="AB239" s="277">
        <v>0</v>
      </c>
      <c r="AC239" s="277">
        <v>0</v>
      </c>
      <c r="AD239" s="277">
        <v>0</v>
      </c>
      <c r="AE239" s="277">
        <v>0</v>
      </c>
      <c r="AF239" s="277">
        <v>0</v>
      </c>
      <c r="AG239" s="277">
        <v>0</v>
      </c>
      <c r="AH239" s="277">
        <v>0</v>
      </c>
      <c r="AI239" s="277">
        <v>0</v>
      </c>
      <c r="AJ239" s="277">
        <v>0</v>
      </c>
      <c r="AK239" s="277">
        <v>0</v>
      </c>
      <c r="AL239" s="277">
        <v>0</v>
      </c>
      <c r="AM239" s="277">
        <v>-1005450</v>
      </c>
      <c r="AN239" s="277">
        <v>-985341</v>
      </c>
      <c r="AO239" s="277">
        <v>0</v>
      </c>
      <c r="AP239" s="277">
        <v>-20109</v>
      </c>
      <c r="AQ239" s="277">
        <v>-2010900</v>
      </c>
      <c r="AR239" s="277">
        <v>37164334</v>
      </c>
      <c r="AS239" s="277">
        <v>36885524</v>
      </c>
      <c r="AT239" s="277">
        <v>0</v>
      </c>
      <c r="AU239" s="277">
        <v>743287</v>
      </c>
      <c r="AV239" s="277">
        <v>74793145</v>
      </c>
      <c r="AW239" s="277">
        <v>402026</v>
      </c>
      <c r="AX239" s="277">
        <v>0</v>
      </c>
      <c r="AY239" s="277">
        <v>8104</v>
      </c>
      <c r="AZ239" s="277">
        <v>410130</v>
      </c>
      <c r="BA239" s="277">
        <v>1798927</v>
      </c>
      <c r="BB239" s="277">
        <v>0</v>
      </c>
      <c r="BC239" s="277">
        <v>36713</v>
      </c>
      <c r="BD239" s="277">
        <v>1835640</v>
      </c>
      <c r="BE239" s="277">
        <v>149911</v>
      </c>
      <c r="BF239" s="277">
        <v>0</v>
      </c>
      <c r="BG239" s="277">
        <v>3059</v>
      </c>
      <c r="BH239" s="277">
        <v>152970</v>
      </c>
      <c r="BI239" s="277">
        <v>32484</v>
      </c>
      <c r="BJ239" s="277">
        <v>0</v>
      </c>
      <c r="BK239" s="277">
        <v>663</v>
      </c>
      <c r="BL239" s="277">
        <v>33147</v>
      </c>
      <c r="BM239" s="277">
        <v>126859</v>
      </c>
      <c r="BN239" s="277">
        <v>0</v>
      </c>
      <c r="BO239" s="277">
        <v>2589</v>
      </c>
      <c r="BP239" s="277">
        <v>129448</v>
      </c>
      <c r="BQ239" s="277">
        <v>554428</v>
      </c>
      <c r="BR239" s="277">
        <v>0</v>
      </c>
      <c r="BS239" s="277">
        <v>11315</v>
      </c>
      <c r="BT239" s="277">
        <v>565743</v>
      </c>
      <c r="BU239" s="277">
        <v>3064635</v>
      </c>
      <c r="BV239" s="277">
        <v>0</v>
      </c>
      <c r="BW239" s="277">
        <v>62443</v>
      </c>
      <c r="BX239" s="277">
        <v>3127078</v>
      </c>
      <c r="BY239" s="278" t="s">
        <v>394</v>
      </c>
      <c r="BZ239" s="279" t="s">
        <v>1003</v>
      </c>
      <c r="CA239" s="280" t="s">
        <v>1051</v>
      </c>
    </row>
    <row r="240" spans="1:79" ht="12.75">
      <c r="A240" s="169">
        <v>233</v>
      </c>
      <c r="B240" s="172" t="s">
        <v>396</v>
      </c>
      <c r="C240" s="258" t="s">
        <v>397</v>
      </c>
      <c r="D240" s="277">
        <v>92335388</v>
      </c>
      <c r="E240" s="277">
        <v>0</v>
      </c>
      <c r="F240" s="277">
        <v>259018</v>
      </c>
      <c r="G240" s="277">
        <v>207441</v>
      </c>
      <c r="H240" s="277">
        <v>0</v>
      </c>
      <c r="I240" s="277">
        <v>207441</v>
      </c>
      <c r="J240" s="277">
        <v>0</v>
      </c>
      <c r="K240" s="277">
        <v>0</v>
      </c>
      <c r="L240" s="277">
        <v>0</v>
      </c>
      <c r="M240" s="277">
        <v>0</v>
      </c>
      <c r="N240" s="277">
        <v>0</v>
      </c>
      <c r="O240" s="277">
        <v>0</v>
      </c>
      <c r="P240" s="277">
        <v>91868929</v>
      </c>
      <c r="Q240" s="277">
        <v>45934465</v>
      </c>
      <c r="R240" s="277">
        <v>45015775</v>
      </c>
      <c r="S240" s="277">
        <v>0</v>
      </c>
      <c r="T240" s="277">
        <v>918689</v>
      </c>
      <c r="U240" s="277">
        <v>91868929</v>
      </c>
      <c r="V240" s="277">
        <v>0</v>
      </c>
      <c r="W240" s="277">
        <v>45934465</v>
      </c>
      <c r="X240" s="277">
        <v>207441</v>
      </c>
      <c r="Y240" s="277">
        <v>207441</v>
      </c>
      <c r="Z240" s="277">
        <v>0</v>
      </c>
      <c r="AA240" s="277">
        <v>0</v>
      </c>
      <c r="AB240" s="277">
        <v>0</v>
      </c>
      <c r="AC240" s="277">
        <v>0</v>
      </c>
      <c r="AD240" s="277">
        <v>0</v>
      </c>
      <c r="AE240" s="277">
        <v>0</v>
      </c>
      <c r="AF240" s="277">
        <v>0</v>
      </c>
      <c r="AG240" s="277">
        <v>0</v>
      </c>
      <c r="AH240" s="277">
        <v>0</v>
      </c>
      <c r="AI240" s="277">
        <v>0</v>
      </c>
      <c r="AJ240" s="277">
        <v>0</v>
      </c>
      <c r="AK240" s="277">
        <v>0</v>
      </c>
      <c r="AL240" s="277">
        <v>0</v>
      </c>
      <c r="AM240" s="277">
        <v>-505887.5</v>
      </c>
      <c r="AN240" s="277">
        <v>-495769.75</v>
      </c>
      <c r="AO240" s="277">
        <v>0</v>
      </c>
      <c r="AP240" s="277">
        <v>-10117.75</v>
      </c>
      <c r="AQ240" s="277">
        <v>-1011775</v>
      </c>
      <c r="AR240" s="277">
        <v>45428578</v>
      </c>
      <c r="AS240" s="277">
        <v>44727446</v>
      </c>
      <c r="AT240" s="277">
        <v>0</v>
      </c>
      <c r="AU240" s="277">
        <v>908571</v>
      </c>
      <c r="AV240" s="277">
        <v>91064595</v>
      </c>
      <c r="AW240" s="277">
        <v>480077</v>
      </c>
      <c r="AX240" s="277">
        <v>0</v>
      </c>
      <c r="AY240" s="277">
        <v>9753</v>
      </c>
      <c r="AZ240" s="277">
        <v>489830</v>
      </c>
      <c r="BA240" s="277">
        <v>261528</v>
      </c>
      <c r="BB240" s="277">
        <v>0</v>
      </c>
      <c r="BC240" s="277">
        <v>5337</v>
      </c>
      <c r="BD240" s="277">
        <v>266865</v>
      </c>
      <c r="BE240" s="277">
        <v>0</v>
      </c>
      <c r="BF240" s="277">
        <v>0</v>
      </c>
      <c r="BG240" s="277">
        <v>0</v>
      </c>
      <c r="BH240" s="277">
        <v>0</v>
      </c>
      <c r="BI240" s="277">
        <v>303678</v>
      </c>
      <c r="BJ240" s="277">
        <v>0</v>
      </c>
      <c r="BK240" s="277">
        <v>6198</v>
      </c>
      <c r="BL240" s="277">
        <v>309876</v>
      </c>
      <c r="BM240" s="277">
        <v>13287</v>
      </c>
      <c r="BN240" s="277">
        <v>0</v>
      </c>
      <c r="BO240" s="277">
        <v>134</v>
      </c>
      <c r="BP240" s="277">
        <v>13421</v>
      </c>
      <c r="BQ240" s="277">
        <v>312192</v>
      </c>
      <c r="BR240" s="277">
        <v>0</v>
      </c>
      <c r="BS240" s="277">
        <v>3153</v>
      </c>
      <c r="BT240" s="277">
        <v>315345</v>
      </c>
      <c r="BU240" s="277">
        <v>1370762</v>
      </c>
      <c r="BV240" s="277">
        <v>0</v>
      </c>
      <c r="BW240" s="277">
        <v>24575</v>
      </c>
      <c r="BX240" s="277">
        <v>1395337</v>
      </c>
      <c r="BY240" s="278" t="s">
        <v>917</v>
      </c>
      <c r="BZ240" s="279" t="s">
        <v>1003</v>
      </c>
      <c r="CA240" s="280" t="s">
        <v>1013</v>
      </c>
    </row>
    <row r="241" spans="1:79" ht="12.75">
      <c r="A241" s="169">
        <v>234</v>
      </c>
      <c r="B241" s="172" t="s">
        <v>398</v>
      </c>
      <c r="C241" s="258" t="s">
        <v>399</v>
      </c>
      <c r="D241" s="277">
        <v>114081231</v>
      </c>
      <c r="E241" s="277">
        <v>0</v>
      </c>
      <c r="F241" s="277">
        <v>1206396</v>
      </c>
      <c r="G241" s="277">
        <v>242823</v>
      </c>
      <c r="H241" s="277">
        <v>0</v>
      </c>
      <c r="I241" s="277">
        <v>242823</v>
      </c>
      <c r="J241" s="277">
        <v>0</v>
      </c>
      <c r="K241" s="277">
        <v>0</v>
      </c>
      <c r="L241" s="277">
        <v>0</v>
      </c>
      <c r="M241" s="277">
        <v>0</v>
      </c>
      <c r="N241" s="277">
        <v>0</v>
      </c>
      <c r="O241" s="277">
        <v>0</v>
      </c>
      <c r="P241" s="277">
        <v>112632012</v>
      </c>
      <c r="Q241" s="277">
        <v>56316006</v>
      </c>
      <c r="R241" s="277">
        <v>55189686</v>
      </c>
      <c r="S241" s="277">
        <v>0</v>
      </c>
      <c r="T241" s="277">
        <v>1126320</v>
      </c>
      <c r="U241" s="277">
        <v>112632012</v>
      </c>
      <c r="V241" s="277">
        <v>0</v>
      </c>
      <c r="W241" s="277">
        <v>56316006</v>
      </c>
      <c r="X241" s="277">
        <v>242823</v>
      </c>
      <c r="Y241" s="277">
        <v>242823</v>
      </c>
      <c r="Z241" s="277">
        <v>0</v>
      </c>
      <c r="AA241" s="277">
        <v>0</v>
      </c>
      <c r="AB241" s="277">
        <v>0</v>
      </c>
      <c r="AC241" s="277">
        <v>0</v>
      </c>
      <c r="AD241" s="277">
        <v>0</v>
      </c>
      <c r="AE241" s="277">
        <v>0</v>
      </c>
      <c r="AF241" s="277">
        <v>0</v>
      </c>
      <c r="AG241" s="277">
        <v>0</v>
      </c>
      <c r="AH241" s="277">
        <v>0</v>
      </c>
      <c r="AI241" s="277">
        <v>0</v>
      </c>
      <c r="AJ241" s="277">
        <v>0</v>
      </c>
      <c r="AK241" s="277">
        <v>0</v>
      </c>
      <c r="AL241" s="277">
        <v>0</v>
      </c>
      <c r="AM241" s="277">
        <v>-3596646.5</v>
      </c>
      <c r="AN241" s="277">
        <v>-3524713.6</v>
      </c>
      <c r="AO241" s="277">
        <v>0</v>
      </c>
      <c r="AP241" s="277">
        <v>-71932.93</v>
      </c>
      <c r="AQ241" s="277">
        <v>-7193293</v>
      </c>
      <c r="AR241" s="277">
        <v>52719360</v>
      </c>
      <c r="AS241" s="277">
        <v>51907795</v>
      </c>
      <c r="AT241" s="277">
        <v>0</v>
      </c>
      <c r="AU241" s="277">
        <v>1054387</v>
      </c>
      <c r="AV241" s="277">
        <v>105681542</v>
      </c>
      <c r="AW241" s="277">
        <v>588456</v>
      </c>
      <c r="AX241" s="277">
        <v>0</v>
      </c>
      <c r="AY241" s="277">
        <v>11957</v>
      </c>
      <c r="AZ241" s="277">
        <v>600413</v>
      </c>
      <c r="BA241" s="277">
        <v>496816</v>
      </c>
      <c r="BB241" s="277">
        <v>0</v>
      </c>
      <c r="BC241" s="277">
        <v>10139</v>
      </c>
      <c r="BD241" s="277">
        <v>506955</v>
      </c>
      <c r="BE241" s="277">
        <v>14113</v>
      </c>
      <c r="BF241" s="277">
        <v>0</v>
      </c>
      <c r="BG241" s="277">
        <v>288</v>
      </c>
      <c r="BH241" s="277">
        <v>14401</v>
      </c>
      <c r="BI241" s="277">
        <v>136181</v>
      </c>
      <c r="BJ241" s="277">
        <v>0</v>
      </c>
      <c r="BK241" s="277">
        <v>2779</v>
      </c>
      <c r="BL241" s="277">
        <v>138960</v>
      </c>
      <c r="BM241" s="277">
        <v>22284</v>
      </c>
      <c r="BN241" s="277">
        <v>0</v>
      </c>
      <c r="BO241" s="277">
        <v>455</v>
      </c>
      <c r="BP241" s="277">
        <v>22739</v>
      </c>
      <c r="BQ241" s="277">
        <v>383782</v>
      </c>
      <c r="BR241" s="277">
        <v>0</v>
      </c>
      <c r="BS241" s="277">
        <v>7832</v>
      </c>
      <c r="BT241" s="277">
        <v>391614</v>
      </c>
      <c r="BU241" s="277">
        <v>1641632</v>
      </c>
      <c r="BV241" s="277">
        <v>0</v>
      </c>
      <c r="BW241" s="277">
        <v>33450</v>
      </c>
      <c r="BX241" s="277">
        <v>1675082</v>
      </c>
      <c r="BY241" s="278" t="s">
        <v>398</v>
      </c>
      <c r="BZ241" s="279" t="s">
        <v>996</v>
      </c>
      <c r="CA241" s="280" t="s">
        <v>1006</v>
      </c>
    </row>
    <row r="242" spans="1:79" ht="12.75">
      <c r="A242" s="169">
        <v>235</v>
      </c>
      <c r="B242" s="172" t="s">
        <v>400</v>
      </c>
      <c r="C242" s="258" t="s">
        <v>401</v>
      </c>
      <c r="D242" s="277">
        <v>26646209</v>
      </c>
      <c r="E242" s="277">
        <v>16486</v>
      </c>
      <c r="F242" s="277">
        <v>0</v>
      </c>
      <c r="G242" s="277">
        <v>97601</v>
      </c>
      <c r="H242" s="277">
        <v>0</v>
      </c>
      <c r="I242" s="277">
        <v>97601</v>
      </c>
      <c r="J242" s="277">
        <v>0</v>
      </c>
      <c r="K242" s="277">
        <v>0</v>
      </c>
      <c r="L242" s="277">
        <v>0</v>
      </c>
      <c r="M242" s="277">
        <v>0</v>
      </c>
      <c r="N242" s="277">
        <v>0</v>
      </c>
      <c r="O242" s="277">
        <v>0</v>
      </c>
      <c r="P242" s="277">
        <v>26565094</v>
      </c>
      <c r="Q242" s="277">
        <v>13282547</v>
      </c>
      <c r="R242" s="277">
        <v>10626038</v>
      </c>
      <c r="S242" s="277">
        <v>2390858</v>
      </c>
      <c r="T242" s="277">
        <v>265651</v>
      </c>
      <c r="U242" s="277">
        <v>26565094</v>
      </c>
      <c r="V242" s="277">
        <v>0</v>
      </c>
      <c r="W242" s="277">
        <v>13282547</v>
      </c>
      <c r="X242" s="277">
        <v>97601</v>
      </c>
      <c r="Y242" s="277">
        <v>97601</v>
      </c>
      <c r="Z242" s="277">
        <v>0</v>
      </c>
      <c r="AA242" s="277">
        <v>0</v>
      </c>
      <c r="AB242" s="277">
        <v>0</v>
      </c>
      <c r="AC242" s="277">
        <v>0</v>
      </c>
      <c r="AD242" s="277">
        <v>0</v>
      </c>
      <c r="AE242" s="277">
        <v>0</v>
      </c>
      <c r="AF242" s="277">
        <v>0</v>
      </c>
      <c r="AG242" s="277">
        <v>0</v>
      </c>
      <c r="AH242" s="277">
        <v>0</v>
      </c>
      <c r="AI242" s="277">
        <v>0</v>
      </c>
      <c r="AJ242" s="277">
        <v>0</v>
      </c>
      <c r="AK242" s="277">
        <v>0</v>
      </c>
      <c r="AL242" s="277">
        <v>0</v>
      </c>
      <c r="AM242" s="277">
        <v>-1084248</v>
      </c>
      <c r="AN242" s="277">
        <v>-867398.4</v>
      </c>
      <c r="AO242" s="277">
        <v>-195164.64</v>
      </c>
      <c r="AP242" s="277">
        <v>-21684.96</v>
      </c>
      <c r="AQ242" s="277">
        <v>-2168496</v>
      </c>
      <c r="AR242" s="277">
        <v>12198299</v>
      </c>
      <c r="AS242" s="277">
        <v>9856241</v>
      </c>
      <c r="AT242" s="277">
        <v>2195693</v>
      </c>
      <c r="AU242" s="277">
        <v>243966</v>
      </c>
      <c r="AV242" s="277">
        <v>24494199</v>
      </c>
      <c r="AW242" s="277">
        <v>113839</v>
      </c>
      <c r="AX242" s="277">
        <v>25381</v>
      </c>
      <c r="AY242" s="277">
        <v>2820</v>
      </c>
      <c r="AZ242" s="277">
        <v>142040</v>
      </c>
      <c r="BA242" s="277">
        <v>172544</v>
      </c>
      <c r="BB242" s="277">
        <v>38823</v>
      </c>
      <c r="BC242" s="277">
        <v>4314</v>
      </c>
      <c r="BD242" s="277">
        <v>215681</v>
      </c>
      <c r="BE242" s="277">
        <v>0</v>
      </c>
      <c r="BF242" s="277">
        <v>0</v>
      </c>
      <c r="BG242" s="277">
        <v>0</v>
      </c>
      <c r="BH242" s="277">
        <v>0</v>
      </c>
      <c r="BI242" s="277">
        <v>0</v>
      </c>
      <c r="BJ242" s="277">
        <v>0</v>
      </c>
      <c r="BK242" s="277">
        <v>0</v>
      </c>
      <c r="BL242" s="277">
        <v>0</v>
      </c>
      <c r="BM242" s="277">
        <v>0</v>
      </c>
      <c r="BN242" s="277">
        <v>0</v>
      </c>
      <c r="BO242" s="277">
        <v>0</v>
      </c>
      <c r="BP242" s="277">
        <v>0</v>
      </c>
      <c r="BQ242" s="277">
        <v>108339</v>
      </c>
      <c r="BR242" s="277">
        <v>24376</v>
      </c>
      <c r="BS242" s="277">
        <v>2708</v>
      </c>
      <c r="BT242" s="277">
        <v>135423</v>
      </c>
      <c r="BU242" s="277">
        <v>394722</v>
      </c>
      <c r="BV242" s="277">
        <v>88580</v>
      </c>
      <c r="BW242" s="277">
        <v>9842</v>
      </c>
      <c r="BX242" s="277">
        <v>493144</v>
      </c>
      <c r="BY242" s="278" t="s">
        <v>400</v>
      </c>
      <c r="BZ242" s="279" t="s">
        <v>992</v>
      </c>
      <c r="CA242" s="280" t="s">
        <v>993</v>
      </c>
    </row>
    <row r="243" spans="1:79" ht="12.75">
      <c r="A243" s="169">
        <v>236</v>
      </c>
      <c r="B243" s="172" t="s">
        <v>402</v>
      </c>
      <c r="C243" s="258" t="s">
        <v>403</v>
      </c>
      <c r="D243" s="277">
        <v>67798946</v>
      </c>
      <c r="E243" s="277">
        <v>75093</v>
      </c>
      <c r="F243" s="277">
        <v>0</v>
      </c>
      <c r="G243" s="277">
        <v>219672</v>
      </c>
      <c r="H243" s="277">
        <v>0</v>
      </c>
      <c r="I243" s="277">
        <v>219672</v>
      </c>
      <c r="J243" s="277">
        <v>0</v>
      </c>
      <c r="K243" s="277">
        <v>0</v>
      </c>
      <c r="L243" s="277">
        <v>0</v>
      </c>
      <c r="M243" s="277">
        <v>0</v>
      </c>
      <c r="N243" s="277">
        <v>0</v>
      </c>
      <c r="O243" s="277">
        <v>0</v>
      </c>
      <c r="P243" s="277">
        <v>67654367</v>
      </c>
      <c r="Q243" s="277">
        <v>33827183</v>
      </c>
      <c r="R243" s="277">
        <v>27061747</v>
      </c>
      <c r="S243" s="277">
        <v>6088893</v>
      </c>
      <c r="T243" s="277">
        <v>676544</v>
      </c>
      <c r="U243" s="277">
        <v>67654367</v>
      </c>
      <c r="V243" s="277">
        <v>0</v>
      </c>
      <c r="W243" s="277">
        <v>33827183</v>
      </c>
      <c r="X243" s="277">
        <v>219672</v>
      </c>
      <c r="Y243" s="277">
        <v>219672</v>
      </c>
      <c r="Z243" s="277">
        <v>0</v>
      </c>
      <c r="AA243" s="277">
        <v>0</v>
      </c>
      <c r="AB243" s="277">
        <v>0</v>
      </c>
      <c r="AC243" s="277">
        <v>0</v>
      </c>
      <c r="AD243" s="277">
        <v>0</v>
      </c>
      <c r="AE243" s="277">
        <v>0</v>
      </c>
      <c r="AF243" s="277">
        <v>0</v>
      </c>
      <c r="AG243" s="277">
        <v>0</v>
      </c>
      <c r="AH243" s="277">
        <v>0</v>
      </c>
      <c r="AI243" s="277">
        <v>0</v>
      </c>
      <c r="AJ243" s="277">
        <v>0</v>
      </c>
      <c r="AK243" s="277">
        <v>0</v>
      </c>
      <c r="AL243" s="277">
        <v>0</v>
      </c>
      <c r="AM243" s="277">
        <v>-2788522</v>
      </c>
      <c r="AN243" s="277">
        <v>-2230817.6</v>
      </c>
      <c r="AO243" s="277">
        <v>-501933.96</v>
      </c>
      <c r="AP243" s="277">
        <v>-55770.44</v>
      </c>
      <c r="AQ243" s="277">
        <v>-5577044</v>
      </c>
      <c r="AR243" s="277">
        <v>31038661</v>
      </c>
      <c r="AS243" s="277">
        <v>25050601</v>
      </c>
      <c r="AT243" s="277">
        <v>5586959</v>
      </c>
      <c r="AU243" s="277">
        <v>620774</v>
      </c>
      <c r="AV243" s="277">
        <v>62296995</v>
      </c>
      <c r="AW243" s="277">
        <v>289612</v>
      </c>
      <c r="AX243" s="277">
        <v>64638</v>
      </c>
      <c r="AY243" s="277">
        <v>7182</v>
      </c>
      <c r="AZ243" s="277">
        <v>361432</v>
      </c>
      <c r="BA243" s="277">
        <v>506969</v>
      </c>
      <c r="BB243" s="277">
        <v>114068</v>
      </c>
      <c r="BC243" s="277">
        <v>12674</v>
      </c>
      <c r="BD243" s="277">
        <v>633711</v>
      </c>
      <c r="BE243" s="277">
        <v>0</v>
      </c>
      <c r="BF243" s="277">
        <v>0</v>
      </c>
      <c r="BG243" s="277">
        <v>0</v>
      </c>
      <c r="BH243" s="277">
        <v>0</v>
      </c>
      <c r="BI243" s="277">
        <v>40424</v>
      </c>
      <c r="BJ243" s="277">
        <v>9096</v>
      </c>
      <c r="BK243" s="277">
        <v>1011</v>
      </c>
      <c r="BL243" s="277">
        <v>50531</v>
      </c>
      <c r="BM243" s="277">
        <v>4094</v>
      </c>
      <c r="BN243" s="277">
        <v>409</v>
      </c>
      <c r="BO243" s="277">
        <v>45</v>
      </c>
      <c r="BP243" s="277">
        <v>4548</v>
      </c>
      <c r="BQ243" s="277">
        <v>201465</v>
      </c>
      <c r="BR243" s="277">
        <v>20147</v>
      </c>
      <c r="BS243" s="277">
        <v>2239</v>
      </c>
      <c r="BT243" s="277">
        <v>223851</v>
      </c>
      <c r="BU243" s="277">
        <v>1042564</v>
      </c>
      <c r="BV243" s="277">
        <v>208358</v>
      </c>
      <c r="BW243" s="277">
        <v>23151</v>
      </c>
      <c r="BX243" s="277">
        <v>1274073</v>
      </c>
      <c r="BY243" s="278" t="s">
        <v>402</v>
      </c>
      <c r="BZ243" s="279" t="s">
        <v>1023</v>
      </c>
      <c r="CA243" s="280" t="s">
        <v>1024</v>
      </c>
    </row>
    <row r="244" spans="1:79" ht="12.75">
      <c r="A244" s="169">
        <v>237</v>
      </c>
      <c r="B244" s="172" t="s">
        <v>404</v>
      </c>
      <c r="C244" s="258" t="s">
        <v>405</v>
      </c>
      <c r="D244" s="277">
        <v>21159601</v>
      </c>
      <c r="E244" s="277">
        <v>11353</v>
      </c>
      <c r="F244" s="277">
        <v>0</v>
      </c>
      <c r="G244" s="277">
        <v>90918</v>
      </c>
      <c r="H244" s="277">
        <v>0</v>
      </c>
      <c r="I244" s="277">
        <v>90918</v>
      </c>
      <c r="J244" s="277">
        <v>0</v>
      </c>
      <c r="K244" s="277">
        <v>0</v>
      </c>
      <c r="L244" s="277">
        <v>0</v>
      </c>
      <c r="M244" s="277">
        <v>0</v>
      </c>
      <c r="N244" s="277">
        <v>0</v>
      </c>
      <c r="O244" s="277">
        <v>0</v>
      </c>
      <c r="P244" s="277">
        <v>21080036</v>
      </c>
      <c r="Q244" s="277">
        <v>10540019</v>
      </c>
      <c r="R244" s="277">
        <v>8432014</v>
      </c>
      <c r="S244" s="277">
        <v>1897203</v>
      </c>
      <c r="T244" s="277">
        <v>210800</v>
      </c>
      <c r="U244" s="277">
        <v>21080036</v>
      </c>
      <c r="V244" s="277">
        <v>0</v>
      </c>
      <c r="W244" s="277">
        <v>10540019</v>
      </c>
      <c r="X244" s="277">
        <v>90918</v>
      </c>
      <c r="Y244" s="277">
        <v>90918</v>
      </c>
      <c r="Z244" s="277">
        <v>0</v>
      </c>
      <c r="AA244" s="277">
        <v>0</v>
      </c>
      <c r="AB244" s="277">
        <v>0</v>
      </c>
      <c r="AC244" s="277">
        <v>0</v>
      </c>
      <c r="AD244" s="277">
        <v>0</v>
      </c>
      <c r="AE244" s="277">
        <v>0</v>
      </c>
      <c r="AF244" s="277">
        <v>0</v>
      </c>
      <c r="AG244" s="277">
        <v>0</v>
      </c>
      <c r="AH244" s="277">
        <v>0</v>
      </c>
      <c r="AI244" s="277">
        <v>0</v>
      </c>
      <c r="AJ244" s="277">
        <v>0</v>
      </c>
      <c r="AK244" s="277">
        <v>0</v>
      </c>
      <c r="AL244" s="277">
        <v>0</v>
      </c>
      <c r="AM244" s="277">
        <v>0</v>
      </c>
      <c r="AN244" s="277">
        <v>0</v>
      </c>
      <c r="AO244" s="277">
        <v>0</v>
      </c>
      <c r="AP244" s="277">
        <v>0</v>
      </c>
      <c r="AQ244" s="277">
        <v>0</v>
      </c>
      <c r="AR244" s="277">
        <v>10540019</v>
      </c>
      <c r="AS244" s="277">
        <v>8522932</v>
      </c>
      <c r="AT244" s="277">
        <v>1897203</v>
      </c>
      <c r="AU244" s="277">
        <v>210800</v>
      </c>
      <c r="AV244" s="277">
        <v>21170954</v>
      </c>
      <c r="AW244" s="277">
        <v>90477</v>
      </c>
      <c r="AX244" s="277">
        <v>20140</v>
      </c>
      <c r="AY244" s="277">
        <v>2238</v>
      </c>
      <c r="AZ244" s="277">
        <v>112855</v>
      </c>
      <c r="BA244" s="277">
        <v>263527</v>
      </c>
      <c r="BB244" s="277">
        <v>59294</v>
      </c>
      <c r="BC244" s="277">
        <v>6588</v>
      </c>
      <c r="BD244" s="277">
        <v>329409</v>
      </c>
      <c r="BE244" s="277">
        <v>0</v>
      </c>
      <c r="BF244" s="277">
        <v>0</v>
      </c>
      <c r="BG244" s="277">
        <v>0</v>
      </c>
      <c r="BH244" s="277">
        <v>0</v>
      </c>
      <c r="BI244" s="277">
        <v>7728</v>
      </c>
      <c r="BJ244" s="277">
        <v>1739</v>
      </c>
      <c r="BK244" s="277">
        <v>193</v>
      </c>
      <c r="BL244" s="277">
        <v>9660</v>
      </c>
      <c r="BM244" s="277">
        <v>29474</v>
      </c>
      <c r="BN244" s="277">
        <v>6632</v>
      </c>
      <c r="BO244" s="277">
        <v>737</v>
      </c>
      <c r="BP244" s="277">
        <v>36843</v>
      </c>
      <c r="BQ244" s="277">
        <v>35170</v>
      </c>
      <c r="BR244" s="277">
        <v>7913</v>
      </c>
      <c r="BS244" s="277">
        <v>879</v>
      </c>
      <c r="BT244" s="277">
        <v>43962</v>
      </c>
      <c r="BU244" s="277">
        <v>426376</v>
      </c>
      <c r="BV244" s="277">
        <v>95718</v>
      </c>
      <c r="BW244" s="277">
        <v>10635</v>
      </c>
      <c r="BX244" s="277">
        <v>532729</v>
      </c>
      <c r="BY244" s="278" t="s">
        <v>404</v>
      </c>
      <c r="BZ244" s="279" t="s">
        <v>986</v>
      </c>
      <c r="CA244" s="280" t="s">
        <v>987</v>
      </c>
    </row>
    <row r="245" spans="1:79" ht="12.75">
      <c r="A245" s="169">
        <v>238</v>
      </c>
      <c r="B245" s="172" t="s">
        <v>406</v>
      </c>
      <c r="C245" s="258" t="s">
        <v>407</v>
      </c>
      <c r="D245" s="277">
        <v>134388319</v>
      </c>
      <c r="E245" s="277">
        <v>309644</v>
      </c>
      <c r="F245" s="277">
        <v>0</v>
      </c>
      <c r="G245" s="277">
        <v>332372</v>
      </c>
      <c r="H245" s="277">
        <v>0</v>
      </c>
      <c r="I245" s="277">
        <v>332372</v>
      </c>
      <c r="J245" s="277">
        <v>0</v>
      </c>
      <c r="K245" s="277">
        <v>0</v>
      </c>
      <c r="L245" s="277">
        <v>3891169</v>
      </c>
      <c r="M245" s="277">
        <v>0</v>
      </c>
      <c r="N245" s="277">
        <v>0</v>
      </c>
      <c r="O245" s="277">
        <v>0</v>
      </c>
      <c r="P245" s="277">
        <v>130474422</v>
      </c>
      <c r="Q245" s="277">
        <v>65237211</v>
      </c>
      <c r="R245" s="277">
        <v>63932467</v>
      </c>
      <c r="S245" s="277">
        <v>0</v>
      </c>
      <c r="T245" s="277">
        <v>1304744</v>
      </c>
      <c r="U245" s="277">
        <v>130474422</v>
      </c>
      <c r="V245" s="277">
        <v>0</v>
      </c>
      <c r="W245" s="277">
        <v>65237211</v>
      </c>
      <c r="X245" s="277">
        <v>332372</v>
      </c>
      <c r="Y245" s="277">
        <v>332372</v>
      </c>
      <c r="Z245" s="277">
        <v>0</v>
      </c>
      <c r="AA245" s="277">
        <v>0</v>
      </c>
      <c r="AB245" s="277">
        <v>3891169</v>
      </c>
      <c r="AC245" s="277">
        <v>3891169</v>
      </c>
      <c r="AD245" s="277">
        <v>0</v>
      </c>
      <c r="AE245" s="277">
        <v>0</v>
      </c>
      <c r="AF245" s="277">
        <v>0</v>
      </c>
      <c r="AG245" s="277">
        <v>0</v>
      </c>
      <c r="AH245" s="277">
        <v>0</v>
      </c>
      <c r="AI245" s="277">
        <v>0</v>
      </c>
      <c r="AJ245" s="277">
        <v>0</v>
      </c>
      <c r="AK245" s="277">
        <v>0</v>
      </c>
      <c r="AL245" s="277">
        <v>0</v>
      </c>
      <c r="AM245" s="277">
        <v>18528.5</v>
      </c>
      <c r="AN245" s="277">
        <v>18157.93</v>
      </c>
      <c r="AO245" s="277">
        <v>0</v>
      </c>
      <c r="AP245" s="277">
        <v>370.57</v>
      </c>
      <c r="AQ245" s="277">
        <v>37057</v>
      </c>
      <c r="AR245" s="277">
        <v>65255740</v>
      </c>
      <c r="AS245" s="277">
        <v>68174166</v>
      </c>
      <c r="AT245" s="277">
        <v>0</v>
      </c>
      <c r="AU245" s="277">
        <v>1305115</v>
      </c>
      <c r="AV245" s="277">
        <v>134735021</v>
      </c>
      <c r="AW245" s="277">
        <v>723525</v>
      </c>
      <c r="AX245" s="277">
        <v>0</v>
      </c>
      <c r="AY245" s="277">
        <v>13851</v>
      </c>
      <c r="AZ245" s="277">
        <v>737376</v>
      </c>
      <c r="BA245" s="277">
        <v>801474</v>
      </c>
      <c r="BB245" s="277">
        <v>0</v>
      </c>
      <c r="BC245" s="277">
        <v>16357</v>
      </c>
      <c r="BD245" s="277">
        <v>817831</v>
      </c>
      <c r="BE245" s="277">
        <v>49710</v>
      </c>
      <c r="BF245" s="277">
        <v>0</v>
      </c>
      <c r="BG245" s="277">
        <v>1014</v>
      </c>
      <c r="BH245" s="277">
        <v>50724</v>
      </c>
      <c r="BI245" s="277">
        <v>31000</v>
      </c>
      <c r="BJ245" s="277">
        <v>0</v>
      </c>
      <c r="BK245" s="277">
        <v>633</v>
      </c>
      <c r="BL245" s="277">
        <v>31633</v>
      </c>
      <c r="BM245" s="277">
        <v>148560</v>
      </c>
      <c r="BN245" s="277">
        <v>0</v>
      </c>
      <c r="BO245" s="277">
        <v>3032</v>
      </c>
      <c r="BP245" s="277">
        <v>151592</v>
      </c>
      <c r="BQ245" s="277">
        <v>666046</v>
      </c>
      <c r="BR245" s="277">
        <v>0</v>
      </c>
      <c r="BS245" s="277">
        <v>13593</v>
      </c>
      <c r="BT245" s="277">
        <v>679639</v>
      </c>
      <c r="BU245" s="277">
        <v>2420315</v>
      </c>
      <c r="BV245" s="277">
        <v>0</v>
      </c>
      <c r="BW245" s="277">
        <v>48480</v>
      </c>
      <c r="BX245" s="277">
        <v>2468795</v>
      </c>
      <c r="BY245" s="278" t="s">
        <v>918</v>
      </c>
      <c r="BZ245" s="279" t="s">
        <v>1003</v>
      </c>
      <c r="CA245" s="280" t="s">
        <v>1004</v>
      </c>
    </row>
    <row r="246" spans="1:79" ht="12.75">
      <c r="A246" s="169">
        <v>239</v>
      </c>
      <c r="B246" s="172" t="s">
        <v>408</v>
      </c>
      <c r="C246" s="258" t="s">
        <v>409</v>
      </c>
      <c r="D246" s="277">
        <v>28551275</v>
      </c>
      <c r="E246" s="277">
        <v>1523875</v>
      </c>
      <c r="F246" s="277">
        <v>0</v>
      </c>
      <c r="G246" s="277">
        <v>206162</v>
      </c>
      <c r="H246" s="277">
        <v>0</v>
      </c>
      <c r="I246" s="277">
        <v>206162</v>
      </c>
      <c r="J246" s="277">
        <v>0</v>
      </c>
      <c r="K246" s="277">
        <v>0</v>
      </c>
      <c r="L246" s="277">
        <v>0</v>
      </c>
      <c r="M246" s="277">
        <v>0</v>
      </c>
      <c r="N246" s="277">
        <v>0</v>
      </c>
      <c r="O246" s="277">
        <v>0</v>
      </c>
      <c r="P246" s="277">
        <v>29868988</v>
      </c>
      <c r="Q246" s="277">
        <v>14934494</v>
      </c>
      <c r="R246" s="277">
        <v>11947595</v>
      </c>
      <c r="S246" s="277">
        <v>2688209</v>
      </c>
      <c r="T246" s="277">
        <v>298690</v>
      </c>
      <c r="U246" s="277">
        <v>29868988</v>
      </c>
      <c r="V246" s="277">
        <v>0</v>
      </c>
      <c r="W246" s="277">
        <v>14934494</v>
      </c>
      <c r="X246" s="277">
        <v>206162</v>
      </c>
      <c r="Y246" s="277">
        <v>206162</v>
      </c>
      <c r="Z246" s="277">
        <v>0</v>
      </c>
      <c r="AA246" s="277">
        <v>0</v>
      </c>
      <c r="AB246" s="277">
        <v>0</v>
      </c>
      <c r="AC246" s="277">
        <v>0</v>
      </c>
      <c r="AD246" s="277">
        <v>0</v>
      </c>
      <c r="AE246" s="277">
        <v>0</v>
      </c>
      <c r="AF246" s="277">
        <v>0</v>
      </c>
      <c r="AG246" s="277">
        <v>0</v>
      </c>
      <c r="AH246" s="277">
        <v>0</v>
      </c>
      <c r="AI246" s="277">
        <v>0</v>
      </c>
      <c r="AJ246" s="277">
        <v>0</v>
      </c>
      <c r="AK246" s="277">
        <v>0</v>
      </c>
      <c r="AL246" s="277">
        <v>0</v>
      </c>
      <c r="AM246" s="277">
        <v>-1319249.5</v>
      </c>
      <c r="AN246" s="277">
        <v>-1055399.6</v>
      </c>
      <c r="AO246" s="277">
        <v>-237464.91</v>
      </c>
      <c r="AP246" s="277">
        <v>-26384.99</v>
      </c>
      <c r="AQ246" s="277">
        <v>-2638499</v>
      </c>
      <c r="AR246" s="277">
        <v>13615245</v>
      </c>
      <c r="AS246" s="277">
        <v>11098357</v>
      </c>
      <c r="AT246" s="277">
        <v>2450744</v>
      </c>
      <c r="AU246" s="277">
        <v>272305</v>
      </c>
      <c r="AV246" s="277">
        <v>27436651</v>
      </c>
      <c r="AW246" s="277">
        <v>129021</v>
      </c>
      <c r="AX246" s="277">
        <v>28537</v>
      </c>
      <c r="AY246" s="277">
        <v>3171</v>
      </c>
      <c r="AZ246" s="277">
        <v>160729</v>
      </c>
      <c r="BA246" s="277">
        <v>800982</v>
      </c>
      <c r="BB246" s="277">
        <v>180221</v>
      </c>
      <c r="BC246" s="277">
        <v>20025</v>
      </c>
      <c r="BD246" s="277">
        <v>1001228</v>
      </c>
      <c r="BE246" s="277">
        <v>8085</v>
      </c>
      <c r="BF246" s="277">
        <v>1819</v>
      </c>
      <c r="BG246" s="277">
        <v>202</v>
      </c>
      <c r="BH246" s="277">
        <v>10106</v>
      </c>
      <c r="BI246" s="277">
        <v>8085</v>
      </c>
      <c r="BJ246" s="277">
        <v>1819</v>
      </c>
      <c r="BK246" s="277">
        <v>202</v>
      </c>
      <c r="BL246" s="277">
        <v>10106</v>
      </c>
      <c r="BM246" s="277">
        <v>16170</v>
      </c>
      <c r="BN246" s="277">
        <v>3638</v>
      </c>
      <c r="BO246" s="277">
        <v>404</v>
      </c>
      <c r="BP246" s="277">
        <v>20212</v>
      </c>
      <c r="BQ246" s="277">
        <v>323397</v>
      </c>
      <c r="BR246" s="277">
        <v>72764</v>
      </c>
      <c r="BS246" s="277">
        <v>8085</v>
      </c>
      <c r="BT246" s="277">
        <v>404246</v>
      </c>
      <c r="BU246" s="277">
        <v>1285740</v>
      </c>
      <c r="BV246" s="277">
        <v>288798</v>
      </c>
      <c r="BW246" s="277">
        <v>32089</v>
      </c>
      <c r="BX246" s="277">
        <v>1606627</v>
      </c>
      <c r="BY246" s="278" t="s">
        <v>408</v>
      </c>
      <c r="BZ246" s="279" t="s">
        <v>1036</v>
      </c>
      <c r="CA246" s="280" t="s">
        <v>1037</v>
      </c>
    </row>
    <row r="247" spans="1:79" ht="12.75">
      <c r="A247" s="169">
        <v>240</v>
      </c>
      <c r="B247" s="172" t="s">
        <v>410</v>
      </c>
      <c r="C247" s="258" t="s">
        <v>411</v>
      </c>
      <c r="D247" s="277">
        <v>25100973.7</v>
      </c>
      <c r="E247" s="277">
        <v>416784.82</v>
      </c>
      <c r="F247" s="277">
        <v>0</v>
      </c>
      <c r="G247" s="277">
        <v>113332</v>
      </c>
      <c r="H247" s="277">
        <v>0</v>
      </c>
      <c r="I247" s="277">
        <v>113332</v>
      </c>
      <c r="J247" s="277">
        <v>0</v>
      </c>
      <c r="K247" s="277">
        <v>0</v>
      </c>
      <c r="L247" s="277">
        <v>0</v>
      </c>
      <c r="M247" s="277">
        <v>207260</v>
      </c>
      <c r="N247" s="277">
        <v>207260</v>
      </c>
      <c r="O247" s="277">
        <v>0</v>
      </c>
      <c r="P247" s="277">
        <v>25197166.5</v>
      </c>
      <c r="Q247" s="277">
        <v>12598582.5</v>
      </c>
      <c r="R247" s="277">
        <v>10078867</v>
      </c>
      <c r="S247" s="277">
        <v>2519717</v>
      </c>
      <c r="T247" s="277">
        <v>0</v>
      </c>
      <c r="U247" s="277">
        <v>25197167</v>
      </c>
      <c r="V247" s="277">
        <v>0</v>
      </c>
      <c r="W247" s="277">
        <v>12598582.5</v>
      </c>
      <c r="X247" s="277">
        <v>113332</v>
      </c>
      <c r="Y247" s="277">
        <v>113332</v>
      </c>
      <c r="Z247" s="277">
        <v>0</v>
      </c>
      <c r="AA247" s="277">
        <v>0</v>
      </c>
      <c r="AB247" s="277">
        <v>0</v>
      </c>
      <c r="AC247" s="277">
        <v>0</v>
      </c>
      <c r="AD247" s="277">
        <v>207260</v>
      </c>
      <c r="AE247" s="277">
        <v>0</v>
      </c>
      <c r="AF247" s="277">
        <v>207260</v>
      </c>
      <c r="AG247" s="277">
        <v>0</v>
      </c>
      <c r="AH247" s="277">
        <v>0</v>
      </c>
      <c r="AI247" s="277">
        <v>0</v>
      </c>
      <c r="AJ247" s="277">
        <v>0</v>
      </c>
      <c r="AK247" s="277">
        <v>0</v>
      </c>
      <c r="AL247" s="277">
        <v>0</v>
      </c>
      <c r="AM247" s="277">
        <v>-119090.55</v>
      </c>
      <c r="AN247" s="277">
        <v>-95272.44</v>
      </c>
      <c r="AO247" s="277">
        <v>-23818.11</v>
      </c>
      <c r="AP247" s="277">
        <v>0</v>
      </c>
      <c r="AQ247" s="277">
        <v>-238181.1</v>
      </c>
      <c r="AR247" s="277">
        <v>12479492</v>
      </c>
      <c r="AS247" s="277">
        <v>10304187</v>
      </c>
      <c r="AT247" s="277">
        <v>2495899</v>
      </c>
      <c r="AU247" s="277">
        <v>0</v>
      </c>
      <c r="AV247" s="277">
        <v>25279578</v>
      </c>
      <c r="AW247" s="277">
        <v>110398</v>
      </c>
      <c r="AX247" s="277">
        <v>26749</v>
      </c>
      <c r="AY247" s="277">
        <v>0</v>
      </c>
      <c r="AZ247" s="277">
        <v>137147</v>
      </c>
      <c r="BA247" s="277">
        <v>344162</v>
      </c>
      <c r="BB247" s="277">
        <v>86040</v>
      </c>
      <c r="BC247" s="277">
        <v>0</v>
      </c>
      <c r="BD247" s="277">
        <v>430202</v>
      </c>
      <c r="BE247" s="277">
        <v>9922</v>
      </c>
      <c r="BF247" s="277">
        <v>2481</v>
      </c>
      <c r="BG247" s="277">
        <v>0</v>
      </c>
      <c r="BH247" s="277">
        <v>12403</v>
      </c>
      <c r="BI247" s="277">
        <v>0</v>
      </c>
      <c r="BJ247" s="277">
        <v>0</v>
      </c>
      <c r="BK247" s="277">
        <v>0</v>
      </c>
      <c r="BL247" s="277">
        <v>0</v>
      </c>
      <c r="BM247" s="277">
        <v>1242</v>
      </c>
      <c r="BN247" s="277">
        <v>310</v>
      </c>
      <c r="BO247" s="277">
        <v>0</v>
      </c>
      <c r="BP247" s="277">
        <v>1552</v>
      </c>
      <c r="BQ247" s="277">
        <v>134716</v>
      </c>
      <c r="BR247" s="277">
        <v>33679</v>
      </c>
      <c r="BS247" s="277">
        <v>0</v>
      </c>
      <c r="BT247" s="277">
        <v>168395</v>
      </c>
      <c r="BU247" s="277">
        <v>600440</v>
      </c>
      <c r="BV247" s="277">
        <v>149259</v>
      </c>
      <c r="BW247" s="277">
        <v>0</v>
      </c>
      <c r="BX247" s="277">
        <v>749699</v>
      </c>
      <c r="BY247" s="278" t="s">
        <v>410</v>
      </c>
      <c r="BZ247" s="279" t="s">
        <v>1011</v>
      </c>
      <c r="CA247" s="280" t="s">
        <v>984</v>
      </c>
    </row>
    <row r="248" spans="1:79" ht="12.75">
      <c r="A248" s="169">
        <v>241</v>
      </c>
      <c r="B248" s="172" t="s">
        <v>412</v>
      </c>
      <c r="C248" s="258" t="s">
        <v>413</v>
      </c>
      <c r="D248" s="277">
        <v>39620237.9</v>
      </c>
      <c r="E248" s="277">
        <v>42187.93</v>
      </c>
      <c r="F248" s="277">
        <v>0</v>
      </c>
      <c r="G248" s="277">
        <v>179909</v>
      </c>
      <c r="H248" s="277">
        <v>0</v>
      </c>
      <c r="I248" s="277">
        <v>179909</v>
      </c>
      <c r="J248" s="277">
        <v>0</v>
      </c>
      <c r="K248" s="277">
        <v>0</v>
      </c>
      <c r="L248" s="277">
        <v>0</v>
      </c>
      <c r="M248" s="277">
        <v>0</v>
      </c>
      <c r="N248" s="277">
        <v>0</v>
      </c>
      <c r="O248" s="277">
        <v>0</v>
      </c>
      <c r="P248" s="277">
        <v>39482516.9</v>
      </c>
      <c r="Q248" s="277">
        <v>19741257.9</v>
      </c>
      <c r="R248" s="277">
        <v>15793007</v>
      </c>
      <c r="S248" s="277">
        <v>3948252</v>
      </c>
      <c r="T248" s="277">
        <v>0</v>
      </c>
      <c r="U248" s="277">
        <v>39482517</v>
      </c>
      <c r="V248" s="277">
        <v>0</v>
      </c>
      <c r="W248" s="277">
        <v>19741257.9</v>
      </c>
      <c r="X248" s="277">
        <v>179909</v>
      </c>
      <c r="Y248" s="277">
        <v>179909</v>
      </c>
      <c r="Z248" s="277">
        <v>0</v>
      </c>
      <c r="AA248" s="277">
        <v>0</v>
      </c>
      <c r="AB248" s="277">
        <v>0</v>
      </c>
      <c r="AC248" s="277">
        <v>0</v>
      </c>
      <c r="AD248" s="277">
        <v>0</v>
      </c>
      <c r="AE248" s="277">
        <v>0</v>
      </c>
      <c r="AF248" s="277">
        <v>0</v>
      </c>
      <c r="AG248" s="277">
        <v>0</v>
      </c>
      <c r="AH248" s="277">
        <v>0</v>
      </c>
      <c r="AI248" s="277">
        <v>0</v>
      </c>
      <c r="AJ248" s="277">
        <v>0</v>
      </c>
      <c r="AK248" s="277">
        <v>0</v>
      </c>
      <c r="AL248" s="277">
        <v>0</v>
      </c>
      <c r="AM248" s="277">
        <v>85975.55</v>
      </c>
      <c r="AN248" s="277">
        <v>68780.44</v>
      </c>
      <c r="AO248" s="277">
        <v>17195.11</v>
      </c>
      <c r="AP248" s="277">
        <v>0</v>
      </c>
      <c r="AQ248" s="277">
        <v>171951.1</v>
      </c>
      <c r="AR248" s="277">
        <v>19827233</v>
      </c>
      <c r="AS248" s="277">
        <v>16041696</v>
      </c>
      <c r="AT248" s="277">
        <v>3965447</v>
      </c>
      <c r="AU248" s="277">
        <v>0</v>
      </c>
      <c r="AV248" s="277">
        <v>39834377</v>
      </c>
      <c r="AW248" s="277">
        <v>169564</v>
      </c>
      <c r="AX248" s="277">
        <v>41914</v>
      </c>
      <c r="AY248" s="277">
        <v>0</v>
      </c>
      <c r="AZ248" s="277">
        <v>211478</v>
      </c>
      <c r="BA248" s="277">
        <v>523499</v>
      </c>
      <c r="BB248" s="277">
        <v>130875</v>
      </c>
      <c r="BC248" s="277">
        <v>0</v>
      </c>
      <c r="BD248" s="277">
        <v>654374</v>
      </c>
      <c r="BE248" s="277">
        <v>4042</v>
      </c>
      <c r="BF248" s="277">
        <v>1011</v>
      </c>
      <c r="BG248" s="277">
        <v>0</v>
      </c>
      <c r="BH248" s="277">
        <v>5053</v>
      </c>
      <c r="BI248" s="277">
        <v>20212</v>
      </c>
      <c r="BJ248" s="277">
        <v>5053</v>
      </c>
      <c r="BK248" s="277">
        <v>0</v>
      </c>
      <c r="BL248" s="277">
        <v>25265</v>
      </c>
      <c r="BM248" s="277">
        <v>32340</v>
      </c>
      <c r="BN248" s="277">
        <v>8085</v>
      </c>
      <c r="BO248" s="277">
        <v>0</v>
      </c>
      <c r="BP248" s="277">
        <v>40425</v>
      </c>
      <c r="BQ248" s="277">
        <v>323397</v>
      </c>
      <c r="BR248" s="277">
        <v>80849</v>
      </c>
      <c r="BS248" s="277">
        <v>0</v>
      </c>
      <c r="BT248" s="277">
        <v>404246</v>
      </c>
      <c r="BU248" s="277">
        <v>1073054</v>
      </c>
      <c r="BV248" s="277">
        <v>267787</v>
      </c>
      <c r="BW248" s="277">
        <v>0</v>
      </c>
      <c r="BX248" s="277">
        <v>1340841</v>
      </c>
      <c r="BY248" s="278" t="s">
        <v>412</v>
      </c>
      <c r="BZ248" s="279" t="s">
        <v>1011</v>
      </c>
      <c r="CA248" s="280" t="s">
        <v>984</v>
      </c>
    </row>
    <row r="249" spans="1:79" ht="12.75">
      <c r="A249" s="169">
        <v>242</v>
      </c>
      <c r="B249" s="172" t="s">
        <v>414</v>
      </c>
      <c r="C249" s="258" t="s">
        <v>415</v>
      </c>
      <c r="D249" s="277">
        <v>39819137</v>
      </c>
      <c r="E249" s="277">
        <v>49827</v>
      </c>
      <c r="F249" s="277">
        <v>0</v>
      </c>
      <c r="G249" s="277">
        <v>297725</v>
      </c>
      <c r="H249" s="277">
        <v>0</v>
      </c>
      <c r="I249" s="277">
        <v>297725</v>
      </c>
      <c r="J249" s="277">
        <v>0</v>
      </c>
      <c r="K249" s="277">
        <v>0</v>
      </c>
      <c r="L249" s="277">
        <v>0</v>
      </c>
      <c r="M249" s="277">
        <v>0</v>
      </c>
      <c r="N249" s="277">
        <v>0</v>
      </c>
      <c r="O249" s="277">
        <v>0</v>
      </c>
      <c r="P249" s="277">
        <v>39571239</v>
      </c>
      <c r="Q249" s="277">
        <v>19785619</v>
      </c>
      <c r="R249" s="277">
        <v>15828496</v>
      </c>
      <c r="S249" s="277">
        <v>3957124</v>
      </c>
      <c r="T249" s="277">
        <v>0</v>
      </c>
      <c r="U249" s="277">
        <v>39571239</v>
      </c>
      <c r="V249" s="277">
        <v>0</v>
      </c>
      <c r="W249" s="277">
        <v>19785619</v>
      </c>
      <c r="X249" s="277">
        <v>297725</v>
      </c>
      <c r="Y249" s="277">
        <v>297725</v>
      </c>
      <c r="Z249" s="277">
        <v>0</v>
      </c>
      <c r="AA249" s="277">
        <v>0</v>
      </c>
      <c r="AB249" s="277">
        <v>0</v>
      </c>
      <c r="AC249" s="277">
        <v>0</v>
      </c>
      <c r="AD249" s="277">
        <v>0</v>
      </c>
      <c r="AE249" s="277">
        <v>0</v>
      </c>
      <c r="AF249" s="277">
        <v>0</v>
      </c>
      <c r="AG249" s="277">
        <v>0</v>
      </c>
      <c r="AH249" s="277">
        <v>0</v>
      </c>
      <c r="AI249" s="277">
        <v>0</v>
      </c>
      <c r="AJ249" s="277">
        <v>0</v>
      </c>
      <c r="AK249" s="277">
        <v>0</v>
      </c>
      <c r="AL249" s="277">
        <v>0</v>
      </c>
      <c r="AM249" s="277">
        <v>73897</v>
      </c>
      <c r="AN249" s="277">
        <v>59117.6</v>
      </c>
      <c r="AO249" s="277">
        <v>14779.4</v>
      </c>
      <c r="AP249" s="277">
        <v>0</v>
      </c>
      <c r="AQ249" s="277">
        <v>147794</v>
      </c>
      <c r="AR249" s="277">
        <v>19859516</v>
      </c>
      <c r="AS249" s="277">
        <v>16185339</v>
      </c>
      <c r="AT249" s="277">
        <v>3971903</v>
      </c>
      <c r="AU249" s="277">
        <v>0</v>
      </c>
      <c r="AV249" s="277">
        <v>40016758</v>
      </c>
      <c r="AW249" s="277">
        <v>171191</v>
      </c>
      <c r="AX249" s="277">
        <v>42008</v>
      </c>
      <c r="AY249" s="277">
        <v>0</v>
      </c>
      <c r="AZ249" s="277">
        <v>213199</v>
      </c>
      <c r="BA249" s="277">
        <v>1118024</v>
      </c>
      <c r="BB249" s="277">
        <v>279506</v>
      </c>
      <c r="BC249" s="277">
        <v>0</v>
      </c>
      <c r="BD249" s="277">
        <v>1397530</v>
      </c>
      <c r="BE249" s="277">
        <v>9497</v>
      </c>
      <c r="BF249" s="277">
        <v>2374</v>
      </c>
      <c r="BG249" s="277">
        <v>0</v>
      </c>
      <c r="BH249" s="277">
        <v>11871</v>
      </c>
      <c r="BI249" s="277">
        <v>0</v>
      </c>
      <c r="BJ249" s="277">
        <v>0</v>
      </c>
      <c r="BK249" s="277">
        <v>0</v>
      </c>
      <c r="BL249" s="277">
        <v>0</v>
      </c>
      <c r="BM249" s="277">
        <v>30318</v>
      </c>
      <c r="BN249" s="277">
        <v>7580</v>
      </c>
      <c r="BO249" s="277">
        <v>0</v>
      </c>
      <c r="BP249" s="277">
        <v>37898</v>
      </c>
      <c r="BQ249" s="277">
        <v>408632</v>
      </c>
      <c r="BR249" s="277">
        <v>102158</v>
      </c>
      <c r="BS249" s="277">
        <v>0</v>
      </c>
      <c r="BT249" s="277">
        <v>510790</v>
      </c>
      <c r="BU249" s="277">
        <v>1737662</v>
      </c>
      <c r="BV249" s="277">
        <v>433626</v>
      </c>
      <c r="BW249" s="277">
        <v>0</v>
      </c>
      <c r="BX249" s="277">
        <v>2171288</v>
      </c>
      <c r="BY249" s="278" t="s">
        <v>414</v>
      </c>
      <c r="BZ249" s="279" t="s">
        <v>985</v>
      </c>
      <c r="CA249" s="280" t="s">
        <v>984</v>
      </c>
    </row>
    <row r="250" spans="1:79" ht="12.75">
      <c r="A250" s="169">
        <v>243</v>
      </c>
      <c r="B250" s="172" t="s">
        <v>416</v>
      </c>
      <c r="C250" s="258" t="s">
        <v>417</v>
      </c>
      <c r="D250" s="277">
        <v>28376156.3</v>
      </c>
      <c r="E250" s="277">
        <v>70881.72</v>
      </c>
      <c r="F250" s="277">
        <v>0</v>
      </c>
      <c r="G250" s="277">
        <v>152442</v>
      </c>
      <c r="H250" s="277">
        <v>0</v>
      </c>
      <c r="I250" s="277">
        <v>152442</v>
      </c>
      <c r="J250" s="277">
        <v>0</v>
      </c>
      <c r="K250" s="277">
        <v>0</v>
      </c>
      <c r="L250" s="277">
        <v>0</v>
      </c>
      <c r="M250" s="277">
        <v>0</v>
      </c>
      <c r="N250" s="277">
        <v>0</v>
      </c>
      <c r="O250" s="277">
        <v>0</v>
      </c>
      <c r="P250" s="277">
        <v>28294596</v>
      </c>
      <c r="Q250" s="277">
        <v>14147298</v>
      </c>
      <c r="R250" s="277">
        <v>11317838</v>
      </c>
      <c r="S250" s="277">
        <v>2829460</v>
      </c>
      <c r="T250" s="277">
        <v>0</v>
      </c>
      <c r="U250" s="277">
        <v>28294596</v>
      </c>
      <c r="V250" s="277">
        <v>0</v>
      </c>
      <c r="W250" s="277">
        <v>14147298</v>
      </c>
      <c r="X250" s="277">
        <v>152442</v>
      </c>
      <c r="Y250" s="277">
        <v>152442</v>
      </c>
      <c r="Z250" s="277">
        <v>0</v>
      </c>
      <c r="AA250" s="277">
        <v>0</v>
      </c>
      <c r="AB250" s="277">
        <v>0</v>
      </c>
      <c r="AC250" s="277">
        <v>0</v>
      </c>
      <c r="AD250" s="277">
        <v>0</v>
      </c>
      <c r="AE250" s="277">
        <v>0</v>
      </c>
      <c r="AF250" s="277">
        <v>0</v>
      </c>
      <c r="AG250" s="277">
        <v>0</v>
      </c>
      <c r="AH250" s="277">
        <v>0</v>
      </c>
      <c r="AI250" s="277">
        <v>0</v>
      </c>
      <c r="AJ250" s="277">
        <v>0</v>
      </c>
      <c r="AK250" s="277">
        <v>0</v>
      </c>
      <c r="AL250" s="277">
        <v>0</v>
      </c>
      <c r="AM250" s="277">
        <v>319732</v>
      </c>
      <c r="AN250" s="277">
        <v>255785.6</v>
      </c>
      <c r="AO250" s="277">
        <v>63946.4</v>
      </c>
      <c r="AP250" s="277">
        <v>0</v>
      </c>
      <c r="AQ250" s="277">
        <v>639464</v>
      </c>
      <c r="AR250" s="277">
        <v>14467030</v>
      </c>
      <c r="AS250" s="277">
        <v>11726066</v>
      </c>
      <c r="AT250" s="277">
        <v>2893406</v>
      </c>
      <c r="AU250" s="277">
        <v>0</v>
      </c>
      <c r="AV250" s="277">
        <v>29086502</v>
      </c>
      <c r="AW250" s="277">
        <v>121765</v>
      </c>
      <c r="AX250" s="277">
        <v>30037</v>
      </c>
      <c r="AY250" s="277">
        <v>0</v>
      </c>
      <c r="AZ250" s="277">
        <v>151802</v>
      </c>
      <c r="BA250" s="277">
        <v>454050</v>
      </c>
      <c r="BB250" s="277">
        <v>113512</v>
      </c>
      <c r="BC250" s="277">
        <v>0</v>
      </c>
      <c r="BD250" s="277">
        <v>567562</v>
      </c>
      <c r="BE250" s="277">
        <v>4851</v>
      </c>
      <c r="BF250" s="277">
        <v>1213</v>
      </c>
      <c r="BG250" s="277">
        <v>0</v>
      </c>
      <c r="BH250" s="277">
        <v>6064</v>
      </c>
      <c r="BI250" s="277">
        <v>32340</v>
      </c>
      <c r="BJ250" s="277">
        <v>8085</v>
      </c>
      <c r="BK250" s="277">
        <v>0</v>
      </c>
      <c r="BL250" s="277">
        <v>40425</v>
      </c>
      <c r="BM250" s="277">
        <v>8085</v>
      </c>
      <c r="BN250" s="277">
        <v>2021</v>
      </c>
      <c r="BO250" s="277">
        <v>0</v>
      </c>
      <c r="BP250" s="277">
        <v>10106</v>
      </c>
      <c r="BQ250" s="277">
        <v>222335</v>
      </c>
      <c r="BR250" s="277">
        <v>55584</v>
      </c>
      <c r="BS250" s="277">
        <v>0</v>
      </c>
      <c r="BT250" s="277">
        <v>277919</v>
      </c>
      <c r="BU250" s="277">
        <v>843426</v>
      </c>
      <c r="BV250" s="277">
        <v>210452</v>
      </c>
      <c r="BW250" s="277">
        <v>0</v>
      </c>
      <c r="BX250" s="277">
        <v>1053878</v>
      </c>
      <c r="BY250" s="278" t="s">
        <v>416</v>
      </c>
      <c r="BZ250" s="279" t="s">
        <v>1015</v>
      </c>
      <c r="CA250" s="280" t="s">
        <v>984</v>
      </c>
    </row>
    <row r="251" spans="1:79" ht="12.75">
      <c r="A251" s="169">
        <v>244</v>
      </c>
      <c r="B251" s="172" t="s">
        <v>418</v>
      </c>
      <c r="C251" s="258" t="s">
        <v>419</v>
      </c>
      <c r="D251" s="277">
        <v>20943892.3</v>
      </c>
      <c r="E251" s="277">
        <v>10856.56</v>
      </c>
      <c r="F251" s="277">
        <v>0</v>
      </c>
      <c r="G251" s="277">
        <v>107204</v>
      </c>
      <c r="H251" s="277">
        <v>0</v>
      </c>
      <c r="I251" s="277">
        <v>107204</v>
      </c>
      <c r="J251" s="277">
        <v>0</v>
      </c>
      <c r="K251" s="277">
        <v>0</v>
      </c>
      <c r="L251" s="277">
        <v>0</v>
      </c>
      <c r="M251" s="277">
        <v>0</v>
      </c>
      <c r="N251" s="277">
        <v>0</v>
      </c>
      <c r="O251" s="277">
        <v>0</v>
      </c>
      <c r="P251" s="277">
        <v>20847544.9</v>
      </c>
      <c r="Q251" s="277">
        <v>10423772.9</v>
      </c>
      <c r="R251" s="277">
        <v>8339018</v>
      </c>
      <c r="S251" s="277">
        <v>2084754</v>
      </c>
      <c r="T251" s="277">
        <v>0</v>
      </c>
      <c r="U251" s="277">
        <v>20847545</v>
      </c>
      <c r="V251" s="277">
        <v>0</v>
      </c>
      <c r="W251" s="277">
        <v>10423772.9</v>
      </c>
      <c r="X251" s="277">
        <v>107204</v>
      </c>
      <c r="Y251" s="277">
        <v>107204</v>
      </c>
      <c r="Z251" s="277">
        <v>0</v>
      </c>
      <c r="AA251" s="277">
        <v>0</v>
      </c>
      <c r="AB251" s="277">
        <v>0</v>
      </c>
      <c r="AC251" s="277">
        <v>0</v>
      </c>
      <c r="AD251" s="277">
        <v>0</v>
      </c>
      <c r="AE251" s="277">
        <v>0</v>
      </c>
      <c r="AF251" s="277">
        <v>0</v>
      </c>
      <c r="AG251" s="277">
        <v>0</v>
      </c>
      <c r="AH251" s="277">
        <v>0</v>
      </c>
      <c r="AI251" s="277">
        <v>0</v>
      </c>
      <c r="AJ251" s="277">
        <v>0</v>
      </c>
      <c r="AK251" s="277">
        <v>0</v>
      </c>
      <c r="AL251" s="277">
        <v>0</v>
      </c>
      <c r="AM251" s="277">
        <v>-485962</v>
      </c>
      <c r="AN251" s="277">
        <v>-388769.6</v>
      </c>
      <c r="AO251" s="277">
        <v>-97192.4</v>
      </c>
      <c r="AP251" s="277">
        <v>0</v>
      </c>
      <c r="AQ251" s="277">
        <v>-971924</v>
      </c>
      <c r="AR251" s="277">
        <v>9937811</v>
      </c>
      <c r="AS251" s="277">
        <v>8057452</v>
      </c>
      <c r="AT251" s="277">
        <v>1987562</v>
      </c>
      <c r="AU251" s="277">
        <v>0</v>
      </c>
      <c r="AV251" s="277">
        <v>19982825</v>
      </c>
      <c r="AW251" s="277">
        <v>89663</v>
      </c>
      <c r="AX251" s="277">
        <v>22131</v>
      </c>
      <c r="AY251" s="277">
        <v>0</v>
      </c>
      <c r="AZ251" s="277">
        <v>111794</v>
      </c>
      <c r="BA251" s="277">
        <v>329047</v>
      </c>
      <c r="BB251" s="277">
        <v>82262</v>
      </c>
      <c r="BC251" s="277">
        <v>0</v>
      </c>
      <c r="BD251" s="277">
        <v>411309</v>
      </c>
      <c r="BE251" s="277">
        <v>0</v>
      </c>
      <c r="BF251" s="277">
        <v>0</v>
      </c>
      <c r="BG251" s="277">
        <v>0</v>
      </c>
      <c r="BH251" s="277">
        <v>0</v>
      </c>
      <c r="BI251" s="277">
        <v>0</v>
      </c>
      <c r="BJ251" s="277">
        <v>0</v>
      </c>
      <c r="BK251" s="277">
        <v>0</v>
      </c>
      <c r="BL251" s="277">
        <v>0</v>
      </c>
      <c r="BM251" s="277">
        <v>3855</v>
      </c>
      <c r="BN251" s="277">
        <v>964</v>
      </c>
      <c r="BO251" s="277">
        <v>0</v>
      </c>
      <c r="BP251" s="277">
        <v>4819</v>
      </c>
      <c r="BQ251" s="277">
        <v>99651</v>
      </c>
      <c r="BR251" s="277">
        <v>24913</v>
      </c>
      <c r="BS251" s="277">
        <v>0</v>
      </c>
      <c r="BT251" s="277">
        <v>124564</v>
      </c>
      <c r="BU251" s="277">
        <v>522216</v>
      </c>
      <c r="BV251" s="277">
        <v>130270</v>
      </c>
      <c r="BW251" s="277">
        <v>0</v>
      </c>
      <c r="BX251" s="277">
        <v>652486</v>
      </c>
      <c r="BY251" s="278" t="s">
        <v>418</v>
      </c>
      <c r="BZ251" s="279" t="s">
        <v>1032</v>
      </c>
      <c r="CA251" s="280" t="s">
        <v>984</v>
      </c>
    </row>
    <row r="252" spans="1:79" ht="12.75">
      <c r="A252" s="169">
        <v>245</v>
      </c>
      <c r="B252" s="172" t="s">
        <v>420</v>
      </c>
      <c r="C252" s="258" t="s">
        <v>421</v>
      </c>
      <c r="D252" s="277">
        <v>42284078.4</v>
      </c>
      <c r="E252" s="277">
        <v>36459.01</v>
      </c>
      <c r="F252" s="277">
        <v>0</v>
      </c>
      <c r="G252" s="277">
        <v>187208</v>
      </c>
      <c r="H252" s="277">
        <v>2500</v>
      </c>
      <c r="I252" s="277">
        <v>189708</v>
      </c>
      <c r="J252" s="277">
        <v>0</v>
      </c>
      <c r="K252" s="277">
        <v>0</v>
      </c>
      <c r="L252" s="277">
        <v>0</v>
      </c>
      <c r="M252" s="277">
        <v>0</v>
      </c>
      <c r="N252" s="277">
        <v>0</v>
      </c>
      <c r="O252" s="277">
        <v>0</v>
      </c>
      <c r="P252" s="277">
        <v>42130829.4</v>
      </c>
      <c r="Q252" s="277">
        <v>21065414.4</v>
      </c>
      <c r="R252" s="277">
        <v>16852332</v>
      </c>
      <c r="S252" s="277">
        <v>4213083</v>
      </c>
      <c r="T252" s="277">
        <v>0</v>
      </c>
      <c r="U252" s="277">
        <v>42130829</v>
      </c>
      <c r="V252" s="277">
        <v>0</v>
      </c>
      <c r="W252" s="277">
        <v>21065414.4</v>
      </c>
      <c r="X252" s="277">
        <v>189708</v>
      </c>
      <c r="Y252" s="277">
        <v>189708</v>
      </c>
      <c r="Z252" s="277">
        <v>0</v>
      </c>
      <c r="AA252" s="277">
        <v>0</v>
      </c>
      <c r="AB252" s="277">
        <v>0</v>
      </c>
      <c r="AC252" s="277">
        <v>0</v>
      </c>
      <c r="AD252" s="277">
        <v>0</v>
      </c>
      <c r="AE252" s="277">
        <v>0</v>
      </c>
      <c r="AF252" s="277">
        <v>0</v>
      </c>
      <c r="AG252" s="277">
        <v>0</v>
      </c>
      <c r="AH252" s="277">
        <v>0</v>
      </c>
      <c r="AI252" s="277">
        <v>0</v>
      </c>
      <c r="AJ252" s="277">
        <v>0</v>
      </c>
      <c r="AK252" s="277">
        <v>0</v>
      </c>
      <c r="AL252" s="277">
        <v>0</v>
      </c>
      <c r="AM252" s="277">
        <v>203268.63</v>
      </c>
      <c r="AN252" s="277">
        <v>162614.9</v>
      </c>
      <c r="AO252" s="277">
        <v>40653.73</v>
      </c>
      <c r="AP252" s="277">
        <v>0</v>
      </c>
      <c r="AQ252" s="277">
        <v>406537.25</v>
      </c>
      <c r="AR252" s="277">
        <v>21268683</v>
      </c>
      <c r="AS252" s="277">
        <v>17204655</v>
      </c>
      <c r="AT252" s="277">
        <v>4253737</v>
      </c>
      <c r="AU252" s="277">
        <v>0</v>
      </c>
      <c r="AV252" s="277">
        <v>42727074</v>
      </c>
      <c r="AW252" s="277">
        <v>180913</v>
      </c>
      <c r="AX252" s="277">
        <v>44725</v>
      </c>
      <c r="AY252" s="277">
        <v>0</v>
      </c>
      <c r="AZ252" s="277">
        <v>225638</v>
      </c>
      <c r="BA252" s="277">
        <v>472339</v>
      </c>
      <c r="BB252" s="277">
        <v>118085</v>
      </c>
      <c r="BC252" s="277">
        <v>0</v>
      </c>
      <c r="BD252" s="277">
        <v>590424</v>
      </c>
      <c r="BE252" s="277">
        <v>0</v>
      </c>
      <c r="BF252" s="277">
        <v>0</v>
      </c>
      <c r="BG252" s="277">
        <v>0</v>
      </c>
      <c r="BH252" s="277">
        <v>0</v>
      </c>
      <c r="BI252" s="277">
        <v>0</v>
      </c>
      <c r="BJ252" s="277">
        <v>0</v>
      </c>
      <c r="BK252" s="277">
        <v>0</v>
      </c>
      <c r="BL252" s="277">
        <v>0</v>
      </c>
      <c r="BM252" s="277">
        <v>42850</v>
      </c>
      <c r="BN252" s="277">
        <v>10713</v>
      </c>
      <c r="BO252" s="277">
        <v>0</v>
      </c>
      <c r="BP252" s="277">
        <v>53563</v>
      </c>
      <c r="BQ252" s="277">
        <v>270239</v>
      </c>
      <c r="BR252" s="277">
        <v>67560</v>
      </c>
      <c r="BS252" s="277">
        <v>0</v>
      </c>
      <c r="BT252" s="277">
        <v>337799</v>
      </c>
      <c r="BU252" s="277">
        <v>966341</v>
      </c>
      <c r="BV252" s="277">
        <v>241083</v>
      </c>
      <c r="BW252" s="277">
        <v>0</v>
      </c>
      <c r="BX252" s="277">
        <v>1207424</v>
      </c>
      <c r="BY252" s="278" t="s">
        <v>420</v>
      </c>
      <c r="BZ252" s="279" t="s">
        <v>1028</v>
      </c>
      <c r="CA252" s="280" t="s">
        <v>984</v>
      </c>
    </row>
    <row r="253" spans="1:79" ht="12.75">
      <c r="A253" s="169">
        <v>246</v>
      </c>
      <c r="B253" s="172" t="s">
        <v>422</v>
      </c>
      <c r="C253" s="258" t="s">
        <v>423</v>
      </c>
      <c r="D253" s="277">
        <v>35584552</v>
      </c>
      <c r="E253" s="277">
        <v>30972</v>
      </c>
      <c r="F253" s="277">
        <v>0</v>
      </c>
      <c r="G253" s="277">
        <v>124547</v>
      </c>
      <c r="H253" s="277">
        <v>0</v>
      </c>
      <c r="I253" s="277">
        <v>124547</v>
      </c>
      <c r="J253" s="277">
        <v>0</v>
      </c>
      <c r="K253" s="277">
        <v>0</v>
      </c>
      <c r="L253" s="277">
        <v>0</v>
      </c>
      <c r="M253" s="277">
        <v>0</v>
      </c>
      <c r="N253" s="277">
        <v>0</v>
      </c>
      <c r="O253" s="277">
        <v>0</v>
      </c>
      <c r="P253" s="277">
        <v>35490977</v>
      </c>
      <c r="Q253" s="277">
        <v>17745488</v>
      </c>
      <c r="R253" s="277">
        <v>14196391</v>
      </c>
      <c r="S253" s="277">
        <v>3194188</v>
      </c>
      <c r="T253" s="277">
        <v>354910</v>
      </c>
      <c r="U253" s="277">
        <v>35490977</v>
      </c>
      <c r="V253" s="277">
        <v>0</v>
      </c>
      <c r="W253" s="277">
        <v>17745488</v>
      </c>
      <c r="X253" s="277">
        <v>124547</v>
      </c>
      <c r="Y253" s="277">
        <v>124547</v>
      </c>
      <c r="Z253" s="277">
        <v>0</v>
      </c>
      <c r="AA253" s="277">
        <v>0</v>
      </c>
      <c r="AB253" s="277">
        <v>0</v>
      </c>
      <c r="AC253" s="277">
        <v>0</v>
      </c>
      <c r="AD253" s="277">
        <v>0</v>
      </c>
      <c r="AE253" s="277">
        <v>0</v>
      </c>
      <c r="AF253" s="277">
        <v>0</v>
      </c>
      <c r="AG253" s="277">
        <v>0</v>
      </c>
      <c r="AH253" s="277">
        <v>0</v>
      </c>
      <c r="AI253" s="277">
        <v>0</v>
      </c>
      <c r="AJ253" s="277">
        <v>0</v>
      </c>
      <c r="AK253" s="277">
        <v>0</v>
      </c>
      <c r="AL253" s="277">
        <v>0</v>
      </c>
      <c r="AM253" s="277">
        <v>-1824332</v>
      </c>
      <c r="AN253" s="277">
        <v>-1459465.6</v>
      </c>
      <c r="AO253" s="277">
        <v>-328379.76</v>
      </c>
      <c r="AP253" s="277">
        <v>-36486.64</v>
      </c>
      <c r="AQ253" s="277">
        <v>-3648664</v>
      </c>
      <c r="AR253" s="277">
        <v>15921156</v>
      </c>
      <c r="AS253" s="277">
        <v>12861472</v>
      </c>
      <c r="AT253" s="277">
        <v>2865808</v>
      </c>
      <c r="AU253" s="277">
        <v>318423</v>
      </c>
      <c r="AV253" s="277">
        <v>31966860</v>
      </c>
      <c r="AW253" s="277">
        <v>152027</v>
      </c>
      <c r="AX253" s="277">
        <v>33909</v>
      </c>
      <c r="AY253" s="277">
        <v>3768</v>
      </c>
      <c r="AZ253" s="277">
        <v>189704</v>
      </c>
      <c r="BA253" s="277">
        <v>403898</v>
      </c>
      <c r="BB253" s="277">
        <v>90877</v>
      </c>
      <c r="BC253" s="277">
        <v>10097</v>
      </c>
      <c r="BD253" s="277">
        <v>504872</v>
      </c>
      <c r="BE253" s="277">
        <v>4042</v>
      </c>
      <c r="BF253" s="277">
        <v>910</v>
      </c>
      <c r="BG253" s="277">
        <v>101</v>
      </c>
      <c r="BH253" s="277">
        <v>5053</v>
      </c>
      <c r="BI253" s="277">
        <v>20212</v>
      </c>
      <c r="BJ253" s="277">
        <v>4548</v>
      </c>
      <c r="BK253" s="277">
        <v>505</v>
      </c>
      <c r="BL253" s="277">
        <v>25265</v>
      </c>
      <c r="BM253" s="277">
        <v>10106</v>
      </c>
      <c r="BN253" s="277">
        <v>2274</v>
      </c>
      <c r="BO253" s="277">
        <v>253</v>
      </c>
      <c r="BP253" s="277">
        <v>12633</v>
      </c>
      <c r="BQ253" s="277">
        <v>303184</v>
      </c>
      <c r="BR253" s="277">
        <v>68217</v>
      </c>
      <c r="BS253" s="277">
        <v>7580</v>
      </c>
      <c r="BT253" s="277">
        <v>378981</v>
      </c>
      <c r="BU253" s="277">
        <v>893469</v>
      </c>
      <c r="BV253" s="277">
        <v>200735</v>
      </c>
      <c r="BW253" s="277">
        <v>22304</v>
      </c>
      <c r="BX253" s="277">
        <v>1116508</v>
      </c>
      <c r="BY253" s="278" t="s">
        <v>422</v>
      </c>
      <c r="BZ253" s="279" t="s">
        <v>1022</v>
      </c>
      <c r="CA253" s="280" t="s">
        <v>1009</v>
      </c>
    </row>
    <row r="254" spans="1:79" ht="12.75">
      <c r="A254" s="169">
        <v>247</v>
      </c>
      <c r="B254" s="172" t="s">
        <v>424</v>
      </c>
      <c r="C254" s="258" t="s">
        <v>425</v>
      </c>
      <c r="D254" s="277">
        <v>42884991</v>
      </c>
      <c r="E254" s="277">
        <v>130615</v>
      </c>
      <c r="F254" s="277">
        <v>0</v>
      </c>
      <c r="G254" s="277">
        <v>224259</v>
      </c>
      <c r="H254" s="277">
        <v>0</v>
      </c>
      <c r="I254" s="277">
        <v>224259</v>
      </c>
      <c r="J254" s="277">
        <v>0</v>
      </c>
      <c r="K254" s="277">
        <v>0</v>
      </c>
      <c r="L254" s="277">
        <v>0</v>
      </c>
      <c r="M254" s="277">
        <v>40000</v>
      </c>
      <c r="N254" s="277">
        <v>40000</v>
      </c>
      <c r="O254" s="277">
        <v>0</v>
      </c>
      <c r="P254" s="277">
        <v>42751347</v>
      </c>
      <c r="Q254" s="277">
        <v>21375674</v>
      </c>
      <c r="R254" s="277">
        <v>17100539</v>
      </c>
      <c r="S254" s="277">
        <v>3847621</v>
      </c>
      <c r="T254" s="277">
        <v>427513</v>
      </c>
      <c r="U254" s="277">
        <v>42751347</v>
      </c>
      <c r="V254" s="277">
        <v>0</v>
      </c>
      <c r="W254" s="277">
        <v>21375674</v>
      </c>
      <c r="X254" s="277">
        <v>224259</v>
      </c>
      <c r="Y254" s="277">
        <v>224259</v>
      </c>
      <c r="Z254" s="277">
        <v>0</v>
      </c>
      <c r="AA254" s="277">
        <v>0</v>
      </c>
      <c r="AB254" s="277">
        <v>0</v>
      </c>
      <c r="AC254" s="277">
        <v>0</v>
      </c>
      <c r="AD254" s="277">
        <v>40000</v>
      </c>
      <c r="AE254" s="277">
        <v>0</v>
      </c>
      <c r="AF254" s="277">
        <v>40000</v>
      </c>
      <c r="AG254" s="277">
        <v>0</v>
      </c>
      <c r="AH254" s="277">
        <v>0</v>
      </c>
      <c r="AI254" s="277">
        <v>0</v>
      </c>
      <c r="AJ254" s="277">
        <v>0</v>
      </c>
      <c r="AK254" s="277">
        <v>0</v>
      </c>
      <c r="AL254" s="277">
        <v>0</v>
      </c>
      <c r="AM254" s="277">
        <v>-1004299</v>
      </c>
      <c r="AN254" s="277">
        <v>-803439.2</v>
      </c>
      <c r="AO254" s="277">
        <v>-180773.82</v>
      </c>
      <c r="AP254" s="277">
        <v>-20085.98</v>
      </c>
      <c r="AQ254" s="277">
        <v>-2008598</v>
      </c>
      <c r="AR254" s="277">
        <v>20371375</v>
      </c>
      <c r="AS254" s="277">
        <v>16561359</v>
      </c>
      <c r="AT254" s="277">
        <v>3666847</v>
      </c>
      <c r="AU254" s="277">
        <v>407427</v>
      </c>
      <c r="AV254" s="277">
        <v>41007008</v>
      </c>
      <c r="AW254" s="277">
        <v>184340</v>
      </c>
      <c r="AX254" s="277">
        <v>40845</v>
      </c>
      <c r="AY254" s="277">
        <v>4538</v>
      </c>
      <c r="AZ254" s="277">
        <v>229723</v>
      </c>
      <c r="BA254" s="277">
        <v>702616</v>
      </c>
      <c r="BB254" s="277">
        <v>158089</v>
      </c>
      <c r="BC254" s="277">
        <v>17565</v>
      </c>
      <c r="BD254" s="277">
        <v>878270</v>
      </c>
      <c r="BE254" s="277">
        <v>11424</v>
      </c>
      <c r="BF254" s="277">
        <v>2570</v>
      </c>
      <c r="BG254" s="277">
        <v>286</v>
      </c>
      <c r="BH254" s="277">
        <v>14280</v>
      </c>
      <c r="BI254" s="277">
        <v>19477</v>
      </c>
      <c r="BJ254" s="277">
        <v>4382</v>
      </c>
      <c r="BK254" s="277">
        <v>487</v>
      </c>
      <c r="BL254" s="277">
        <v>24346</v>
      </c>
      <c r="BM254" s="277">
        <v>28170</v>
      </c>
      <c r="BN254" s="277">
        <v>6338</v>
      </c>
      <c r="BO254" s="277">
        <v>704</v>
      </c>
      <c r="BP254" s="277">
        <v>35212</v>
      </c>
      <c r="BQ254" s="277">
        <v>293189</v>
      </c>
      <c r="BR254" s="277">
        <v>65967</v>
      </c>
      <c r="BS254" s="277">
        <v>7330</v>
      </c>
      <c r="BT254" s="277">
        <v>366486</v>
      </c>
      <c r="BU254" s="277">
        <v>1239216</v>
      </c>
      <c r="BV254" s="277">
        <v>278191</v>
      </c>
      <c r="BW254" s="277">
        <v>30910</v>
      </c>
      <c r="BX254" s="277">
        <v>1548317</v>
      </c>
      <c r="BY254" s="278" t="s">
        <v>424</v>
      </c>
      <c r="BZ254" s="279" t="s">
        <v>1048</v>
      </c>
      <c r="CA254" s="280" t="s">
        <v>1037</v>
      </c>
    </row>
    <row r="255" spans="1:79" ht="12.75">
      <c r="A255" s="169">
        <v>248</v>
      </c>
      <c r="B255" s="172" t="s">
        <v>426</v>
      </c>
      <c r="C255" s="258" t="s">
        <v>427</v>
      </c>
      <c r="D255" s="277">
        <v>21639427</v>
      </c>
      <c r="E255" s="277">
        <v>82539</v>
      </c>
      <c r="F255" s="277">
        <v>0</v>
      </c>
      <c r="G255" s="277">
        <v>103969</v>
      </c>
      <c r="H255" s="277">
        <v>0</v>
      </c>
      <c r="I255" s="277">
        <v>103969</v>
      </c>
      <c r="J255" s="277">
        <v>0</v>
      </c>
      <c r="K255" s="277">
        <v>933668</v>
      </c>
      <c r="L255" s="277">
        <v>0</v>
      </c>
      <c r="M255" s="277">
        <v>0</v>
      </c>
      <c r="N255" s="277">
        <v>0</v>
      </c>
      <c r="O255" s="277">
        <v>0</v>
      </c>
      <c r="P255" s="277">
        <v>20684329</v>
      </c>
      <c r="Q255" s="277">
        <v>10342164</v>
      </c>
      <c r="R255" s="277">
        <v>8273732</v>
      </c>
      <c r="S255" s="277">
        <v>1861590</v>
      </c>
      <c r="T255" s="277">
        <v>206843</v>
      </c>
      <c r="U255" s="277">
        <v>20684329</v>
      </c>
      <c r="V255" s="277">
        <v>108070</v>
      </c>
      <c r="W255" s="277">
        <v>10234094</v>
      </c>
      <c r="X255" s="277">
        <v>103969</v>
      </c>
      <c r="Y255" s="277">
        <v>103969</v>
      </c>
      <c r="Z255" s="277">
        <v>933668</v>
      </c>
      <c r="AA255" s="277">
        <v>933668</v>
      </c>
      <c r="AB255" s="277">
        <v>0</v>
      </c>
      <c r="AC255" s="277">
        <v>0</v>
      </c>
      <c r="AD255" s="277">
        <v>0</v>
      </c>
      <c r="AE255" s="277">
        <v>0</v>
      </c>
      <c r="AF255" s="277">
        <v>0</v>
      </c>
      <c r="AG255" s="277">
        <v>108070</v>
      </c>
      <c r="AH255" s="277">
        <v>0</v>
      </c>
      <c r="AI255" s="277">
        <v>0</v>
      </c>
      <c r="AJ255" s="277">
        <v>108070</v>
      </c>
      <c r="AK255" s="277">
        <v>0</v>
      </c>
      <c r="AL255" s="277">
        <v>0</v>
      </c>
      <c r="AM255" s="277">
        <v>-16744.5</v>
      </c>
      <c r="AN255" s="277">
        <v>-13395.6</v>
      </c>
      <c r="AO255" s="277">
        <v>-3014.01</v>
      </c>
      <c r="AP255" s="277">
        <v>-334.89</v>
      </c>
      <c r="AQ255" s="277">
        <v>-33489</v>
      </c>
      <c r="AR255" s="277">
        <v>10217350</v>
      </c>
      <c r="AS255" s="277">
        <v>9406043</v>
      </c>
      <c r="AT255" s="277">
        <v>1858576</v>
      </c>
      <c r="AU255" s="277">
        <v>206508</v>
      </c>
      <c r="AV255" s="277">
        <v>21688477</v>
      </c>
      <c r="AW255" s="277">
        <v>99994</v>
      </c>
      <c r="AX255" s="277">
        <v>19762</v>
      </c>
      <c r="AY255" s="277">
        <v>2196</v>
      </c>
      <c r="AZ255" s="277">
        <v>121952</v>
      </c>
      <c r="BA255" s="277">
        <v>387664</v>
      </c>
      <c r="BB255" s="277">
        <v>87224</v>
      </c>
      <c r="BC255" s="277">
        <v>9692</v>
      </c>
      <c r="BD255" s="277">
        <v>484580</v>
      </c>
      <c r="BE255" s="277">
        <v>0</v>
      </c>
      <c r="BF255" s="277">
        <v>0</v>
      </c>
      <c r="BG255" s="277">
        <v>0</v>
      </c>
      <c r="BH255" s="277">
        <v>0</v>
      </c>
      <c r="BI255" s="277">
        <v>0</v>
      </c>
      <c r="BJ255" s="277">
        <v>0</v>
      </c>
      <c r="BK255" s="277">
        <v>0</v>
      </c>
      <c r="BL255" s="277">
        <v>0</v>
      </c>
      <c r="BM255" s="277">
        <v>1617</v>
      </c>
      <c r="BN255" s="277">
        <v>364</v>
      </c>
      <c r="BO255" s="277">
        <v>40</v>
      </c>
      <c r="BP255" s="277">
        <v>2021</v>
      </c>
      <c r="BQ255" s="277">
        <v>139982</v>
      </c>
      <c r="BR255" s="277">
        <v>31496</v>
      </c>
      <c r="BS255" s="277">
        <v>3500</v>
      </c>
      <c r="BT255" s="277">
        <v>174978</v>
      </c>
      <c r="BU255" s="277">
        <v>629257</v>
      </c>
      <c r="BV255" s="277">
        <v>138846</v>
      </c>
      <c r="BW255" s="277">
        <v>15428</v>
      </c>
      <c r="BX255" s="277">
        <v>783531</v>
      </c>
      <c r="BY255" s="278" t="s">
        <v>426</v>
      </c>
      <c r="BZ255" s="279" t="s">
        <v>1025</v>
      </c>
      <c r="CA255" s="280" t="s">
        <v>1026</v>
      </c>
    </row>
    <row r="256" spans="1:79" ht="12.75">
      <c r="A256" s="169">
        <v>249</v>
      </c>
      <c r="B256" s="172" t="s">
        <v>428</v>
      </c>
      <c r="C256" s="258" t="s">
        <v>429</v>
      </c>
      <c r="D256" s="277">
        <v>30049232</v>
      </c>
      <c r="E256" s="277">
        <v>55242</v>
      </c>
      <c r="F256" s="277">
        <v>0</v>
      </c>
      <c r="G256" s="277">
        <v>150815</v>
      </c>
      <c r="H256" s="277">
        <v>0</v>
      </c>
      <c r="I256" s="277">
        <v>150815</v>
      </c>
      <c r="J256" s="277">
        <v>0</v>
      </c>
      <c r="K256" s="277">
        <v>0</v>
      </c>
      <c r="L256" s="277">
        <v>0</v>
      </c>
      <c r="M256" s="277">
        <v>0</v>
      </c>
      <c r="N256" s="277">
        <v>0</v>
      </c>
      <c r="O256" s="277">
        <v>0</v>
      </c>
      <c r="P256" s="277">
        <v>29953659</v>
      </c>
      <c r="Q256" s="277">
        <v>14976829</v>
      </c>
      <c r="R256" s="277">
        <v>14677293</v>
      </c>
      <c r="S256" s="277">
        <v>0</v>
      </c>
      <c r="T256" s="277">
        <v>299537</v>
      </c>
      <c r="U256" s="277">
        <v>29953659</v>
      </c>
      <c r="V256" s="277">
        <v>0</v>
      </c>
      <c r="W256" s="277">
        <v>14976829</v>
      </c>
      <c r="X256" s="277">
        <v>150815</v>
      </c>
      <c r="Y256" s="277">
        <v>150815</v>
      </c>
      <c r="Z256" s="277">
        <v>0</v>
      </c>
      <c r="AA256" s="277">
        <v>0</v>
      </c>
      <c r="AB256" s="277">
        <v>0</v>
      </c>
      <c r="AC256" s="277">
        <v>0</v>
      </c>
      <c r="AD256" s="277">
        <v>0</v>
      </c>
      <c r="AE256" s="277">
        <v>0</v>
      </c>
      <c r="AF256" s="277">
        <v>0</v>
      </c>
      <c r="AG256" s="277">
        <v>0</v>
      </c>
      <c r="AH256" s="277">
        <v>0</v>
      </c>
      <c r="AI256" s="277">
        <v>0</v>
      </c>
      <c r="AJ256" s="277">
        <v>0</v>
      </c>
      <c r="AK256" s="277">
        <v>0</v>
      </c>
      <c r="AL256" s="277">
        <v>0</v>
      </c>
      <c r="AM256" s="277">
        <v>-249631.79</v>
      </c>
      <c r="AN256" s="277">
        <v>-244639.15</v>
      </c>
      <c r="AO256" s="277">
        <v>0</v>
      </c>
      <c r="AP256" s="277">
        <v>-4992.64</v>
      </c>
      <c r="AQ256" s="277">
        <v>-499263.58</v>
      </c>
      <c r="AR256" s="277">
        <v>14727197</v>
      </c>
      <c r="AS256" s="277">
        <v>14583469</v>
      </c>
      <c r="AT256" s="277">
        <v>0</v>
      </c>
      <c r="AU256" s="277">
        <v>294544</v>
      </c>
      <c r="AV256" s="277">
        <v>29605210</v>
      </c>
      <c r="AW256" s="277">
        <v>157411</v>
      </c>
      <c r="AX256" s="277">
        <v>0</v>
      </c>
      <c r="AY256" s="277">
        <v>3180</v>
      </c>
      <c r="AZ256" s="277">
        <v>160591</v>
      </c>
      <c r="BA256" s="277">
        <v>584718</v>
      </c>
      <c r="BB256" s="277">
        <v>0</v>
      </c>
      <c r="BC256" s="277">
        <v>11933</v>
      </c>
      <c r="BD256" s="277">
        <v>596651</v>
      </c>
      <c r="BE256" s="277">
        <v>0</v>
      </c>
      <c r="BF256" s="277">
        <v>0</v>
      </c>
      <c r="BG256" s="277">
        <v>0</v>
      </c>
      <c r="BH256" s="277">
        <v>0</v>
      </c>
      <c r="BI256" s="277">
        <v>0</v>
      </c>
      <c r="BJ256" s="277">
        <v>0</v>
      </c>
      <c r="BK256" s="277">
        <v>0</v>
      </c>
      <c r="BL256" s="277">
        <v>0</v>
      </c>
      <c r="BM256" s="277">
        <v>24760</v>
      </c>
      <c r="BN256" s="277">
        <v>0</v>
      </c>
      <c r="BO256" s="277">
        <v>505</v>
      </c>
      <c r="BP256" s="277">
        <v>25265</v>
      </c>
      <c r="BQ256" s="277">
        <v>272361</v>
      </c>
      <c r="BR256" s="277">
        <v>0</v>
      </c>
      <c r="BS256" s="277">
        <v>5558</v>
      </c>
      <c r="BT256" s="277">
        <v>277919</v>
      </c>
      <c r="BU256" s="277">
        <v>1039250</v>
      </c>
      <c r="BV256" s="277">
        <v>0</v>
      </c>
      <c r="BW256" s="277">
        <v>21176</v>
      </c>
      <c r="BX256" s="277">
        <v>1060426</v>
      </c>
      <c r="BY256" s="278" t="s">
        <v>428</v>
      </c>
      <c r="BZ256" s="279" t="s">
        <v>996</v>
      </c>
      <c r="CA256" s="280" t="s">
        <v>1041</v>
      </c>
    </row>
    <row r="257" spans="1:79" ht="12.75">
      <c r="A257" s="169">
        <v>250</v>
      </c>
      <c r="B257" s="172" t="s">
        <v>430</v>
      </c>
      <c r="C257" s="258" t="s">
        <v>431</v>
      </c>
      <c r="D257" s="277">
        <v>93502876</v>
      </c>
      <c r="E257" s="277">
        <v>0</v>
      </c>
      <c r="F257" s="277">
        <v>201031</v>
      </c>
      <c r="G257" s="277">
        <v>317986</v>
      </c>
      <c r="H257" s="277">
        <v>0</v>
      </c>
      <c r="I257" s="277">
        <v>317986</v>
      </c>
      <c r="J257" s="277">
        <v>0</v>
      </c>
      <c r="K257" s="277">
        <v>0</v>
      </c>
      <c r="L257" s="277">
        <v>0</v>
      </c>
      <c r="M257" s="277">
        <v>0</v>
      </c>
      <c r="N257" s="277">
        <v>0</v>
      </c>
      <c r="O257" s="277">
        <v>0</v>
      </c>
      <c r="P257" s="277">
        <v>92983859</v>
      </c>
      <c r="Q257" s="277">
        <v>46491929</v>
      </c>
      <c r="R257" s="277">
        <v>45562091</v>
      </c>
      <c r="S257" s="277">
        <v>0</v>
      </c>
      <c r="T257" s="277">
        <v>929839</v>
      </c>
      <c r="U257" s="277">
        <v>92983859</v>
      </c>
      <c r="V257" s="277">
        <v>0</v>
      </c>
      <c r="W257" s="277">
        <v>46491929</v>
      </c>
      <c r="X257" s="277">
        <v>317986</v>
      </c>
      <c r="Y257" s="277">
        <v>317986</v>
      </c>
      <c r="Z257" s="277">
        <v>0</v>
      </c>
      <c r="AA257" s="277">
        <v>0</v>
      </c>
      <c r="AB257" s="277">
        <v>0</v>
      </c>
      <c r="AC257" s="277">
        <v>0</v>
      </c>
      <c r="AD257" s="277">
        <v>0</v>
      </c>
      <c r="AE257" s="277">
        <v>0</v>
      </c>
      <c r="AF257" s="277">
        <v>0</v>
      </c>
      <c r="AG257" s="277">
        <v>0</v>
      </c>
      <c r="AH257" s="277">
        <v>0</v>
      </c>
      <c r="AI257" s="277">
        <v>0</v>
      </c>
      <c r="AJ257" s="277">
        <v>0</v>
      </c>
      <c r="AK257" s="277">
        <v>0</v>
      </c>
      <c r="AL257" s="277">
        <v>0</v>
      </c>
      <c r="AM257" s="277">
        <v>-8823371</v>
      </c>
      <c r="AN257" s="277">
        <v>-8646903.6</v>
      </c>
      <c r="AO257" s="277">
        <v>0</v>
      </c>
      <c r="AP257" s="277">
        <v>-176467.42</v>
      </c>
      <c r="AQ257" s="277">
        <v>-17646742</v>
      </c>
      <c r="AR257" s="277">
        <v>37668558</v>
      </c>
      <c r="AS257" s="277">
        <v>37233173</v>
      </c>
      <c r="AT257" s="277">
        <v>0</v>
      </c>
      <c r="AU257" s="277">
        <v>753372</v>
      </c>
      <c r="AV257" s="277">
        <v>75655103</v>
      </c>
      <c r="AW257" s="277">
        <v>487050</v>
      </c>
      <c r="AX257" s="277">
        <v>0</v>
      </c>
      <c r="AY257" s="277">
        <v>9871</v>
      </c>
      <c r="AZ257" s="277">
        <v>496921</v>
      </c>
      <c r="BA257" s="277">
        <v>781312</v>
      </c>
      <c r="BB257" s="277">
        <v>0</v>
      </c>
      <c r="BC257" s="277">
        <v>15945</v>
      </c>
      <c r="BD257" s="277">
        <v>797257</v>
      </c>
      <c r="BE257" s="277">
        <v>0</v>
      </c>
      <c r="BF257" s="277">
        <v>0</v>
      </c>
      <c r="BG257" s="277">
        <v>0</v>
      </c>
      <c r="BH257" s="277">
        <v>0</v>
      </c>
      <c r="BI257" s="277">
        <v>0</v>
      </c>
      <c r="BJ257" s="277">
        <v>0</v>
      </c>
      <c r="BK257" s="277">
        <v>0</v>
      </c>
      <c r="BL257" s="277">
        <v>0</v>
      </c>
      <c r="BM257" s="277">
        <v>148560</v>
      </c>
      <c r="BN257" s="277">
        <v>0</v>
      </c>
      <c r="BO257" s="277">
        <v>3032</v>
      </c>
      <c r="BP257" s="277">
        <v>151592</v>
      </c>
      <c r="BQ257" s="277">
        <v>544722</v>
      </c>
      <c r="BR257" s="277">
        <v>0</v>
      </c>
      <c r="BS257" s="277">
        <v>11117</v>
      </c>
      <c r="BT257" s="277">
        <v>555839</v>
      </c>
      <c r="BU257" s="277">
        <v>1961644</v>
      </c>
      <c r="BV257" s="277">
        <v>0</v>
      </c>
      <c r="BW257" s="277">
        <v>39965</v>
      </c>
      <c r="BX257" s="277">
        <v>2001609</v>
      </c>
      <c r="BY257" s="278" t="s">
        <v>919</v>
      </c>
      <c r="BZ257" s="279" t="s">
        <v>1003</v>
      </c>
      <c r="CA257" s="280" t="s">
        <v>1001</v>
      </c>
    </row>
    <row r="258" spans="1:79" ht="12.75">
      <c r="A258" s="169">
        <v>251</v>
      </c>
      <c r="B258" s="172" t="s">
        <v>432</v>
      </c>
      <c r="C258" s="258" t="s">
        <v>433</v>
      </c>
      <c r="D258" s="277">
        <v>45663323</v>
      </c>
      <c r="E258" s="277">
        <v>46566.04</v>
      </c>
      <c r="F258" s="277">
        <v>0</v>
      </c>
      <c r="G258" s="277">
        <v>239791</v>
      </c>
      <c r="H258" s="277">
        <v>10000</v>
      </c>
      <c r="I258" s="277">
        <v>249791</v>
      </c>
      <c r="J258" s="277">
        <v>0</v>
      </c>
      <c r="K258" s="277">
        <v>0</v>
      </c>
      <c r="L258" s="277">
        <v>0</v>
      </c>
      <c r="M258" s="277">
        <v>0</v>
      </c>
      <c r="N258" s="277">
        <v>0</v>
      </c>
      <c r="O258" s="277">
        <v>0</v>
      </c>
      <c r="P258" s="277">
        <v>45460098</v>
      </c>
      <c r="Q258" s="277">
        <v>22730049</v>
      </c>
      <c r="R258" s="277">
        <v>22275448</v>
      </c>
      <c r="S258" s="277">
        <v>0</v>
      </c>
      <c r="T258" s="277">
        <v>454601</v>
      </c>
      <c r="U258" s="277">
        <v>45460098</v>
      </c>
      <c r="V258" s="277">
        <v>0</v>
      </c>
      <c r="W258" s="277">
        <v>22730049</v>
      </c>
      <c r="X258" s="277">
        <v>249791</v>
      </c>
      <c r="Y258" s="277">
        <v>249791</v>
      </c>
      <c r="Z258" s="277">
        <v>0</v>
      </c>
      <c r="AA258" s="277">
        <v>0</v>
      </c>
      <c r="AB258" s="277">
        <v>0</v>
      </c>
      <c r="AC258" s="277">
        <v>0</v>
      </c>
      <c r="AD258" s="277">
        <v>0</v>
      </c>
      <c r="AE258" s="277">
        <v>0</v>
      </c>
      <c r="AF258" s="277">
        <v>0</v>
      </c>
      <c r="AG258" s="277">
        <v>0</v>
      </c>
      <c r="AH258" s="277">
        <v>0</v>
      </c>
      <c r="AI258" s="277">
        <v>0</v>
      </c>
      <c r="AJ258" s="277">
        <v>0</v>
      </c>
      <c r="AK258" s="277">
        <v>0</v>
      </c>
      <c r="AL258" s="277">
        <v>0</v>
      </c>
      <c r="AM258" s="277">
        <v>789338</v>
      </c>
      <c r="AN258" s="277">
        <v>773551.24</v>
      </c>
      <c r="AO258" s="277">
        <v>0</v>
      </c>
      <c r="AP258" s="277">
        <v>15786.76</v>
      </c>
      <c r="AQ258" s="277">
        <v>1578676</v>
      </c>
      <c r="AR258" s="277">
        <v>23519387</v>
      </c>
      <c r="AS258" s="277">
        <v>23298790</v>
      </c>
      <c r="AT258" s="277">
        <v>0</v>
      </c>
      <c r="AU258" s="277">
        <v>470388</v>
      </c>
      <c r="AV258" s="277">
        <v>47288565</v>
      </c>
      <c r="AW258" s="277">
        <v>239121</v>
      </c>
      <c r="AX258" s="277">
        <v>0</v>
      </c>
      <c r="AY258" s="277">
        <v>4826</v>
      </c>
      <c r="AZ258" s="277">
        <v>243947</v>
      </c>
      <c r="BA258" s="277">
        <v>1138156</v>
      </c>
      <c r="BB258" s="277">
        <v>0</v>
      </c>
      <c r="BC258" s="277">
        <v>23228</v>
      </c>
      <c r="BD258" s="277">
        <v>1161384</v>
      </c>
      <c r="BE258" s="277">
        <v>5571</v>
      </c>
      <c r="BF258" s="277">
        <v>0</v>
      </c>
      <c r="BG258" s="277">
        <v>114</v>
      </c>
      <c r="BH258" s="277">
        <v>5685</v>
      </c>
      <c r="BI258" s="277">
        <v>35803</v>
      </c>
      <c r="BJ258" s="277">
        <v>0</v>
      </c>
      <c r="BK258" s="277">
        <v>731</v>
      </c>
      <c r="BL258" s="277">
        <v>36534</v>
      </c>
      <c r="BM258" s="277">
        <v>49520</v>
      </c>
      <c r="BN258" s="277">
        <v>0</v>
      </c>
      <c r="BO258" s="277">
        <v>1011</v>
      </c>
      <c r="BP258" s="277">
        <v>50531</v>
      </c>
      <c r="BQ258" s="277">
        <v>643762</v>
      </c>
      <c r="BR258" s="277">
        <v>0</v>
      </c>
      <c r="BS258" s="277">
        <v>13138</v>
      </c>
      <c r="BT258" s="277">
        <v>656900</v>
      </c>
      <c r="BU258" s="277">
        <v>2111933</v>
      </c>
      <c r="BV258" s="277">
        <v>0</v>
      </c>
      <c r="BW258" s="277">
        <v>43048</v>
      </c>
      <c r="BX258" s="277">
        <v>2154981</v>
      </c>
      <c r="BY258" s="278" t="s">
        <v>920</v>
      </c>
      <c r="BZ258" s="279" t="s">
        <v>1003</v>
      </c>
      <c r="CA258" s="280" t="s">
        <v>999</v>
      </c>
    </row>
    <row r="259" spans="1:79" ht="12.75">
      <c r="A259" s="169">
        <v>252</v>
      </c>
      <c r="B259" s="172" t="s">
        <v>434</v>
      </c>
      <c r="C259" s="258" t="s">
        <v>435</v>
      </c>
      <c r="D259" s="277">
        <v>205667223</v>
      </c>
      <c r="E259" s="277">
        <v>229920</v>
      </c>
      <c r="F259" s="277">
        <v>0</v>
      </c>
      <c r="G259" s="277">
        <v>654521</v>
      </c>
      <c r="H259" s="277">
        <v>0</v>
      </c>
      <c r="I259" s="277">
        <v>654521</v>
      </c>
      <c r="J259" s="277">
        <v>0</v>
      </c>
      <c r="K259" s="277">
        <v>0</v>
      </c>
      <c r="L259" s="277">
        <v>0</v>
      </c>
      <c r="M259" s="277">
        <v>0</v>
      </c>
      <c r="N259" s="277">
        <v>0</v>
      </c>
      <c r="O259" s="277">
        <v>0</v>
      </c>
      <c r="P259" s="277">
        <v>205242622</v>
      </c>
      <c r="Q259" s="277">
        <v>102621311</v>
      </c>
      <c r="R259" s="277">
        <v>61572787</v>
      </c>
      <c r="S259" s="277">
        <v>41048524</v>
      </c>
      <c r="T259" s="277">
        <v>0</v>
      </c>
      <c r="U259" s="277">
        <v>205242622</v>
      </c>
      <c r="V259" s="277">
        <v>0</v>
      </c>
      <c r="W259" s="277">
        <v>102621311</v>
      </c>
      <c r="X259" s="277">
        <v>654521</v>
      </c>
      <c r="Y259" s="277">
        <v>654521</v>
      </c>
      <c r="Z259" s="277">
        <v>0</v>
      </c>
      <c r="AA259" s="277">
        <v>0</v>
      </c>
      <c r="AB259" s="277">
        <v>0</v>
      </c>
      <c r="AC259" s="277">
        <v>0</v>
      </c>
      <c r="AD259" s="277">
        <v>0</v>
      </c>
      <c r="AE259" s="277">
        <v>0</v>
      </c>
      <c r="AF259" s="277">
        <v>0</v>
      </c>
      <c r="AG259" s="277">
        <v>0</v>
      </c>
      <c r="AH259" s="277">
        <v>0</v>
      </c>
      <c r="AI259" s="277">
        <v>0</v>
      </c>
      <c r="AJ259" s="277">
        <v>0</v>
      </c>
      <c r="AK259" s="277">
        <v>0</v>
      </c>
      <c r="AL259" s="277">
        <v>0</v>
      </c>
      <c r="AM259" s="277">
        <v>18367.5</v>
      </c>
      <c r="AN259" s="277">
        <v>11020.5</v>
      </c>
      <c r="AO259" s="277">
        <v>7347</v>
      </c>
      <c r="AP259" s="277">
        <v>0</v>
      </c>
      <c r="AQ259" s="277">
        <v>36735</v>
      </c>
      <c r="AR259" s="277">
        <v>102639679</v>
      </c>
      <c r="AS259" s="277">
        <v>62238329</v>
      </c>
      <c r="AT259" s="277">
        <v>41055871</v>
      </c>
      <c r="AU259" s="277">
        <v>0</v>
      </c>
      <c r="AV259" s="277">
        <v>205933879</v>
      </c>
      <c r="AW259" s="277">
        <v>660587</v>
      </c>
      <c r="AX259" s="277">
        <v>435759</v>
      </c>
      <c r="AY259" s="277">
        <v>0</v>
      </c>
      <c r="AZ259" s="277">
        <v>1096346</v>
      </c>
      <c r="BA259" s="277">
        <v>787258</v>
      </c>
      <c r="BB259" s="277">
        <v>524839</v>
      </c>
      <c r="BC259" s="277">
        <v>0</v>
      </c>
      <c r="BD259" s="277">
        <v>1312097</v>
      </c>
      <c r="BE259" s="277">
        <v>0</v>
      </c>
      <c r="BF259" s="277">
        <v>0</v>
      </c>
      <c r="BG259" s="277">
        <v>0</v>
      </c>
      <c r="BH259" s="277">
        <v>0</v>
      </c>
      <c r="BI259" s="277">
        <v>0</v>
      </c>
      <c r="BJ259" s="277">
        <v>0</v>
      </c>
      <c r="BK259" s="277">
        <v>0</v>
      </c>
      <c r="BL259" s="277">
        <v>0</v>
      </c>
      <c r="BM259" s="277">
        <v>0</v>
      </c>
      <c r="BN259" s="277">
        <v>0</v>
      </c>
      <c r="BO259" s="277">
        <v>0</v>
      </c>
      <c r="BP259" s="277">
        <v>0</v>
      </c>
      <c r="BQ259" s="277">
        <v>0</v>
      </c>
      <c r="BR259" s="277">
        <v>0</v>
      </c>
      <c r="BS259" s="277">
        <v>0</v>
      </c>
      <c r="BT259" s="277">
        <v>0</v>
      </c>
      <c r="BU259" s="277">
        <v>1447845</v>
      </c>
      <c r="BV259" s="277">
        <v>960598</v>
      </c>
      <c r="BW259" s="277">
        <v>0</v>
      </c>
      <c r="BX259" s="277">
        <v>2408443</v>
      </c>
      <c r="BY259" s="278" t="s">
        <v>434</v>
      </c>
      <c r="BZ259" s="279" t="s">
        <v>995</v>
      </c>
      <c r="CA259" s="279" t="s">
        <v>983</v>
      </c>
    </row>
    <row r="260" spans="1:79" ht="12.75">
      <c r="A260" s="169">
        <v>253</v>
      </c>
      <c r="B260" s="172" t="s">
        <v>436</v>
      </c>
      <c r="C260" s="258" t="s">
        <v>437</v>
      </c>
      <c r="D260" s="277">
        <v>42234750</v>
      </c>
      <c r="E260" s="277">
        <v>157590</v>
      </c>
      <c r="F260" s="277">
        <v>0</v>
      </c>
      <c r="G260" s="277">
        <v>130309</v>
      </c>
      <c r="H260" s="277">
        <v>0</v>
      </c>
      <c r="I260" s="277">
        <v>130309</v>
      </c>
      <c r="J260" s="277">
        <v>0</v>
      </c>
      <c r="K260" s="277">
        <v>0</v>
      </c>
      <c r="L260" s="277">
        <v>0</v>
      </c>
      <c r="M260" s="277">
        <v>0</v>
      </c>
      <c r="N260" s="277">
        <v>0</v>
      </c>
      <c r="O260" s="277">
        <v>0</v>
      </c>
      <c r="P260" s="277">
        <v>42262031</v>
      </c>
      <c r="Q260" s="277">
        <v>21131016</v>
      </c>
      <c r="R260" s="277">
        <v>16904812</v>
      </c>
      <c r="S260" s="277">
        <v>4226203</v>
      </c>
      <c r="T260" s="277">
        <v>0</v>
      </c>
      <c r="U260" s="277">
        <v>42262031</v>
      </c>
      <c r="V260" s="277">
        <v>0</v>
      </c>
      <c r="W260" s="277">
        <v>21131016</v>
      </c>
      <c r="X260" s="277">
        <v>130309</v>
      </c>
      <c r="Y260" s="277">
        <v>130309</v>
      </c>
      <c r="Z260" s="277">
        <v>0</v>
      </c>
      <c r="AA260" s="277">
        <v>0</v>
      </c>
      <c r="AB260" s="277">
        <v>0</v>
      </c>
      <c r="AC260" s="277">
        <v>0</v>
      </c>
      <c r="AD260" s="277">
        <v>0</v>
      </c>
      <c r="AE260" s="277">
        <v>0</v>
      </c>
      <c r="AF260" s="277">
        <v>0</v>
      </c>
      <c r="AG260" s="277">
        <v>0</v>
      </c>
      <c r="AH260" s="277">
        <v>0</v>
      </c>
      <c r="AI260" s="277">
        <v>0</v>
      </c>
      <c r="AJ260" s="277">
        <v>0</v>
      </c>
      <c r="AK260" s="277">
        <v>0</v>
      </c>
      <c r="AL260" s="277">
        <v>0</v>
      </c>
      <c r="AM260" s="277">
        <v>-1309845.5</v>
      </c>
      <c r="AN260" s="277">
        <v>-1047876.4</v>
      </c>
      <c r="AO260" s="277">
        <v>-261969.1</v>
      </c>
      <c r="AP260" s="277">
        <v>0</v>
      </c>
      <c r="AQ260" s="277">
        <v>-2619691</v>
      </c>
      <c r="AR260" s="277">
        <v>19821171</v>
      </c>
      <c r="AS260" s="277">
        <v>15987245</v>
      </c>
      <c r="AT260" s="277">
        <v>3964234</v>
      </c>
      <c r="AU260" s="277">
        <v>0</v>
      </c>
      <c r="AV260" s="277">
        <v>39772649</v>
      </c>
      <c r="AW260" s="277">
        <v>180840</v>
      </c>
      <c r="AX260" s="277">
        <v>44864</v>
      </c>
      <c r="AY260" s="277">
        <v>0</v>
      </c>
      <c r="AZ260" s="277">
        <v>225704</v>
      </c>
      <c r="BA260" s="277">
        <v>237894</v>
      </c>
      <c r="BB260" s="277">
        <v>59473</v>
      </c>
      <c r="BC260" s="277">
        <v>0</v>
      </c>
      <c r="BD260" s="277">
        <v>297367</v>
      </c>
      <c r="BE260" s="277">
        <v>0</v>
      </c>
      <c r="BF260" s="277">
        <v>0</v>
      </c>
      <c r="BG260" s="277">
        <v>0</v>
      </c>
      <c r="BH260" s="277">
        <v>0</v>
      </c>
      <c r="BI260" s="277">
        <v>20212</v>
      </c>
      <c r="BJ260" s="277">
        <v>5053</v>
      </c>
      <c r="BK260" s="277">
        <v>0</v>
      </c>
      <c r="BL260" s="277">
        <v>25265</v>
      </c>
      <c r="BM260" s="277">
        <v>8183</v>
      </c>
      <c r="BN260" s="277">
        <v>2046</v>
      </c>
      <c r="BO260" s="277">
        <v>0</v>
      </c>
      <c r="BP260" s="277">
        <v>10229</v>
      </c>
      <c r="BQ260" s="277">
        <v>197874</v>
      </c>
      <c r="BR260" s="277">
        <v>49469</v>
      </c>
      <c r="BS260" s="277">
        <v>0</v>
      </c>
      <c r="BT260" s="277">
        <v>247343</v>
      </c>
      <c r="BU260" s="277">
        <v>645003</v>
      </c>
      <c r="BV260" s="277">
        <v>160905</v>
      </c>
      <c r="BW260" s="277">
        <v>0</v>
      </c>
      <c r="BX260" s="277">
        <v>805908</v>
      </c>
      <c r="BY260" s="278" t="s">
        <v>436</v>
      </c>
      <c r="BZ260" s="279" t="s">
        <v>1040</v>
      </c>
      <c r="CA260" s="280" t="s">
        <v>984</v>
      </c>
    </row>
    <row r="261" spans="1:79" ht="12.75">
      <c r="A261" s="169">
        <v>254</v>
      </c>
      <c r="B261" s="172" t="s">
        <v>438</v>
      </c>
      <c r="C261" s="258" t="s">
        <v>439</v>
      </c>
      <c r="D261" s="277">
        <v>62216080.3</v>
      </c>
      <c r="E261" s="277">
        <v>89164.96</v>
      </c>
      <c r="F261" s="277">
        <v>0</v>
      </c>
      <c r="G261" s="277">
        <v>197300</v>
      </c>
      <c r="H261" s="277">
        <v>0</v>
      </c>
      <c r="I261" s="277">
        <v>197300</v>
      </c>
      <c r="J261" s="277">
        <v>0</v>
      </c>
      <c r="K261" s="277">
        <v>0</v>
      </c>
      <c r="L261" s="277">
        <v>0</v>
      </c>
      <c r="M261" s="277">
        <v>0</v>
      </c>
      <c r="N261" s="277">
        <v>0</v>
      </c>
      <c r="O261" s="277">
        <v>0</v>
      </c>
      <c r="P261" s="277">
        <v>62107945.3</v>
      </c>
      <c r="Q261" s="277">
        <v>31053972.3</v>
      </c>
      <c r="R261" s="277">
        <v>24843178</v>
      </c>
      <c r="S261" s="277">
        <v>6210795</v>
      </c>
      <c r="T261" s="277">
        <v>0</v>
      </c>
      <c r="U261" s="277">
        <v>62107945</v>
      </c>
      <c r="V261" s="277">
        <v>0</v>
      </c>
      <c r="W261" s="277">
        <v>31053972.3</v>
      </c>
      <c r="X261" s="277">
        <v>197300</v>
      </c>
      <c r="Y261" s="277">
        <v>197300</v>
      </c>
      <c r="Z261" s="277">
        <v>0</v>
      </c>
      <c r="AA261" s="277">
        <v>0</v>
      </c>
      <c r="AB261" s="277">
        <v>0</v>
      </c>
      <c r="AC261" s="277">
        <v>0</v>
      </c>
      <c r="AD261" s="277">
        <v>0</v>
      </c>
      <c r="AE261" s="277">
        <v>0</v>
      </c>
      <c r="AF261" s="277">
        <v>0</v>
      </c>
      <c r="AG261" s="277">
        <v>0</v>
      </c>
      <c r="AH261" s="277">
        <v>0</v>
      </c>
      <c r="AI261" s="277">
        <v>0</v>
      </c>
      <c r="AJ261" s="277">
        <v>0</v>
      </c>
      <c r="AK261" s="277">
        <v>0</v>
      </c>
      <c r="AL261" s="277">
        <v>0</v>
      </c>
      <c r="AM261" s="277">
        <v>25485</v>
      </c>
      <c r="AN261" s="277">
        <v>20388</v>
      </c>
      <c r="AO261" s="277">
        <v>5097</v>
      </c>
      <c r="AP261" s="277">
        <v>0</v>
      </c>
      <c r="AQ261" s="277">
        <v>50970</v>
      </c>
      <c r="AR261" s="277">
        <v>31079457</v>
      </c>
      <c r="AS261" s="277">
        <v>25060866</v>
      </c>
      <c r="AT261" s="277">
        <v>6215892</v>
      </c>
      <c r="AU261" s="277">
        <v>0</v>
      </c>
      <c r="AV261" s="277">
        <v>62356215</v>
      </c>
      <c r="AW261" s="277">
        <v>265822</v>
      </c>
      <c r="AX261" s="277">
        <v>65932</v>
      </c>
      <c r="AY261" s="277">
        <v>0</v>
      </c>
      <c r="AZ261" s="277">
        <v>331754</v>
      </c>
      <c r="BA261" s="277">
        <v>275530</v>
      </c>
      <c r="BB261" s="277">
        <v>68883</v>
      </c>
      <c r="BC261" s="277">
        <v>0</v>
      </c>
      <c r="BD261" s="277">
        <v>344413</v>
      </c>
      <c r="BE261" s="277">
        <v>48510</v>
      </c>
      <c r="BF261" s="277">
        <v>12127</v>
      </c>
      <c r="BG261" s="277">
        <v>0</v>
      </c>
      <c r="BH261" s="277">
        <v>60637</v>
      </c>
      <c r="BI261" s="277">
        <v>0</v>
      </c>
      <c r="BJ261" s="277">
        <v>0</v>
      </c>
      <c r="BK261" s="277">
        <v>0</v>
      </c>
      <c r="BL261" s="277">
        <v>0</v>
      </c>
      <c r="BM261" s="277">
        <v>34361</v>
      </c>
      <c r="BN261" s="277">
        <v>8590</v>
      </c>
      <c r="BO261" s="277">
        <v>0</v>
      </c>
      <c r="BP261" s="277">
        <v>42951</v>
      </c>
      <c r="BQ261" s="277">
        <v>368673</v>
      </c>
      <c r="BR261" s="277">
        <v>92168</v>
      </c>
      <c r="BS261" s="277">
        <v>0</v>
      </c>
      <c r="BT261" s="277">
        <v>460841</v>
      </c>
      <c r="BU261" s="277">
        <v>992896</v>
      </c>
      <c r="BV261" s="277">
        <v>247700</v>
      </c>
      <c r="BW261" s="277">
        <v>0</v>
      </c>
      <c r="BX261" s="277">
        <v>1240596</v>
      </c>
      <c r="BY261" s="278" t="s">
        <v>438</v>
      </c>
      <c r="BZ261" s="279" t="s">
        <v>1021</v>
      </c>
      <c r="CA261" s="280" t="s">
        <v>984</v>
      </c>
    </row>
    <row r="262" spans="1:79" ht="12.75">
      <c r="A262" s="169">
        <v>255</v>
      </c>
      <c r="B262" s="172" t="s">
        <v>440</v>
      </c>
      <c r="C262" s="258" t="s">
        <v>441</v>
      </c>
      <c r="D262" s="277">
        <v>45348868</v>
      </c>
      <c r="E262" s="277">
        <v>30020</v>
      </c>
      <c r="F262" s="277">
        <v>0</v>
      </c>
      <c r="G262" s="277">
        <v>162652</v>
      </c>
      <c r="H262" s="277">
        <v>0</v>
      </c>
      <c r="I262" s="277">
        <v>162652</v>
      </c>
      <c r="J262" s="277">
        <v>0</v>
      </c>
      <c r="K262" s="277">
        <v>0</v>
      </c>
      <c r="L262" s="277">
        <v>0</v>
      </c>
      <c r="M262" s="277">
        <v>118927</v>
      </c>
      <c r="N262" s="277">
        <v>118927</v>
      </c>
      <c r="O262" s="277">
        <v>0</v>
      </c>
      <c r="P262" s="277">
        <v>45097309</v>
      </c>
      <c r="Q262" s="277">
        <v>22548654</v>
      </c>
      <c r="R262" s="277">
        <v>18038924</v>
      </c>
      <c r="S262" s="277">
        <v>4509731</v>
      </c>
      <c r="T262" s="277">
        <v>0</v>
      </c>
      <c r="U262" s="277">
        <v>45097309</v>
      </c>
      <c r="V262" s="277">
        <v>0</v>
      </c>
      <c r="W262" s="277">
        <v>22548654</v>
      </c>
      <c r="X262" s="277">
        <v>162652</v>
      </c>
      <c r="Y262" s="277">
        <v>162652</v>
      </c>
      <c r="Z262" s="277">
        <v>0</v>
      </c>
      <c r="AA262" s="277">
        <v>0</v>
      </c>
      <c r="AB262" s="277">
        <v>0</v>
      </c>
      <c r="AC262" s="277">
        <v>0</v>
      </c>
      <c r="AD262" s="277">
        <v>118927</v>
      </c>
      <c r="AE262" s="277">
        <v>0</v>
      </c>
      <c r="AF262" s="277">
        <v>118927</v>
      </c>
      <c r="AG262" s="277">
        <v>0</v>
      </c>
      <c r="AH262" s="277">
        <v>0</v>
      </c>
      <c r="AI262" s="277">
        <v>0</v>
      </c>
      <c r="AJ262" s="277">
        <v>0</v>
      </c>
      <c r="AK262" s="277">
        <v>0</v>
      </c>
      <c r="AL262" s="277">
        <v>0</v>
      </c>
      <c r="AM262" s="277">
        <v>-579126.5</v>
      </c>
      <c r="AN262" s="277">
        <v>-463301.2</v>
      </c>
      <c r="AO262" s="277">
        <v>-115825.3</v>
      </c>
      <c r="AP262" s="277">
        <v>0</v>
      </c>
      <c r="AQ262" s="277">
        <v>-1158253</v>
      </c>
      <c r="AR262" s="277">
        <v>21969528</v>
      </c>
      <c r="AS262" s="277">
        <v>17857202</v>
      </c>
      <c r="AT262" s="277">
        <v>4393906</v>
      </c>
      <c r="AU262" s="277">
        <v>0</v>
      </c>
      <c r="AV262" s="277">
        <v>44220635</v>
      </c>
      <c r="AW262" s="277">
        <v>194485</v>
      </c>
      <c r="AX262" s="277">
        <v>47874</v>
      </c>
      <c r="AY262" s="277">
        <v>0</v>
      </c>
      <c r="AZ262" s="277">
        <v>242359</v>
      </c>
      <c r="BA262" s="277">
        <v>381144</v>
      </c>
      <c r="BB262" s="277">
        <v>95286</v>
      </c>
      <c r="BC262" s="277">
        <v>0</v>
      </c>
      <c r="BD262" s="277">
        <v>476430</v>
      </c>
      <c r="BE262" s="277">
        <v>0</v>
      </c>
      <c r="BF262" s="277">
        <v>0</v>
      </c>
      <c r="BG262" s="277">
        <v>0</v>
      </c>
      <c r="BH262" s="277">
        <v>0</v>
      </c>
      <c r="BI262" s="277">
        <v>0</v>
      </c>
      <c r="BJ262" s="277">
        <v>0</v>
      </c>
      <c r="BK262" s="277">
        <v>0</v>
      </c>
      <c r="BL262" s="277">
        <v>0</v>
      </c>
      <c r="BM262" s="277">
        <v>57754</v>
      </c>
      <c r="BN262" s="277">
        <v>14438</v>
      </c>
      <c r="BO262" s="277">
        <v>0</v>
      </c>
      <c r="BP262" s="277">
        <v>72192</v>
      </c>
      <c r="BQ262" s="277">
        <v>220950</v>
      </c>
      <c r="BR262" s="277">
        <v>55237</v>
      </c>
      <c r="BS262" s="277">
        <v>0</v>
      </c>
      <c r="BT262" s="277">
        <v>276187</v>
      </c>
      <c r="BU262" s="277">
        <v>854333</v>
      </c>
      <c r="BV262" s="277">
        <v>212835</v>
      </c>
      <c r="BW262" s="277">
        <v>0</v>
      </c>
      <c r="BX262" s="277">
        <v>1067168</v>
      </c>
      <c r="BY262" s="278" t="s">
        <v>440</v>
      </c>
      <c r="BZ262" s="279" t="s">
        <v>994</v>
      </c>
      <c r="CA262" s="280" t="s">
        <v>984</v>
      </c>
    </row>
    <row r="263" spans="1:79" ht="12.75">
      <c r="A263" s="169">
        <v>256</v>
      </c>
      <c r="B263" s="172" t="s">
        <v>442</v>
      </c>
      <c r="C263" s="258" t="s">
        <v>443</v>
      </c>
      <c r="D263" s="277">
        <v>47756146</v>
      </c>
      <c r="E263" s="277">
        <v>0</v>
      </c>
      <c r="F263" s="277">
        <v>3153</v>
      </c>
      <c r="G263" s="277">
        <v>198553</v>
      </c>
      <c r="H263" s="277">
        <v>0</v>
      </c>
      <c r="I263" s="277">
        <v>198553</v>
      </c>
      <c r="J263" s="277">
        <v>0</v>
      </c>
      <c r="K263" s="277">
        <v>0</v>
      </c>
      <c r="L263" s="277">
        <v>0</v>
      </c>
      <c r="M263" s="277">
        <v>0</v>
      </c>
      <c r="N263" s="277">
        <v>0</v>
      </c>
      <c r="O263" s="277">
        <v>0</v>
      </c>
      <c r="P263" s="277">
        <v>47554440</v>
      </c>
      <c r="Q263" s="277">
        <v>23777220</v>
      </c>
      <c r="R263" s="277">
        <v>23301676</v>
      </c>
      <c r="S263" s="277">
        <v>0</v>
      </c>
      <c r="T263" s="277">
        <v>475544</v>
      </c>
      <c r="U263" s="277">
        <v>47554440</v>
      </c>
      <c r="V263" s="277">
        <v>0</v>
      </c>
      <c r="W263" s="277">
        <v>23777220</v>
      </c>
      <c r="X263" s="277">
        <v>198553</v>
      </c>
      <c r="Y263" s="277">
        <v>198553</v>
      </c>
      <c r="Z263" s="277">
        <v>0</v>
      </c>
      <c r="AA263" s="277">
        <v>0</v>
      </c>
      <c r="AB263" s="277">
        <v>0</v>
      </c>
      <c r="AC263" s="277">
        <v>0</v>
      </c>
      <c r="AD263" s="277">
        <v>0</v>
      </c>
      <c r="AE263" s="277">
        <v>0</v>
      </c>
      <c r="AF263" s="277">
        <v>0</v>
      </c>
      <c r="AG263" s="277">
        <v>0</v>
      </c>
      <c r="AH263" s="277">
        <v>0</v>
      </c>
      <c r="AI263" s="277">
        <v>0</v>
      </c>
      <c r="AJ263" s="277">
        <v>0</v>
      </c>
      <c r="AK263" s="277">
        <v>0</v>
      </c>
      <c r="AL263" s="277">
        <v>0</v>
      </c>
      <c r="AM263" s="277">
        <v>-38847</v>
      </c>
      <c r="AN263" s="277">
        <v>-38070.06</v>
      </c>
      <c r="AO263" s="277">
        <v>0</v>
      </c>
      <c r="AP263" s="277">
        <v>-776.94</v>
      </c>
      <c r="AQ263" s="277">
        <v>-77694</v>
      </c>
      <c r="AR263" s="277">
        <v>23738373</v>
      </c>
      <c r="AS263" s="277">
        <v>23462159</v>
      </c>
      <c r="AT263" s="277">
        <v>0</v>
      </c>
      <c r="AU263" s="277">
        <v>474767</v>
      </c>
      <c r="AV263" s="277">
        <v>47675299</v>
      </c>
      <c r="AW263" s="277">
        <v>249472</v>
      </c>
      <c r="AX263" s="277">
        <v>0</v>
      </c>
      <c r="AY263" s="277">
        <v>5048</v>
      </c>
      <c r="AZ263" s="277">
        <v>254520</v>
      </c>
      <c r="BA263" s="277">
        <v>738769</v>
      </c>
      <c r="BB263" s="277">
        <v>0</v>
      </c>
      <c r="BC263" s="277">
        <v>15077</v>
      </c>
      <c r="BD263" s="277">
        <v>753846</v>
      </c>
      <c r="BE263" s="277">
        <v>0</v>
      </c>
      <c r="BF263" s="277">
        <v>0</v>
      </c>
      <c r="BG263" s="277">
        <v>0</v>
      </c>
      <c r="BH263" s="277">
        <v>0</v>
      </c>
      <c r="BI263" s="277">
        <v>24760</v>
      </c>
      <c r="BJ263" s="277">
        <v>0</v>
      </c>
      <c r="BK263" s="277">
        <v>505</v>
      </c>
      <c r="BL263" s="277">
        <v>25265</v>
      </c>
      <c r="BM263" s="277">
        <v>37140</v>
      </c>
      <c r="BN263" s="277">
        <v>0</v>
      </c>
      <c r="BO263" s="277">
        <v>758</v>
      </c>
      <c r="BP263" s="277">
        <v>37898</v>
      </c>
      <c r="BQ263" s="277">
        <v>284741</v>
      </c>
      <c r="BR263" s="277">
        <v>0</v>
      </c>
      <c r="BS263" s="277">
        <v>5811</v>
      </c>
      <c r="BT263" s="277">
        <v>290552</v>
      </c>
      <c r="BU263" s="277">
        <v>1334882</v>
      </c>
      <c r="BV263" s="277">
        <v>0</v>
      </c>
      <c r="BW263" s="277">
        <v>27199</v>
      </c>
      <c r="BX263" s="277">
        <v>1362081</v>
      </c>
      <c r="BY263" s="278" t="s">
        <v>442</v>
      </c>
      <c r="BZ263" s="279" t="s">
        <v>996</v>
      </c>
      <c r="CA263" s="280" t="s">
        <v>1047</v>
      </c>
    </row>
    <row r="264" spans="1:79" ht="12.75">
      <c r="A264" s="169">
        <v>257</v>
      </c>
      <c r="B264" s="172" t="s">
        <v>444</v>
      </c>
      <c r="C264" s="258" t="s">
        <v>445</v>
      </c>
      <c r="D264" s="277">
        <v>43460124.1</v>
      </c>
      <c r="E264" s="277">
        <v>61468.56</v>
      </c>
      <c r="F264" s="277">
        <v>0</v>
      </c>
      <c r="G264" s="277">
        <v>171533</v>
      </c>
      <c r="H264" s="277">
        <v>0</v>
      </c>
      <c r="I264" s="277">
        <v>171533</v>
      </c>
      <c r="J264" s="277">
        <v>0</v>
      </c>
      <c r="K264" s="277">
        <v>0</v>
      </c>
      <c r="L264" s="277">
        <v>0</v>
      </c>
      <c r="M264" s="277">
        <v>0</v>
      </c>
      <c r="N264" s="277">
        <v>0</v>
      </c>
      <c r="O264" s="277">
        <v>0</v>
      </c>
      <c r="P264" s="277">
        <v>43350059.7</v>
      </c>
      <c r="Q264" s="277">
        <v>21675029.7</v>
      </c>
      <c r="R264" s="277">
        <v>17340024</v>
      </c>
      <c r="S264" s="277">
        <v>3901505</v>
      </c>
      <c r="T264" s="277">
        <v>433501</v>
      </c>
      <c r="U264" s="277">
        <v>43350060</v>
      </c>
      <c r="V264" s="277">
        <v>0</v>
      </c>
      <c r="W264" s="277">
        <v>21675029.7</v>
      </c>
      <c r="X264" s="277">
        <v>171533</v>
      </c>
      <c r="Y264" s="277">
        <v>171533</v>
      </c>
      <c r="Z264" s="277">
        <v>0</v>
      </c>
      <c r="AA264" s="277">
        <v>0</v>
      </c>
      <c r="AB264" s="277">
        <v>0</v>
      </c>
      <c r="AC264" s="277">
        <v>0</v>
      </c>
      <c r="AD264" s="277">
        <v>0</v>
      </c>
      <c r="AE264" s="277">
        <v>0</v>
      </c>
      <c r="AF264" s="277">
        <v>0</v>
      </c>
      <c r="AG264" s="277">
        <v>0</v>
      </c>
      <c r="AH264" s="277">
        <v>0</v>
      </c>
      <c r="AI264" s="277">
        <v>0</v>
      </c>
      <c r="AJ264" s="277">
        <v>0</v>
      </c>
      <c r="AK264" s="277">
        <v>0</v>
      </c>
      <c r="AL264" s="277">
        <v>0</v>
      </c>
      <c r="AM264" s="277">
        <v>250276</v>
      </c>
      <c r="AN264" s="277">
        <v>200220.8</v>
      </c>
      <c r="AO264" s="277">
        <v>45049.68</v>
      </c>
      <c r="AP264" s="277">
        <v>5005.52</v>
      </c>
      <c r="AQ264" s="277">
        <v>500552</v>
      </c>
      <c r="AR264" s="277">
        <v>21925306</v>
      </c>
      <c r="AS264" s="277">
        <v>17711778</v>
      </c>
      <c r="AT264" s="277">
        <v>3946555</v>
      </c>
      <c r="AU264" s="277">
        <v>438507</v>
      </c>
      <c r="AV264" s="277">
        <v>44022145</v>
      </c>
      <c r="AW264" s="277">
        <v>185898</v>
      </c>
      <c r="AX264" s="277">
        <v>41417</v>
      </c>
      <c r="AY264" s="277">
        <v>4602</v>
      </c>
      <c r="AZ264" s="277">
        <v>231917</v>
      </c>
      <c r="BA264" s="277">
        <v>455406</v>
      </c>
      <c r="BB264" s="277">
        <v>102466</v>
      </c>
      <c r="BC264" s="277">
        <v>11385</v>
      </c>
      <c r="BD264" s="277">
        <v>569257</v>
      </c>
      <c r="BE264" s="277">
        <v>0</v>
      </c>
      <c r="BF264" s="277">
        <v>0</v>
      </c>
      <c r="BG264" s="277">
        <v>0</v>
      </c>
      <c r="BH264" s="277">
        <v>0</v>
      </c>
      <c r="BI264" s="277">
        <v>0</v>
      </c>
      <c r="BJ264" s="277">
        <v>0</v>
      </c>
      <c r="BK264" s="277">
        <v>0</v>
      </c>
      <c r="BL264" s="277">
        <v>0</v>
      </c>
      <c r="BM264" s="277">
        <v>0</v>
      </c>
      <c r="BN264" s="277">
        <v>0</v>
      </c>
      <c r="BO264" s="277">
        <v>0</v>
      </c>
      <c r="BP264" s="277">
        <v>0</v>
      </c>
      <c r="BQ264" s="277">
        <v>242109</v>
      </c>
      <c r="BR264" s="277">
        <v>54474</v>
      </c>
      <c r="BS264" s="277">
        <v>6053</v>
      </c>
      <c r="BT264" s="277">
        <v>302636</v>
      </c>
      <c r="BU264" s="277">
        <v>883413</v>
      </c>
      <c r="BV264" s="277">
        <v>198357</v>
      </c>
      <c r="BW264" s="277">
        <v>22040</v>
      </c>
      <c r="BX264" s="277">
        <v>1103810</v>
      </c>
      <c r="BY264" s="278" t="s">
        <v>444</v>
      </c>
      <c r="BZ264" s="279" t="s">
        <v>1025</v>
      </c>
      <c r="CA264" s="280" t="s">
        <v>1026</v>
      </c>
    </row>
    <row r="265" spans="1:79" ht="12.75">
      <c r="A265" s="169">
        <v>258</v>
      </c>
      <c r="B265" s="172" t="s">
        <v>446</v>
      </c>
      <c r="C265" s="258" t="s">
        <v>447</v>
      </c>
      <c r="D265" s="277">
        <v>18143115.9</v>
      </c>
      <c r="E265" s="277">
        <v>74889</v>
      </c>
      <c r="F265" s="277">
        <v>0</v>
      </c>
      <c r="G265" s="277">
        <v>116661</v>
      </c>
      <c r="H265" s="277">
        <v>0</v>
      </c>
      <c r="I265" s="277">
        <v>116661</v>
      </c>
      <c r="J265" s="277">
        <v>0</v>
      </c>
      <c r="K265" s="277">
        <v>0</v>
      </c>
      <c r="L265" s="277">
        <v>0</v>
      </c>
      <c r="M265" s="277">
        <v>0</v>
      </c>
      <c r="N265" s="277">
        <v>0</v>
      </c>
      <c r="O265" s="277">
        <v>0</v>
      </c>
      <c r="P265" s="277">
        <v>18101343.9</v>
      </c>
      <c r="Q265" s="277">
        <v>9050671.86</v>
      </c>
      <c r="R265" s="277">
        <v>7240538</v>
      </c>
      <c r="S265" s="277">
        <v>1629121</v>
      </c>
      <c r="T265" s="277">
        <v>181013</v>
      </c>
      <c r="U265" s="277">
        <v>18101344</v>
      </c>
      <c r="V265" s="277">
        <v>0</v>
      </c>
      <c r="W265" s="277">
        <v>9050671.86</v>
      </c>
      <c r="X265" s="277">
        <v>116661</v>
      </c>
      <c r="Y265" s="277">
        <v>116661</v>
      </c>
      <c r="Z265" s="277">
        <v>0</v>
      </c>
      <c r="AA265" s="277">
        <v>0</v>
      </c>
      <c r="AB265" s="277">
        <v>0</v>
      </c>
      <c r="AC265" s="277">
        <v>0</v>
      </c>
      <c r="AD265" s="277">
        <v>0</v>
      </c>
      <c r="AE265" s="277">
        <v>0</v>
      </c>
      <c r="AF265" s="277">
        <v>0</v>
      </c>
      <c r="AG265" s="277">
        <v>0</v>
      </c>
      <c r="AH265" s="277">
        <v>0</v>
      </c>
      <c r="AI265" s="277">
        <v>0</v>
      </c>
      <c r="AJ265" s="277">
        <v>0</v>
      </c>
      <c r="AK265" s="277">
        <v>0</v>
      </c>
      <c r="AL265" s="277">
        <v>0</v>
      </c>
      <c r="AM265" s="277">
        <v>-92134.5</v>
      </c>
      <c r="AN265" s="277">
        <v>-73707.6</v>
      </c>
      <c r="AO265" s="277">
        <v>-16584.21</v>
      </c>
      <c r="AP265" s="277">
        <v>-1842.69</v>
      </c>
      <c r="AQ265" s="277">
        <v>-184269</v>
      </c>
      <c r="AR265" s="277">
        <v>8958537</v>
      </c>
      <c r="AS265" s="277">
        <v>7283491</v>
      </c>
      <c r="AT265" s="277">
        <v>1612537</v>
      </c>
      <c r="AU265" s="277">
        <v>179170</v>
      </c>
      <c r="AV265" s="277">
        <v>18033736</v>
      </c>
      <c r="AW265" s="277">
        <v>78102</v>
      </c>
      <c r="AX265" s="277">
        <v>17294</v>
      </c>
      <c r="AY265" s="277">
        <v>1922</v>
      </c>
      <c r="AZ265" s="277">
        <v>97318</v>
      </c>
      <c r="BA265" s="277">
        <v>430448</v>
      </c>
      <c r="BB265" s="277">
        <v>96851</v>
      </c>
      <c r="BC265" s="277">
        <v>10761</v>
      </c>
      <c r="BD265" s="277">
        <v>538060</v>
      </c>
      <c r="BE265" s="277">
        <v>0</v>
      </c>
      <c r="BF265" s="277">
        <v>0</v>
      </c>
      <c r="BG265" s="277">
        <v>0</v>
      </c>
      <c r="BH265" s="277">
        <v>0</v>
      </c>
      <c r="BI265" s="277">
        <v>0</v>
      </c>
      <c r="BJ265" s="277">
        <v>0</v>
      </c>
      <c r="BK265" s="277">
        <v>0</v>
      </c>
      <c r="BL265" s="277">
        <v>0</v>
      </c>
      <c r="BM265" s="277">
        <v>0</v>
      </c>
      <c r="BN265" s="277">
        <v>0</v>
      </c>
      <c r="BO265" s="277">
        <v>0</v>
      </c>
      <c r="BP265" s="277">
        <v>0</v>
      </c>
      <c r="BQ265" s="277">
        <v>167210</v>
      </c>
      <c r="BR265" s="277">
        <v>37622</v>
      </c>
      <c r="BS265" s="277">
        <v>4180</v>
      </c>
      <c r="BT265" s="277">
        <v>209012</v>
      </c>
      <c r="BU265" s="277">
        <v>675760</v>
      </c>
      <c r="BV265" s="277">
        <v>151767</v>
      </c>
      <c r="BW265" s="277">
        <v>16863</v>
      </c>
      <c r="BX265" s="277">
        <v>844390</v>
      </c>
      <c r="BY265" s="278" t="s">
        <v>446</v>
      </c>
      <c r="BZ265" s="279" t="s">
        <v>1025</v>
      </c>
      <c r="CA265" s="280" t="s">
        <v>1026</v>
      </c>
    </row>
    <row r="266" spans="1:79" ht="12.75">
      <c r="A266" s="169">
        <v>259</v>
      </c>
      <c r="B266" s="172" t="s">
        <v>448</v>
      </c>
      <c r="C266" s="258" t="s">
        <v>449</v>
      </c>
      <c r="D266" s="277">
        <v>45230731</v>
      </c>
      <c r="E266" s="277">
        <v>18238</v>
      </c>
      <c r="F266" s="277">
        <v>0</v>
      </c>
      <c r="G266" s="277">
        <v>112556</v>
      </c>
      <c r="H266" s="277">
        <v>0</v>
      </c>
      <c r="I266" s="277">
        <v>112556</v>
      </c>
      <c r="J266" s="277">
        <v>0</v>
      </c>
      <c r="K266" s="277">
        <v>0</v>
      </c>
      <c r="L266" s="277">
        <v>0</v>
      </c>
      <c r="M266" s="277">
        <v>0</v>
      </c>
      <c r="N266" s="277">
        <v>0</v>
      </c>
      <c r="O266" s="277">
        <v>0</v>
      </c>
      <c r="P266" s="277">
        <v>45136413</v>
      </c>
      <c r="Q266" s="277">
        <v>22568207</v>
      </c>
      <c r="R266" s="277">
        <v>18054565</v>
      </c>
      <c r="S266" s="277">
        <v>4513641</v>
      </c>
      <c r="T266" s="277">
        <v>0</v>
      </c>
      <c r="U266" s="277">
        <v>45136413</v>
      </c>
      <c r="V266" s="277">
        <v>0</v>
      </c>
      <c r="W266" s="277">
        <v>22568207</v>
      </c>
      <c r="X266" s="277">
        <v>112556</v>
      </c>
      <c r="Y266" s="277">
        <v>112556</v>
      </c>
      <c r="Z266" s="277">
        <v>0</v>
      </c>
      <c r="AA266" s="277">
        <v>0</v>
      </c>
      <c r="AB266" s="277">
        <v>0</v>
      </c>
      <c r="AC266" s="277">
        <v>0</v>
      </c>
      <c r="AD266" s="277">
        <v>0</v>
      </c>
      <c r="AE266" s="277">
        <v>0</v>
      </c>
      <c r="AF266" s="277">
        <v>0</v>
      </c>
      <c r="AG266" s="277">
        <v>0</v>
      </c>
      <c r="AH266" s="277">
        <v>0</v>
      </c>
      <c r="AI266" s="277">
        <v>0</v>
      </c>
      <c r="AJ266" s="277">
        <v>0</v>
      </c>
      <c r="AK266" s="277">
        <v>0</v>
      </c>
      <c r="AL266" s="277">
        <v>0</v>
      </c>
      <c r="AM266" s="277">
        <v>-1380044.2</v>
      </c>
      <c r="AN266" s="277">
        <v>-1104035.4</v>
      </c>
      <c r="AO266" s="277">
        <v>-276008.85</v>
      </c>
      <c r="AP266" s="277">
        <v>0</v>
      </c>
      <c r="AQ266" s="277">
        <v>-2760088.5</v>
      </c>
      <c r="AR266" s="277">
        <v>21188163</v>
      </c>
      <c r="AS266" s="277">
        <v>17063086</v>
      </c>
      <c r="AT266" s="277">
        <v>4237632</v>
      </c>
      <c r="AU266" s="277">
        <v>0</v>
      </c>
      <c r="AV266" s="277">
        <v>42488881</v>
      </c>
      <c r="AW266" s="277">
        <v>192857</v>
      </c>
      <c r="AX266" s="277">
        <v>47916</v>
      </c>
      <c r="AY266" s="277">
        <v>0</v>
      </c>
      <c r="AZ266" s="277">
        <v>240773</v>
      </c>
      <c r="BA266" s="277">
        <v>162574</v>
      </c>
      <c r="BB266" s="277">
        <v>40644</v>
      </c>
      <c r="BC266" s="277">
        <v>0</v>
      </c>
      <c r="BD266" s="277">
        <v>203218</v>
      </c>
      <c r="BE266" s="277">
        <v>0</v>
      </c>
      <c r="BF266" s="277">
        <v>0</v>
      </c>
      <c r="BG266" s="277">
        <v>0</v>
      </c>
      <c r="BH266" s="277">
        <v>0</v>
      </c>
      <c r="BI266" s="277">
        <v>114240</v>
      </c>
      <c r="BJ266" s="277">
        <v>28560</v>
      </c>
      <c r="BK266" s="277">
        <v>0</v>
      </c>
      <c r="BL266" s="277">
        <v>142800</v>
      </c>
      <c r="BM266" s="277">
        <v>109920</v>
      </c>
      <c r="BN266" s="277">
        <v>27480</v>
      </c>
      <c r="BO266" s="277">
        <v>0</v>
      </c>
      <c r="BP266" s="277">
        <v>137400</v>
      </c>
      <c r="BQ266" s="277">
        <v>157777</v>
      </c>
      <c r="BR266" s="277">
        <v>39444</v>
      </c>
      <c r="BS266" s="277">
        <v>0</v>
      </c>
      <c r="BT266" s="277">
        <v>197221</v>
      </c>
      <c r="BU266" s="277">
        <v>737368</v>
      </c>
      <c r="BV266" s="277">
        <v>184044</v>
      </c>
      <c r="BW266" s="277">
        <v>0</v>
      </c>
      <c r="BX266" s="277">
        <v>921412</v>
      </c>
      <c r="BY266" s="278" t="s">
        <v>448</v>
      </c>
      <c r="BZ266" s="279" t="s">
        <v>1021</v>
      </c>
      <c r="CA266" s="280" t="s">
        <v>984</v>
      </c>
    </row>
    <row r="267" spans="1:79" ht="12.75">
      <c r="A267" s="169">
        <v>260</v>
      </c>
      <c r="B267" s="172" t="s">
        <v>450</v>
      </c>
      <c r="C267" s="258" t="s">
        <v>451</v>
      </c>
      <c r="D267" s="277">
        <v>88575187</v>
      </c>
      <c r="E267" s="277">
        <v>63616</v>
      </c>
      <c r="F267" s="277">
        <v>0</v>
      </c>
      <c r="G267" s="277">
        <v>429803</v>
      </c>
      <c r="H267" s="277">
        <v>0</v>
      </c>
      <c r="I267" s="277">
        <v>429803</v>
      </c>
      <c r="J267" s="277">
        <v>0</v>
      </c>
      <c r="K267" s="277">
        <v>0</v>
      </c>
      <c r="L267" s="277">
        <v>0</v>
      </c>
      <c r="M267" s="277">
        <v>0</v>
      </c>
      <c r="N267" s="277">
        <v>0</v>
      </c>
      <c r="O267" s="277">
        <v>0</v>
      </c>
      <c r="P267" s="277">
        <v>88209000</v>
      </c>
      <c r="Q267" s="277">
        <v>44104500</v>
      </c>
      <c r="R267" s="277">
        <v>43222410</v>
      </c>
      <c r="S267" s="277">
        <v>0</v>
      </c>
      <c r="T267" s="277">
        <v>882090</v>
      </c>
      <c r="U267" s="277">
        <v>88209000</v>
      </c>
      <c r="V267" s="277">
        <v>0</v>
      </c>
      <c r="W267" s="277">
        <v>44104500</v>
      </c>
      <c r="X267" s="277">
        <v>429803</v>
      </c>
      <c r="Y267" s="277">
        <v>429803</v>
      </c>
      <c r="Z267" s="277">
        <v>0</v>
      </c>
      <c r="AA267" s="277">
        <v>0</v>
      </c>
      <c r="AB267" s="277">
        <v>0</v>
      </c>
      <c r="AC267" s="277">
        <v>0</v>
      </c>
      <c r="AD267" s="277">
        <v>0</v>
      </c>
      <c r="AE267" s="277">
        <v>0</v>
      </c>
      <c r="AF267" s="277">
        <v>0</v>
      </c>
      <c r="AG267" s="277">
        <v>0</v>
      </c>
      <c r="AH267" s="277">
        <v>0</v>
      </c>
      <c r="AI267" s="277">
        <v>0</v>
      </c>
      <c r="AJ267" s="277">
        <v>0</v>
      </c>
      <c r="AK267" s="277">
        <v>0</v>
      </c>
      <c r="AL267" s="277">
        <v>0</v>
      </c>
      <c r="AM267" s="277">
        <v>-1455056</v>
      </c>
      <c r="AN267" s="277">
        <v>-1425954.9</v>
      </c>
      <c r="AO267" s="277">
        <v>0</v>
      </c>
      <c r="AP267" s="277">
        <v>-29101.12</v>
      </c>
      <c r="AQ267" s="277">
        <v>-2910112</v>
      </c>
      <c r="AR267" s="277">
        <v>42649444</v>
      </c>
      <c r="AS267" s="277">
        <v>42226258</v>
      </c>
      <c r="AT267" s="277">
        <v>0</v>
      </c>
      <c r="AU267" s="277">
        <v>852989</v>
      </c>
      <c r="AV267" s="277">
        <v>85728691</v>
      </c>
      <c r="AW267" s="277">
        <v>463399</v>
      </c>
      <c r="AX267" s="277">
        <v>0</v>
      </c>
      <c r="AY267" s="277">
        <v>9364</v>
      </c>
      <c r="AZ267" s="277">
        <v>472763</v>
      </c>
      <c r="BA267" s="277">
        <v>1500000</v>
      </c>
      <c r="BB267" s="277">
        <v>0</v>
      </c>
      <c r="BC267" s="277">
        <v>30612</v>
      </c>
      <c r="BD267" s="277">
        <v>1530612</v>
      </c>
      <c r="BE267" s="277">
        <v>0</v>
      </c>
      <c r="BF267" s="277">
        <v>0</v>
      </c>
      <c r="BG267" s="277">
        <v>0</v>
      </c>
      <c r="BH267" s="277">
        <v>0</v>
      </c>
      <c r="BI267" s="277">
        <v>0</v>
      </c>
      <c r="BJ267" s="277">
        <v>0</v>
      </c>
      <c r="BK267" s="277">
        <v>0</v>
      </c>
      <c r="BL267" s="277">
        <v>0</v>
      </c>
      <c r="BM267" s="277">
        <v>0</v>
      </c>
      <c r="BN267" s="277">
        <v>0</v>
      </c>
      <c r="BO267" s="277">
        <v>0</v>
      </c>
      <c r="BP267" s="277">
        <v>0</v>
      </c>
      <c r="BQ267" s="277">
        <v>1150848</v>
      </c>
      <c r="BR267" s="277">
        <v>0</v>
      </c>
      <c r="BS267" s="277">
        <v>23487</v>
      </c>
      <c r="BT267" s="277">
        <v>1174335</v>
      </c>
      <c r="BU267" s="277">
        <v>3114247</v>
      </c>
      <c r="BV267" s="277">
        <v>0</v>
      </c>
      <c r="BW267" s="277">
        <v>63463</v>
      </c>
      <c r="BX267" s="277">
        <v>3177710</v>
      </c>
      <c r="BY267" s="278" t="s">
        <v>450</v>
      </c>
      <c r="BZ267" s="279" t="s">
        <v>996</v>
      </c>
      <c r="CA267" s="280" t="s">
        <v>1010</v>
      </c>
    </row>
    <row r="268" spans="1:79" ht="12.75">
      <c r="A268" s="169">
        <v>261</v>
      </c>
      <c r="B268" s="172" t="s">
        <v>452</v>
      </c>
      <c r="C268" s="258" t="s">
        <v>453</v>
      </c>
      <c r="D268" s="277">
        <v>80309364</v>
      </c>
      <c r="E268" s="277">
        <v>1648</v>
      </c>
      <c r="F268" s="277">
        <v>0</v>
      </c>
      <c r="G268" s="277">
        <v>238978</v>
      </c>
      <c r="H268" s="277">
        <v>0</v>
      </c>
      <c r="I268" s="277">
        <v>238978</v>
      </c>
      <c r="J268" s="277">
        <v>0</v>
      </c>
      <c r="K268" s="277">
        <v>906439</v>
      </c>
      <c r="L268" s="277">
        <v>0</v>
      </c>
      <c r="M268" s="277">
        <v>0</v>
      </c>
      <c r="N268" s="277">
        <v>0</v>
      </c>
      <c r="O268" s="277">
        <v>0</v>
      </c>
      <c r="P268" s="277">
        <v>79165595</v>
      </c>
      <c r="Q268" s="277">
        <v>39582797</v>
      </c>
      <c r="R268" s="277">
        <v>38791142</v>
      </c>
      <c r="S268" s="277">
        <v>0</v>
      </c>
      <c r="T268" s="277">
        <v>791656</v>
      </c>
      <c r="U268" s="277">
        <v>79165595</v>
      </c>
      <c r="V268" s="277">
        <v>82112.5</v>
      </c>
      <c r="W268" s="277">
        <v>39500684.5</v>
      </c>
      <c r="X268" s="277">
        <v>238978</v>
      </c>
      <c r="Y268" s="277">
        <v>238978</v>
      </c>
      <c r="Z268" s="277">
        <v>906439</v>
      </c>
      <c r="AA268" s="277">
        <v>906439</v>
      </c>
      <c r="AB268" s="277">
        <v>0</v>
      </c>
      <c r="AC268" s="277">
        <v>0</v>
      </c>
      <c r="AD268" s="277">
        <v>0</v>
      </c>
      <c r="AE268" s="277">
        <v>0</v>
      </c>
      <c r="AF268" s="277">
        <v>0</v>
      </c>
      <c r="AG268" s="277">
        <v>81391.5</v>
      </c>
      <c r="AH268" s="277">
        <v>0</v>
      </c>
      <c r="AI268" s="277">
        <v>721</v>
      </c>
      <c r="AJ268" s="277">
        <v>82112.5</v>
      </c>
      <c r="AK268" s="277">
        <v>0</v>
      </c>
      <c r="AL268" s="277">
        <v>0</v>
      </c>
      <c r="AM268" s="277">
        <v>-283147</v>
      </c>
      <c r="AN268" s="277">
        <v>-277484.06</v>
      </c>
      <c r="AO268" s="277">
        <v>0</v>
      </c>
      <c r="AP268" s="277">
        <v>-5662.94</v>
      </c>
      <c r="AQ268" s="277">
        <v>-566294</v>
      </c>
      <c r="AR268" s="277">
        <v>39217538</v>
      </c>
      <c r="AS268" s="277">
        <v>39740466</v>
      </c>
      <c r="AT268" s="277">
        <v>0</v>
      </c>
      <c r="AU268" s="277">
        <v>786714</v>
      </c>
      <c r="AV268" s="277">
        <v>79744718</v>
      </c>
      <c r="AW268" s="277">
        <v>424819</v>
      </c>
      <c r="AX268" s="277">
        <v>0</v>
      </c>
      <c r="AY268" s="277">
        <v>8412</v>
      </c>
      <c r="AZ268" s="277">
        <v>433231</v>
      </c>
      <c r="BA268" s="277">
        <v>639165</v>
      </c>
      <c r="BB268" s="277">
        <v>0</v>
      </c>
      <c r="BC268" s="277">
        <v>13044</v>
      </c>
      <c r="BD268" s="277">
        <v>652209</v>
      </c>
      <c r="BE268" s="277">
        <v>50818</v>
      </c>
      <c r="BF268" s="277">
        <v>0</v>
      </c>
      <c r="BG268" s="277">
        <v>1037</v>
      </c>
      <c r="BH268" s="277">
        <v>51855</v>
      </c>
      <c r="BI268" s="277">
        <v>0</v>
      </c>
      <c r="BJ268" s="277">
        <v>0</v>
      </c>
      <c r="BK268" s="277">
        <v>0</v>
      </c>
      <c r="BL268" s="277">
        <v>0</v>
      </c>
      <c r="BM268" s="277">
        <v>277625</v>
      </c>
      <c r="BN268" s="277">
        <v>0</v>
      </c>
      <c r="BO268" s="277">
        <v>5666</v>
      </c>
      <c r="BP268" s="277">
        <v>283291</v>
      </c>
      <c r="BQ268" s="277">
        <v>742803</v>
      </c>
      <c r="BR268" s="277">
        <v>0</v>
      </c>
      <c r="BS268" s="277">
        <v>15159</v>
      </c>
      <c r="BT268" s="277">
        <v>757962</v>
      </c>
      <c r="BU268" s="277">
        <v>2135230</v>
      </c>
      <c r="BV268" s="277">
        <v>0</v>
      </c>
      <c r="BW268" s="277">
        <v>43318</v>
      </c>
      <c r="BX268" s="277">
        <v>2178548</v>
      </c>
      <c r="BY268" s="278" t="s">
        <v>921</v>
      </c>
      <c r="BZ268" s="279" t="s">
        <v>1003</v>
      </c>
      <c r="CA268" s="280" t="s">
        <v>1042</v>
      </c>
    </row>
    <row r="269" spans="1:79" ht="12.75">
      <c r="A269" s="169">
        <v>262</v>
      </c>
      <c r="B269" s="172" t="s">
        <v>454</v>
      </c>
      <c r="C269" s="258" t="s">
        <v>455</v>
      </c>
      <c r="D269" s="277">
        <v>81992431</v>
      </c>
      <c r="E269" s="277">
        <v>53460</v>
      </c>
      <c r="F269" s="277">
        <v>0</v>
      </c>
      <c r="G269" s="277">
        <v>365172</v>
      </c>
      <c r="H269" s="277">
        <v>0</v>
      </c>
      <c r="I269" s="277">
        <v>365172</v>
      </c>
      <c r="J269" s="277">
        <v>0</v>
      </c>
      <c r="K269" s="277">
        <v>0</v>
      </c>
      <c r="L269" s="277">
        <v>0</v>
      </c>
      <c r="M269" s="277">
        <v>0</v>
      </c>
      <c r="N269" s="277">
        <v>0</v>
      </c>
      <c r="O269" s="277">
        <v>0</v>
      </c>
      <c r="P269" s="277">
        <v>81680719</v>
      </c>
      <c r="Q269" s="277">
        <v>40840360</v>
      </c>
      <c r="R269" s="277">
        <v>40023552</v>
      </c>
      <c r="S269" s="277">
        <v>0</v>
      </c>
      <c r="T269" s="277">
        <v>816807</v>
      </c>
      <c r="U269" s="277">
        <v>81680719</v>
      </c>
      <c r="V269" s="277">
        <v>0</v>
      </c>
      <c r="W269" s="277">
        <v>40840360</v>
      </c>
      <c r="X269" s="277">
        <v>365172</v>
      </c>
      <c r="Y269" s="277">
        <v>365172</v>
      </c>
      <c r="Z269" s="277">
        <v>0</v>
      </c>
      <c r="AA269" s="277">
        <v>0</v>
      </c>
      <c r="AB269" s="277">
        <v>0</v>
      </c>
      <c r="AC269" s="277">
        <v>0</v>
      </c>
      <c r="AD269" s="277">
        <v>0</v>
      </c>
      <c r="AE269" s="277">
        <v>0</v>
      </c>
      <c r="AF269" s="277">
        <v>0</v>
      </c>
      <c r="AG269" s="277">
        <v>0</v>
      </c>
      <c r="AH269" s="277">
        <v>0</v>
      </c>
      <c r="AI269" s="277">
        <v>0</v>
      </c>
      <c r="AJ269" s="277">
        <v>0</v>
      </c>
      <c r="AK269" s="277">
        <v>0</v>
      </c>
      <c r="AL269" s="277">
        <v>0</v>
      </c>
      <c r="AM269" s="277">
        <v>616</v>
      </c>
      <c r="AN269" s="277">
        <v>604</v>
      </c>
      <c r="AO269" s="277">
        <v>0</v>
      </c>
      <c r="AP269" s="277">
        <v>12</v>
      </c>
      <c r="AQ269" s="277">
        <v>1232</v>
      </c>
      <c r="AR269" s="277">
        <v>40840976</v>
      </c>
      <c r="AS269" s="277">
        <v>40389328</v>
      </c>
      <c r="AT269" s="277">
        <v>0</v>
      </c>
      <c r="AU269" s="277">
        <v>816819</v>
      </c>
      <c r="AV269" s="277">
        <v>82047123</v>
      </c>
      <c r="AW269" s="277">
        <v>428755</v>
      </c>
      <c r="AX269" s="277">
        <v>0</v>
      </c>
      <c r="AY269" s="277">
        <v>8671</v>
      </c>
      <c r="AZ269" s="277">
        <v>437426</v>
      </c>
      <c r="BA269" s="277">
        <v>1407058</v>
      </c>
      <c r="BB269" s="277">
        <v>0</v>
      </c>
      <c r="BC269" s="277">
        <v>28715</v>
      </c>
      <c r="BD269" s="277">
        <v>1435773</v>
      </c>
      <c r="BE269" s="277">
        <v>3961</v>
      </c>
      <c r="BF269" s="277">
        <v>0</v>
      </c>
      <c r="BG269" s="277">
        <v>81</v>
      </c>
      <c r="BH269" s="277">
        <v>4042</v>
      </c>
      <c r="BI269" s="277">
        <v>0</v>
      </c>
      <c r="BJ269" s="277">
        <v>0</v>
      </c>
      <c r="BK269" s="277">
        <v>0</v>
      </c>
      <c r="BL269" s="277">
        <v>0</v>
      </c>
      <c r="BM269" s="277">
        <v>36645</v>
      </c>
      <c r="BN269" s="277">
        <v>0</v>
      </c>
      <c r="BO269" s="277">
        <v>748</v>
      </c>
      <c r="BP269" s="277">
        <v>37393</v>
      </c>
      <c r="BQ269" s="277">
        <v>408541</v>
      </c>
      <c r="BR269" s="277">
        <v>0</v>
      </c>
      <c r="BS269" s="277">
        <v>8338</v>
      </c>
      <c r="BT269" s="277">
        <v>416879</v>
      </c>
      <c r="BU269" s="277">
        <v>2284960</v>
      </c>
      <c r="BV269" s="277">
        <v>0</v>
      </c>
      <c r="BW269" s="277">
        <v>46553</v>
      </c>
      <c r="BX269" s="277">
        <v>2331513</v>
      </c>
      <c r="BY269" s="278" t="s">
        <v>922</v>
      </c>
      <c r="BZ269" s="279" t="s">
        <v>1003</v>
      </c>
      <c r="CA269" s="280" t="s">
        <v>1026</v>
      </c>
    </row>
    <row r="270" spans="1:79" ht="12.75">
      <c r="A270" s="169">
        <v>263</v>
      </c>
      <c r="B270" s="172" t="s">
        <v>456</v>
      </c>
      <c r="C270" s="258" t="s">
        <v>457</v>
      </c>
      <c r="D270" s="277">
        <v>52713936.6</v>
      </c>
      <c r="E270" s="277">
        <v>56698.41</v>
      </c>
      <c r="F270" s="277">
        <v>0</v>
      </c>
      <c r="G270" s="277">
        <v>218813</v>
      </c>
      <c r="H270" s="277">
        <v>0</v>
      </c>
      <c r="I270" s="277">
        <v>218813</v>
      </c>
      <c r="J270" s="277">
        <v>0</v>
      </c>
      <c r="K270" s="277">
        <v>0</v>
      </c>
      <c r="L270" s="277">
        <v>0</v>
      </c>
      <c r="M270" s="277">
        <v>0</v>
      </c>
      <c r="N270" s="277">
        <v>0</v>
      </c>
      <c r="O270" s="277">
        <v>0</v>
      </c>
      <c r="P270" s="277">
        <v>52551822</v>
      </c>
      <c r="Q270" s="277">
        <v>26275911</v>
      </c>
      <c r="R270" s="277">
        <v>21020729</v>
      </c>
      <c r="S270" s="277">
        <v>5255182</v>
      </c>
      <c r="T270" s="277">
        <v>0</v>
      </c>
      <c r="U270" s="277">
        <v>52551822</v>
      </c>
      <c r="V270" s="277">
        <v>0</v>
      </c>
      <c r="W270" s="277">
        <v>26275911</v>
      </c>
      <c r="X270" s="277">
        <v>218813</v>
      </c>
      <c r="Y270" s="277">
        <v>218813</v>
      </c>
      <c r="Z270" s="277">
        <v>0</v>
      </c>
      <c r="AA270" s="277">
        <v>0</v>
      </c>
      <c r="AB270" s="277">
        <v>0</v>
      </c>
      <c r="AC270" s="277">
        <v>0</v>
      </c>
      <c r="AD270" s="277">
        <v>0</v>
      </c>
      <c r="AE270" s="277">
        <v>0</v>
      </c>
      <c r="AF270" s="277">
        <v>0</v>
      </c>
      <c r="AG270" s="277">
        <v>0</v>
      </c>
      <c r="AH270" s="277">
        <v>0</v>
      </c>
      <c r="AI270" s="277">
        <v>0</v>
      </c>
      <c r="AJ270" s="277">
        <v>0</v>
      </c>
      <c r="AK270" s="277">
        <v>0</v>
      </c>
      <c r="AL270" s="277">
        <v>0</v>
      </c>
      <c r="AM270" s="277">
        <v>-208354</v>
      </c>
      <c r="AN270" s="277">
        <v>-166683.2</v>
      </c>
      <c r="AO270" s="277">
        <v>-41670.8</v>
      </c>
      <c r="AP270" s="277">
        <v>0</v>
      </c>
      <c r="AQ270" s="277">
        <v>-416708</v>
      </c>
      <c r="AR270" s="277">
        <v>26067557</v>
      </c>
      <c r="AS270" s="277">
        <v>21072859</v>
      </c>
      <c r="AT270" s="277">
        <v>5213511</v>
      </c>
      <c r="AU270" s="277">
        <v>0</v>
      </c>
      <c r="AV270" s="277">
        <v>52353927</v>
      </c>
      <c r="AW270" s="277">
        <v>225473</v>
      </c>
      <c r="AX270" s="277">
        <v>55787</v>
      </c>
      <c r="AY270" s="277">
        <v>0</v>
      </c>
      <c r="AZ270" s="277">
        <v>281260</v>
      </c>
      <c r="BA270" s="277">
        <v>647338</v>
      </c>
      <c r="BB270" s="277">
        <v>161834</v>
      </c>
      <c r="BC270" s="277">
        <v>0</v>
      </c>
      <c r="BD270" s="277">
        <v>809172</v>
      </c>
      <c r="BE270" s="277">
        <v>0</v>
      </c>
      <c r="BF270" s="277">
        <v>0</v>
      </c>
      <c r="BG270" s="277">
        <v>0</v>
      </c>
      <c r="BH270" s="277">
        <v>0</v>
      </c>
      <c r="BI270" s="277">
        <v>0</v>
      </c>
      <c r="BJ270" s="277">
        <v>0</v>
      </c>
      <c r="BK270" s="277">
        <v>0</v>
      </c>
      <c r="BL270" s="277">
        <v>0</v>
      </c>
      <c r="BM270" s="277">
        <v>0</v>
      </c>
      <c r="BN270" s="277">
        <v>0</v>
      </c>
      <c r="BO270" s="277">
        <v>0</v>
      </c>
      <c r="BP270" s="277">
        <v>0</v>
      </c>
      <c r="BQ270" s="277">
        <v>296717</v>
      </c>
      <c r="BR270" s="277">
        <v>74179</v>
      </c>
      <c r="BS270" s="277">
        <v>0</v>
      </c>
      <c r="BT270" s="277">
        <v>370896</v>
      </c>
      <c r="BU270" s="277">
        <v>1169528</v>
      </c>
      <c r="BV270" s="277">
        <v>291800</v>
      </c>
      <c r="BW270" s="277">
        <v>0</v>
      </c>
      <c r="BX270" s="277">
        <v>1461328</v>
      </c>
      <c r="BY270" s="278" t="s">
        <v>456</v>
      </c>
      <c r="BZ270" s="279" t="s">
        <v>1049</v>
      </c>
      <c r="CA270" s="280" t="s">
        <v>984</v>
      </c>
    </row>
    <row r="271" spans="1:79" ht="12.75">
      <c r="A271" s="169">
        <v>264</v>
      </c>
      <c r="B271" s="172" t="s">
        <v>458</v>
      </c>
      <c r="C271" s="258" t="s">
        <v>459</v>
      </c>
      <c r="D271" s="277">
        <v>25148893</v>
      </c>
      <c r="E271" s="277">
        <v>30001</v>
      </c>
      <c r="F271" s="277">
        <v>0</v>
      </c>
      <c r="G271" s="277">
        <v>156641</v>
      </c>
      <c r="H271" s="277">
        <v>0</v>
      </c>
      <c r="I271" s="277">
        <v>156641</v>
      </c>
      <c r="J271" s="277">
        <v>0</v>
      </c>
      <c r="K271" s="277">
        <v>0</v>
      </c>
      <c r="L271" s="277">
        <v>0</v>
      </c>
      <c r="M271" s="277">
        <v>0</v>
      </c>
      <c r="N271" s="277">
        <v>0</v>
      </c>
      <c r="O271" s="277">
        <v>0</v>
      </c>
      <c r="P271" s="277">
        <v>25022253</v>
      </c>
      <c r="Q271" s="277">
        <v>12511127</v>
      </c>
      <c r="R271" s="277">
        <v>10008901</v>
      </c>
      <c r="S271" s="277">
        <v>2502225</v>
      </c>
      <c r="T271" s="277">
        <v>0</v>
      </c>
      <c r="U271" s="277">
        <v>25022253</v>
      </c>
      <c r="V271" s="277">
        <v>0</v>
      </c>
      <c r="W271" s="277">
        <v>12511127</v>
      </c>
      <c r="X271" s="277">
        <v>156641</v>
      </c>
      <c r="Y271" s="277">
        <v>156641</v>
      </c>
      <c r="Z271" s="277">
        <v>0</v>
      </c>
      <c r="AA271" s="277">
        <v>0</v>
      </c>
      <c r="AB271" s="277">
        <v>0</v>
      </c>
      <c r="AC271" s="277">
        <v>0</v>
      </c>
      <c r="AD271" s="277">
        <v>0</v>
      </c>
      <c r="AE271" s="277">
        <v>0</v>
      </c>
      <c r="AF271" s="277">
        <v>0</v>
      </c>
      <c r="AG271" s="277">
        <v>0</v>
      </c>
      <c r="AH271" s="277">
        <v>0</v>
      </c>
      <c r="AI271" s="277">
        <v>0</v>
      </c>
      <c r="AJ271" s="277">
        <v>0</v>
      </c>
      <c r="AK271" s="277">
        <v>0</v>
      </c>
      <c r="AL271" s="277">
        <v>0</v>
      </c>
      <c r="AM271" s="277">
        <v>-88398.62</v>
      </c>
      <c r="AN271" s="277">
        <v>-70718.9</v>
      </c>
      <c r="AO271" s="277">
        <v>-17679.72</v>
      </c>
      <c r="AP271" s="277">
        <v>0</v>
      </c>
      <c r="AQ271" s="277">
        <v>-176797.24</v>
      </c>
      <c r="AR271" s="277">
        <v>12422728</v>
      </c>
      <c r="AS271" s="277">
        <v>10094823</v>
      </c>
      <c r="AT271" s="277">
        <v>2484545</v>
      </c>
      <c r="AU271" s="277">
        <v>0</v>
      </c>
      <c r="AV271" s="277">
        <v>25002097</v>
      </c>
      <c r="AW271" s="277">
        <v>107914</v>
      </c>
      <c r="AX271" s="277">
        <v>26563</v>
      </c>
      <c r="AY271" s="277">
        <v>0</v>
      </c>
      <c r="AZ271" s="277">
        <v>134477</v>
      </c>
      <c r="BA271" s="277">
        <v>409683</v>
      </c>
      <c r="BB271" s="277">
        <v>102421</v>
      </c>
      <c r="BC271" s="277">
        <v>0</v>
      </c>
      <c r="BD271" s="277">
        <v>512104</v>
      </c>
      <c r="BE271" s="277">
        <v>5659</v>
      </c>
      <c r="BF271" s="277">
        <v>1415</v>
      </c>
      <c r="BG271" s="277">
        <v>0</v>
      </c>
      <c r="BH271" s="277">
        <v>7074</v>
      </c>
      <c r="BI271" s="277">
        <v>0</v>
      </c>
      <c r="BJ271" s="277">
        <v>0</v>
      </c>
      <c r="BK271" s="277">
        <v>0</v>
      </c>
      <c r="BL271" s="277">
        <v>0</v>
      </c>
      <c r="BM271" s="277">
        <v>20212</v>
      </c>
      <c r="BN271" s="277">
        <v>5053</v>
      </c>
      <c r="BO271" s="277">
        <v>0</v>
      </c>
      <c r="BP271" s="277">
        <v>25265</v>
      </c>
      <c r="BQ271" s="277">
        <v>222335</v>
      </c>
      <c r="BR271" s="277">
        <v>55584</v>
      </c>
      <c r="BS271" s="277">
        <v>0</v>
      </c>
      <c r="BT271" s="277">
        <v>277919</v>
      </c>
      <c r="BU271" s="277">
        <v>765803</v>
      </c>
      <c r="BV271" s="277">
        <v>191036</v>
      </c>
      <c r="BW271" s="277">
        <v>0</v>
      </c>
      <c r="BX271" s="277">
        <v>956839</v>
      </c>
      <c r="BY271" s="278" t="s">
        <v>458</v>
      </c>
      <c r="BZ271" s="279" t="s">
        <v>1027</v>
      </c>
      <c r="CA271" s="280" t="s">
        <v>984</v>
      </c>
    </row>
    <row r="272" spans="1:79" ht="12.75">
      <c r="A272" s="169">
        <v>265</v>
      </c>
      <c r="B272" s="172" t="s">
        <v>460</v>
      </c>
      <c r="C272" s="258" t="s">
        <v>461</v>
      </c>
      <c r="D272" s="277">
        <v>44788058.8</v>
      </c>
      <c r="E272" s="277">
        <v>16980747.6</v>
      </c>
      <c r="F272" s="277">
        <v>0</v>
      </c>
      <c r="G272" s="277">
        <v>278728</v>
      </c>
      <c r="H272" s="277">
        <v>0</v>
      </c>
      <c r="I272" s="277">
        <v>278728</v>
      </c>
      <c r="J272" s="277">
        <v>0</v>
      </c>
      <c r="K272" s="277">
        <v>0</v>
      </c>
      <c r="L272" s="277">
        <v>0</v>
      </c>
      <c r="M272" s="277">
        <v>0</v>
      </c>
      <c r="N272" s="277">
        <v>0</v>
      </c>
      <c r="O272" s="277">
        <v>0</v>
      </c>
      <c r="P272" s="277">
        <v>61490078.4</v>
      </c>
      <c r="Q272" s="277">
        <v>30745039.4</v>
      </c>
      <c r="R272" s="277">
        <v>24596031</v>
      </c>
      <c r="S272" s="277">
        <v>6149008</v>
      </c>
      <c r="T272" s="277">
        <v>0</v>
      </c>
      <c r="U272" s="277">
        <v>61490078</v>
      </c>
      <c r="V272" s="277">
        <v>0</v>
      </c>
      <c r="W272" s="277">
        <v>30745039.4</v>
      </c>
      <c r="X272" s="277">
        <v>278728</v>
      </c>
      <c r="Y272" s="277">
        <v>278728</v>
      </c>
      <c r="Z272" s="277">
        <v>0</v>
      </c>
      <c r="AA272" s="277">
        <v>0</v>
      </c>
      <c r="AB272" s="277">
        <v>0</v>
      </c>
      <c r="AC272" s="277">
        <v>0</v>
      </c>
      <c r="AD272" s="277">
        <v>0</v>
      </c>
      <c r="AE272" s="277">
        <v>0</v>
      </c>
      <c r="AF272" s="277">
        <v>0</v>
      </c>
      <c r="AG272" s="277">
        <v>0</v>
      </c>
      <c r="AH272" s="277">
        <v>0</v>
      </c>
      <c r="AI272" s="277">
        <v>0</v>
      </c>
      <c r="AJ272" s="277">
        <v>0</v>
      </c>
      <c r="AK272" s="277">
        <v>0</v>
      </c>
      <c r="AL272" s="277">
        <v>0</v>
      </c>
      <c r="AM272" s="277">
        <v>-5612403</v>
      </c>
      <c r="AN272" s="277">
        <v>-4489922.4</v>
      </c>
      <c r="AO272" s="277">
        <v>-1122480.6</v>
      </c>
      <c r="AP272" s="277">
        <v>0</v>
      </c>
      <c r="AQ272" s="277">
        <v>-11224806</v>
      </c>
      <c r="AR272" s="277">
        <v>25132636</v>
      </c>
      <c r="AS272" s="277">
        <v>20384837</v>
      </c>
      <c r="AT272" s="277">
        <v>5026527</v>
      </c>
      <c r="AU272" s="277">
        <v>0</v>
      </c>
      <c r="AV272" s="277">
        <v>50544000</v>
      </c>
      <c r="AW272" s="277">
        <v>264063</v>
      </c>
      <c r="AX272" s="277">
        <v>65276</v>
      </c>
      <c r="AY272" s="277">
        <v>0</v>
      </c>
      <c r="AZ272" s="277">
        <v>329339</v>
      </c>
      <c r="BA272" s="277">
        <v>687013</v>
      </c>
      <c r="BB272" s="277">
        <v>171753</v>
      </c>
      <c r="BC272" s="277">
        <v>0</v>
      </c>
      <c r="BD272" s="277">
        <v>858766</v>
      </c>
      <c r="BE272" s="277">
        <v>0</v>
      </c>
      <c r="BF272" s="277">
        <v>0</v>
      </c>
      <c r="BG272" s="277">
        <v>0</v>
      </c>
      <c r="BH272" s="277">
        <v>0</v>
      </c>
      <c r="BI272" s="277">
        <v>0</v>
      </c>
      <c r="BJ272" s="277">
        <v>0</v>
      </c>
      <c r="BK272" s="277">
        <v>0</v>
      </c>
      <c r="BL272" s="277">
        <v>0</v>
      </c>
      <c r="BM272" s="277">
        <v>14914</v>
      </c>
      <c r="BN272" s="277">
        <v>3728</v>
      </c>
      <c r="BO272" s="277">
        <v>0</v>
      </c>
      <c r="BP272" s="277">
        <v>18642</v>
      </c>
      <c r="BQ272" s="277">
        <v>243593</v>
      </c>
      <c r="BR272" s="277">
        <v>60898</v>
      </c>
      <c r="BS272" s="277">
        <v>0</v>
      </c>
      <c r="BT272" s="277">
        <v>304491</v>
      </c>
      <c r="BU272" s="277">
        <v>1209583</v>
      </c>
      <c r="BV272" s="277">
        <v>301655</v>
      </c>
      <c r="BW272" s="277">
        <v>0</v>
      </c>
      <c r="BX272" s="277">
        <v>1511238</v>
      </c>
      <c r="BY272" s="278" t="s">
        <v>460</v>
      </c>
      <c r="BZ272" s="279" t="s">
        <v>994</v>
      </c>
      <c r="CA272" s="280" t="s">
        <v>984</v>
      </c>
    </row>
    <row r="273" spans="1:79" ht="12.75">
      <c r="A273" s="169">
        <v>266</v>
      </c>
      <c r="B273" s="172" t="s">
        <v>462</v>
      </c>
      <c r="C273" s="258" t="s">
        <v>463</v>
      </c>
      <c r="D273" s="277">
        <v>83709240</v>
      </c>
      <c r="E273" s="277">
        <v>81095</v>
      </c>
      <c r="F273" s="277">
        <v>0</v>
      </c>
      <c r="G273" s="277">
        <v>333613</v>
      </c>
      <c r="H273" s="277">
        <v>0</v>
      </c>
      <c r="I273" s="277">
        <v>333613</v>
      </c>
      <c r="J273" s="277">
        <v>0</v>
      </c>
      <c r="K273" s="277">
        <v>705287</v>
      </c>
      <c r="L273" s="277">
        <v>0</v>
      </c>
      <c r="M273" s="277">
        <v>0</v>
      </c>
      <c r="N273" s="277">
        <v>0</v>
      </c>
      <c r="O273" s="277">
        <v>0</v>
      </c>
      <c r="P273" s="277">
        <v>82751435</v>
      </c>
      <c r="Q273" s="277">
        <v>41375718</v>
      </c>
      <c r="R273" s="277">
        <v>40548203</v>
      </c>
      <c r="S273" s="277">
        <v>0</v>
      </c>
      <c r="T273" s="277">
        <v>827514</v>
      </c>
      <c r="U273" s="277">
        <v>82751435</v>
      </c>
      <c r="V273" s="277">
        <v>16870</v>
      </c>
      <c r="W273" s="277">
        <v>41358848</v>
      </c>
      <c r="X273" s="277">
        <v>333613</v>
      </c>
      <c r="Y273" s="277">
        <v>333613</v>
      </c>
      <c r="Z273" s="277">
        <v>705287</v>
      </c>
      <c r="AA273" s="277">
        <v>705287</v>
      </c>
      <c r="AB273" s="277">
        <v>0</v>
      </c>
      <c r="AC273" s="277">
        <v>0</v>
      </c>
      <c r="AD273" s="277">
        <v>0</v>
      </c>
      <c r="AE273" s="277">
        <v>0</v>
      </c>
      <c r="AF273" s="277">
        <v>0</v>
      </c>
      <c r="AG273" s="277">
        <v>16533</v>
      </c>
      <c r="AH273" s="277">
        <v>0</v>
      </c>
      <c r="AI273" s="277">
        <v>337</v>
      </c>
      <c r="AJ273" s="277">
        <v>16870</v>
      </c>
      <c r="AK273" s="277">
        <v>0</v>
      </c>
      <c r="AL273" s="277">
        <v>0</v>
      </c>
      <c r="AM273" s="277">
        <v>-1578238.5</v>
      </c>
      <c r="AN273" s="277">
        <v>-1546673.7</v>
      </c>
      <c r="AO273" s="277">
        <v>0</v>
      </c>
      <c r="AP273" s="277">
        <v>-31564.77</v>
      </c>
      <c r="AQ273" s="277">
        <v>-3156477</v>
      </c>
      <c r="AR273" s="277">
        <v>39780610</v>
      </c>
      <c r="AS273" s="277">
        <v>40056962</v>
      </c>
      <c r="AT273" s="277">
        <v>0</v>
      </c>
      <c r="AU273" s="277">
        <v>796286</v>
      </c>
      <c r="AV273" s="277">
        <v>80633858</v>
      </c>
      <c r="AW273" s="277">
        <v>441652</v>
      </c>
      <c r="AX273" s="277">
        <v>0</v>
      </c>
      <c r="AY273" s="277">
        <v>8788</v>
      </c>
      <c r="AZ273" s="277">
        <v>450440</v>
      </c>
      <c r="BA273" s="277">
        <v>1036276</v>
      </c>
      <c r="BB273" s="277">
        <v>0</v>
      </c>
      <c r="BC273" s="277">
        <v>21148</v>
      </c>
      <c r="BD273" s="277">
        <v>1057424</v>
      </c>
      <c r="BE273" s="277">
        <v>27454</v>
      </c>
      <c r="BF273" s="277">
        <v>0</v>
      </c>
      <c r="BG273" s="277">
        <v>560</v>
      </c>
      <c r="BH273" s="277">
        <v>28014</v>
      </c>
      <c r="BI273" s="277">
        <v>0</v>
      </c>
      <c r="BJ273" s="277">
        <v>0</v>
      </c>
      <c r="BK273" s="277">
        <v>0</v>
      </c>
      <c r="BL273" s="277">
        <v>0</v>
      </c>
      <c r="BM273" s="277">
        <v>32994</v>
      </c>
      <c r="BN273" s="277">
        <v>0</v>
      </c>
      <c r="BO273" s="277">
        <v>673</v>
      </c>
      <c r="BP273" s="277">
        <v>33667</v>
      </c>
      <c r="BQ273" s="277">
        <v>361497</v>
      </c>
      <c r="BR273" s="277">
        <v>0</v>
      </c>
      <c r="BS273" s="277">
        <v>7378</v>
      </c>
      <c r="BT273" s="277">
        <v>368875</v>
      </c>
      <c r="BU273" s="277">
        <v>1899873</v>
      </c>
      <c r="BV273" s="277">
        <v>0</v>
      </c>
      <c r="BW273" s="277">
        <v>38547</v>
      </c>
      <c r="BX273" s="277">
        <v>1938420</v>
      </c>
      <c r="BY273" s="278" t="s">
        <v>462</v>
      </c>
      <c r="BZ273" s="279" t="s">
        <v>996</v>
      </c>
      <c r="CA273" s="280" t="s">
        <v>1041</v>
      </c>
    </row>
    <row r="274" spans="1:79" ht="12.75">
      <c r="A274" s="169">
        <v>267</v>
      </c>
      <c r="B274" s="172" t="s">
        <v>464</v>
      </c>
      <c r="C274" s="258" t="s">
        <v>465</v>
      </c>
      <c r="D274" s="277">
        <v>33438346</v>
      </c>
      <c r="E274" s="277">
        <v>0</v>
      </c>
      <c r="F274" s="277">
        <v>393193</v>
      </c>
      <c r="G274" s="277">
        <v>121859</v>
      </c>
      <c r="H274" s="277">
        <v>0</v>
      </c>
      <c r="I274" s="277">
        <v>121859</v>
      </c>
      <c r="J274" s="277">
        <v>0</v>
      </c>
      <c r="K274" s="277">
        <v>0</v>
      </c>
      <c r="L274" s="277">
        <v>0</v>
      </c>
      <c r="M274" s="277">
        <v>0</v>
      </c>
      <c r="N274" s="277">
        <v>0</v>
      </c>
      <c r="O274" s="277">
        <v>0</v>
      </c>
      <c r="P274" s="277">
        <v>32923294</v>
      </c>
      <c r="Q274" s="277">
        <v>16461647</v>
      </c>
      <c r="R274" s="277">
        <v>13169318</v>
      </c>
      <c r="S274" s="277">
        <v>3292329</v>
      </c>
      <c r="T274" s="277">
        <v>0</v>
      </c>
      <c r="U274" s="277">
        <v>32923294</v>
      </c>
      <c r="V274" s="277">
        <v>0</v>
      </c>
      <c r="W274" s="277">
        <v>16461647</v>
      </c>
      <c r="X274" s="277">
        <v>121859</v>
      </c>
      <c r="Y274" s="277">
        <v>121859</v>
      </c>
      <c r="Z274" s="277">
        <v>0</v>
      </c>
      <c r="AA274" s="277">
        <v>0</v>
      </c>
      <c r="AB274" s="277">
        <v>0</v>
      </c>
      <c r="AC274" s="277">
        <v>0</v>
      </c>
      <c r="AD274" s="277">
        <v>0</v>
      </c>
      <c r="AE274" s="277">
        <v>0</v>
      </c>
      <c r="AF274" s="277">
        <v>0</v>
      </c>
      <c r="AG274" s="277">
        <v>0</v>
      </c>
      <c r="AH274" s="277">
        <v>0</v>
      </c>
      <c r="AI274" s="277">
        <v>0</v>
      </c>
      <c r="AJ274" s="277">
        <v>0</v>
      </c>
      <c r="AK274" s="277">
        <v>0</v>
      </c>
      <c r="AL274" s="277">
        <v>0</v>
      </c>
      <c r="AM274" s="277">
        <v>-32852</v>
      </c>
      <c r="AN274" s="277">
        <v>-26281.6</v>
      </c>
      <c r="AO274" s="277">
        <v>-6570.4</v>
      </c>
      <c r="AP274" s="277">
        <v>0</v>
      </c>
      <c r="AQ274" s="277">
        <v>-65704</v>
      </c>
      <c r="AR274" s="277">
        <v>16428795</v>
      </c>
      <c r="AS274" s="277">
        <v>13264895</v>
      </c>
      <c r="AT274" s="277">
        <v>3285759</v>
      </c>
      <c r="AU274" s="277">
        <v>0</v>
      </c>
      <c r="AV274" s="277">
        <v>32979449</v>
      </c>
      <c r="AW274" s="277">
        <v>141095</v>
      </c>
      <c r="AX274" s="277">
        <v>34950</v>
      </c>
      <c r="AY274" s="277">
        <v>0</v>
      </c>
      <c r="AZ274" s="277">
        <v>176045</v>
      </c>
      <c r="BA274" s="277">
        <v>240745</v>
      </c>
      <c r="BB274" s="277">
        <v>60186</v>
      </c>
      <c r="BC274" s="277">
        <v>0</v>
      </c>
      <c r="BD274" s="277">
        <v>300931</v>
      </c>
      <c r="BE274" s="277">
        <v>404</v>
      </c>
      <c r="BF274" s="277">
        <v>101</v>
      </c>
      <c r="BG274" s="277">
        <v>0</v>
      </c>
      <c r="BH274" s="277">
        <v>505</v>
      </c>
      <c r="BI274" s="277">
        <v>8085</v>
      </c>
      <c r="BJ274" s="277">
        <v>2021</v>
      </c>
      <c r="BK274" s="277">
        <v>0</v>
      </c>
      <c r="BL274" s="277">
        <v>10106</v>
      </c>
      <c r="BM274" s="277">
        <v>4042</v>
      </c>
      <c r="BN274" s="277">
        <v>1011</v>
      </c>
      <c r="BO274" s="277">
        <v>0</v>
      </c>
      <c r="BP274" s="277">
        <v>5053</v>
      </c>
      <c r="BQ274" s="277">
        <v>218698</v>
      </c>
      <c r="BR274" s="277">
        <v>54674</v>
      </c>
      <c r="BS274" s="277">
        <v>0</v>
      </c>
      <c r="BT274" s="277">
        <v>273372</v>
      </c>
      <c r="BU274" s="277">
        <v>613069</v>
      </c>
      <c r="BV274" s="277">
        <v>152943</v>
      </c>
      <c r="BW274" s="277">
        <v>0</v>
      </c>
      <c r="BX274" s="277">
        <v>766012</v>
      </c>
      <c r="BY274" s="278" t="s">
        <v>464</v>
      </c>
      <c r="BZ274" s="279" t="s">
        <v>1040</v>
      </c>
      <c r="CA274" s="280" t="s">
        <v>984</v>
      </c>
    </row>
    <row r="275" spans="1:79" ht="12.75">
      <c r="A275" s="169">
        <v>268</v>
      </c>
      <c r="B275" s="172" t="s">
        <v>466</v>
      </c>
      <c r="C275" s="258" t="s">
        <v>467</v>
      </c>
      <c r="D275" s="277">
        <v>51792904</v>
      </c>
      <c r="E275" s="277">
        <v>8229</v>
      </c>
      <c r="F275" s="277">
        <v>0</v>
      </c>
      <c r="G275" s="277">
        <v>207257</v>
      </c>
      <c r="H275" s="277">
        <v>0</v>
      </c>
      <c r="I275" s="277">
        <v>207257</v>
      </c>
      <c r="J275" s="277">
        <v>0</v>
      </c>
      <c r="K275" s="277">
        <v>0</v>
      </c>
      <c r="L275" s="277">
        <v>0</v>
      </c>
      <c r="M275" s="277">
        <v>0</v>
      </c>
      <c r="N275" s="277">
        <v>0</v>
      </c>
      <c r="O275" s="277">
        <v>0</v>
      </c>
      <c r="P275" s="277">
        <v>51593876</v>
      </c>
      <c r="Q275" s="277">
        <v>25796938</v>
      </c>
      <c r="R275" s="277">
        <v>15478163</v>
      </c>
      <c r="S275" s="277">
        <v>10318775</v>
      </c>
      <c r="T275" s="277">
        <v>0</v>
      </c>
      <c r="U275" s="277">
        <v>51593876</v>
      </c>
      <c r="V275" s="277">
        <v>0</v>
      </c>
      <c r="W275" s="277">
        <v>25796938</v>
      </c>
      <c r="X275" s="277">
        <v>207257</v>
      </c>
      <c r="Y275" s="277">
        <v>207257</v>
      </c>
      <c r="Z275" s="277">
        <v>0</v>
      </c>
      <c r="AA275" s="277">
        <v>0</v>
      </c>
      <c r="AB275" s="277">
        <v>0</v>
      </c>
      <c r="AC275" s="277">
        <v>0</v>
      </c>
      <c r="AD275" s="277">
        <v>0</v>
      </c>
      <c r="AE275" s="277">
        <v>0</v>
      </c>
      <c r="AF275" s="277">
        <v>0</v>
      </c>
      <c r="AG275" s="277">
        <v>0</v>
      </c>
      <c r="AH275" s="277">
        <v>0</v>
      </c>
      <c r="AI275" s="277">
        <v>0</v>
      </c>
      <c r="AJ275" s="277">
        <v>0</v>
      </c>
      <c r="AK275" s="277">
        <v>0</v>
      </c>
      <c r="AL275" s="277">
        <v>0</v>
      </c>
      <c r="AM275" s="277">
        <v>49999.93</v>
      </c>
      <c r="AN275" s="277">
        <v>29999.96</v>
      </c>
      <c r="AO275" s="277">
        <v>19999.97</v>
      </c>
      <c r="AP275" s="277">
        <v>0</v>
      </c>
      <c r="AQ275" s="277">
        <v>99999.86</v>
      </c>
      <c r="AR275" s="277">
        <v>25846938</v>
      </c>
      <c r="AS275" s="277">
        <v>15715420</v>
      </c>
      <c r="AT275" s="277">
        <v>10338775</v>
      </c>
      <c r="AU275" s="277">
        <v>0</v>
      </c>
      <c r="AV275" s="277">
        <v>51901133</v>
      </c>
      <c r="AW275" s="277">
        <v>166512</v>
      </c>
      <c r="AX275" s="277">
        <v>109541</v>
      </c>
      <c r="AY275" s="277">
        <v>0</v>
      </c>
      <c r="AZ275" s="277">
        <v>276053</v>
      </c>
      <c r="BA275" s="277">
        <v>394184</v>
      </c>
      <c r="BB275" s="277">
        <v>262790</v>
      </c>
      <c r="BC275" s="277">
        <v>0</v>
      </c>
      <c r="BD275" s="277">
        <v>656974</v>
      </c>
      <c r="BE275" s="277">
        <v>15159</v>
      </c>
      <c r="BF275" s="277">
        <v>10106</v>
      </c>
      <c r="BG275" s="277">
        <v>0</v>
      </c>
      <c r="BH275" s="277">
        <v>25265</v>
      </c>
      <c r="BI275" s="277">
        <v>75796</v>
      </c>
      <c r="BJ275" s="277">
        <v>50531</v>
      </c>
      <c r="BK275" s="277">
        <v>0</v>
      </c>
      <c r="BL275" s="277">
        <v>126327</v>
      </c>
      <c r="BM275" s="277">
        <v>30319</v>
      </c>
      <c r="BN275" s="277">
        <v>20212</v>
      </c>
      <c r="BO275" s="277">
        <v>0</v>
      </c>
      <c r="BP275" s="277">
        <v>50531</v>
      </c>
      <c r="BQ275" s="277">
        <v>522691</v>
      </c>
      <c r="BR275" s="277">
        <v>348460</v>
      </c>
      <c r="BS275" s="277">
        <v>0</v>
      </c>
      <c r="BT275" s="277">
        <v>871151</v>
      </c>
      <c r="BU275" s="277">
        <v>1204661</v>
      </c>
      <c r="BV275" s="277">
        <v>801640</v>
      </c>
      <c r="BW275" s="277">
        <v>0</v>
      </c>
      <c r="BX275" s="277">
        <v>2006301</v>
      </c>
      <c r="BY275" s="278" t="s">
        <v>466</v>
      </c>
      <c r="BZ275" s="279" t="s">
        <v>995</v>
      </c>
      <c r="CA275" s="279" t="s">
        <v>983</v>
      </c>
    </row>
    <row r="276" spans="1:79" ht="12.75">
      <c r="A276" s="169">
        <v>269</v>
      </c>
      <c r="B276" s="172" t="s">
        <v>468</v>
      </c>
      <c r="C276" s="258" t="s">
        <v>469</v>
      </c>
      <c r="D276" s="277">
        <v>41416024</v>
      </c>
      <c r="E276" s="277">
        <v>43704</v>
      </c>
      <c r="F276" s="277">
        <v>0</v>
      </c>
      <c r="G276" s="277">
        <v>180544</v>
      </c>
      <c r="H276" s="277">
        <v>0</v>
      </c>
      <c r="I276" s="277">
        <v>180544</v>
      </c>
      <c r="J276" s="277">
        <v>0</v>
      </c>
      <c r="K276" s="277">
        <v>0</v>
      </c>
      <c r="L276" s="277">
        <v>0</v>
      </c>
      <c r="M276" s="277">
        <v>200000</v>
      </c>
      <c r="N276" s="277">
        <v>24550</v>
      </c>
      <c r="O276" s="277">
        <v>175450</v>
      </c>
      <c r="P276" s="277">
        <v>41079184</v>
      </c>
      <c r="Q276" s="277">
        <v>20539591</v>
      </c>
      <c r="R276" s="277">
        <v>16431674</v>
      </c>
      <c r="S276" s="277">
        <v>3697127</v>
      </c>
      <c r="T276" s="277">
        <v>410792</v>
      </c>
      <c r="U276" s="277">
        <v>41079184</v>
      </c>
      <c r="V276" s="277">
        <v>0</v>
      </c>
      <c r="W276" s="277">
        <v>20539591</v>
      </c>
      <c r="X276" s="277">
        <v>180544</v>
      </c>
      <c r="Y276" s="277">
        <v>180544</v>
      </c>
      <c r="Z276" s="277">
        <v>0</v>
      </c>
      <c r="AA276" s="277">
        <v>0</v>
      </c>
      <c r="AB276" s="277">
        <v>0</v>
      </c>
      <c r="AC276" s="277">
        <v>0</v>
      </c>
      <c r="AD276" s="277">
        <v>24550</v>
      </c>
      <c r="AE276" s="277">
        <v>175450</v>
      </c>
      <c r="AF276" s="277">
        <v>200000</v>
      </c>
      <c r="AG276" s="277">
        <v>0</v>
      </c>
      <c r="AH276" s="277">
        <v>0</v>
      </c>
      <c r="AI276" s="277">
        <v>0</v>
      </c>
      <c r="AJ276" s="277">
        <v>0</v>
      </c>
      <c r="AK276" s="277">
        <v>0</v>
      </c>
      <c r="AL276" s="277">
        <v>0</v>
      </c>
      <c r="AM276" s="277">
        <v>101038.5</v>
      </c>
      <c r="AN276" s="277">
        <v>80830.8</v>
      </c>
      <c r="AO276" s="277">
        <v>18186.93</v>
      </c>
      <c r="AP276" s="277">
        <v>2020.77</v>
      </c>
      <c r="AQ276" s="277">
        <v>202077</v>
      </c>
      <c r="AR276" s="277">
        <v>20640630</v>
      </c>
      <c r="AS276" s="277">
        <v>16717599</v>
      </c>
      <c r="AT276" s="277">
        <v>3890764</v>
      </c>
      <c r="AU276" s="277">
        <v>412813</v>
      </c>
      <c r="AV276" s="277">
        <v>41661805</v>
      </c>
      <c r="AW276" s="277">
        <v>176611</v>
      </c>
      <c r="AX276" s="277">
        <v>41110</v>
      </c>
      <c r="AY276" s="277">
        <v>4361</v>
      </c>
      <c r="AZ276" s="277">
        <v>222082</v>
      </c>
      <c r="BA276" s="277">
        <v>606284</v>
      </c>
      <c r="BB276" s="277">
        <v>136414</v>
      </c>
      <c r="BC276" s="277">
        <v>15157</v>
      </c>
      <c r="BD276" s="277">
        <v>757855</v>
      </c>
      <c r="BE276" s="277">
        <v>0</v>
      </c>
      <c r="BF276" s="277">
        <v>0</v>
      </c>
      <c r="BG276" s="277">
        <v>0</v>
      </c>
      <c r="BH276" s="277">
        <v>0</v>
      </c>
      <c r="BI276" s="277">
        <v>4042</v>
      </c>
      <c r="BJ276" s="277">
        <v>910</v>
      </c>
      <c r="BK276" s="277">
        <v>101</v>
      </c>
      <c r="BL276" s="277">
        <v>5053</v>
      </c>
      <c r="BM276" s="277">
        <v>8770</v>
      </c>
      <c r="BN276" s="277">
        <v>1973</v>
      </c>
      <c r="BO276" s="277">
        <v>219</v>
      </c>
      <c r="BP276" s="277">
        <v>10962</v>
      </c>
      <c r="BQ276" s="277">
        <v>222336</v>
      </c>
      <c r="BR276" s="277">
        <v>50025</v>
      </c>
      <c r="BS276" s="277">
        <v>5558</v>
      </c>
      <c r="BT276" s="277">
        <v>277919</v>
      </c>
      <c r="BU276" s="277">
        <v>1018043</v>
      </c>
      <c r="BV276" s="277">
        <v>230432</v>
      </c>
      <c r="BW276" s="277">
        <v>25396</v>
      </c>
      <c r="BX276" s="277">
        <v>1273871</v>
      </c>
      <c r="BY276" s="278" t="s">
        <v>468</v>
      </c>
      <c r="BZ276" s="279" t="s">
        <v>990</v>
      </c>
      <c r="CA276" s="280" t="s">
        <v>991</v>
      </c>
    </row>
    <row r="277" spans="1:79" ht="12.75">
      <c r="A277" s="169">
        <v>270</v>
      </c>
      <c r="B277" s="172" t="s">
        <v>470</v>
      </c>
      <c r="C277" s="258" t="s">
        <v>471</v>
      </c>
      <c r="D277" s="277">
        <v>103238377</v>
      </c>
      <c r="E277" s="277">
        <v>0</v>
      </c>
      <c r="F277" s="277">
        <v>135035.3</v>
      </c>
      <c r="G277" s="277">
        <v>270650</v>
      </c>
      <c r="H277" s="277">
        <v>0</v>
      </c>
      <c r="I277" s="277">
        <v>270650</v>
      </c>
      <c r="J277" s="277">
        <v>0</v>
      </c>
      <c r="K277" s="277">
        <v>0</v>
      </c>
      <c r="L277" s="277">
        <v>0</v>
      </c>
      <c r="M277" s="277">
        <v>0</v>
      </c>
      <c r="N277" s="277">
        <v>0</v>
      </c>
      <c r="O277" s="277">
        <v>0</v>
      </c>
      <c r="P277" s="277">
        <v>102832692</v>
      </c>
      <c r="Q277" s="277">
        <v>51416346</v>
      </c>
      <c r="R277" s="277">
        <v>50388019</v>
      </c>
      <c r="S277" s="277">
        <v>0</v>
      </c>
      <c r="T277" s="277">
        <v>1028327</v>
      </c>
      <c r="U277" s="277">
        <v>102832692</v>
      </c>
      <c r="V277" s="277">
        <v>0</v>
      </c>
      <c r="W277" s="277">
        <v>51416346</v>
      </c>
      <c r="X277" s="277">
        <v>270650</v>
      </c>
      <c r="Y277" s="277">
        <v>270650</v>
      </c>
      <c r="Z277" s="277">
        <v>0</v>
      </c>
      <c r="AA277" s="277">
        <v>0</v>
      </c>
      <c r="AB277" s="277">
        <v>0</v>
      </c>
      <c r="AC277" s="277">
        <v>0</v>
      </c>
      <c r="AD277" s="277">
        <v>0</v>
      </c>
      <c r="AE277" s="277">
        <v>0</v>
      </c>
      <c r="AF277" s="277">
        <v>0</v>
      </c>
      <c r="AG277" s="277">
        <v>0</v>
      </c>
      <c r="AH277" s="277">
        <v>0</v>
      </c>
      <c r="AI277" s="277">
        <v>0</v>
      </c>
      <c r="AJ277" s="277">
        <v>0</v>
      </c>
      <c r="AK277" s="277">
        <v>0</v>
      </c>
      <c r="AL277" s="277">
        <v>0</v>
      </c>
      <c r="AM277" s="277">
        <v>0</v>
      </c>
      <c r="AN277" s="277">
        <v>0</v>
      </c>
      <c r="AO277" s="277">
        <v>0</v>
      </c>
      <c r="AP277" s="277">
        <v>0</v>
      </c>
      <c r="AQ277" s="277">
        <v>0.01</v>
      </c>
      <c r="AR277" s="277">
        <v>51416346</v>
      </c>
      <c r="AS277" s="277">
        <v>50658669</v>
      </c>
      <c r="AT277" s="277">
        <v>0</v>
      </c>
      <c r="AU277" s="277">
        <v>1028327</v>
      </c>
      <c r="AV277" s="277">
        <v>103103342</v>
      </c>
      <c r="AW277" s="277">
        <v>537778</v>
      </c>
      <c r="AX277" s="277">
        <v>0</v>
      </c>
      <c r="AY277" s="277">
        <v>10916</v>
      </c>
      <c r="AZ277" s="277">
        <v>548694</v>
      </c>
      <c r="BA277" s="277">
        <v>612639</v>
      </c>
      <c r="BB277" s="277">
        <v>0</v>
      </c>
      <c r="BC277" s="277">
        <v>12503</v>
      </c>
      <c r="BD277" s="277">
        <v>625142</v>
      </c>
      <c r="BE277" s="277">
        <v>0</v>
      </c>
      <c r="BF277" s="277">
        <v>0</v>
      </c>
      <c r="BG277" s="277">
        <v>0</v>
      </c>
      <c r="BH277" s="277">
        <v>0</v>
      </c>
      <c r="BI277" s="277">
        <v>0</v>
      </c>
      <c r="BJ277" s="277">
        <v>0</v>
      </c>
      <c r="BK277" s="277">
        <v>0</v>
      </c>
      <c r="BL277" s="277">
        <v>0</v>
      </c>
      <c r="BM277" s="277">
        <v>37140</v>
      </c>
      <c r="BN277" s="277">
        <v>0</v>
      </c>
      <c r="BO277" s="277">
        <v>758</v>
      </c>
      <c r="BP277" s="277">
        <v>37898</v>
      </c>
      <c r="BQ277" s="277">
        <v>683378</v>
      </c>
      <c r="BR277" s="277">
        <v>0</v>
      </c>
      <c r="BS277" s="277">
        <v>13947</v>
      </c>
      <c r="BT277" s="277">
        <v>697325</v>
      </c>
      <c r="BU277" s="277">
        <v>1870935</v>
      </c>
      <c r="BV277" s="277">
        <v>0</v>
      </c>
      <c r="BW277" s="277">
        <v>38124</v>
      </c>
      <c r="BX277" s="277">
        <v>1909059</v>
      </c>
      <c r="BY277" s="278" t="s">
        <v>923</v>
      </c>
      <c r="BZ277" s="279" t="s">
        <v>1003</v>
      </c>
      <c r="CA277" s="280" t="s">
        <v>1052</v>
      </c>
    </row>
    <row r="278" spans="1:79" ht="12.75">
      <c r="A278" s="169">
        <v>271</v>
      </c>
      <c r="B278" s="172" t="s">
        <v>472</v>
      </c>
      <c r="C278" s="258" t="s">
        <v>473</v>
      </c>
      <c r="D278" s="277">
        <v>55190770</v>
      </c>
      <c r="E278" s="277">
        <v>0</v>
      </c>
      <c r="F278" s="277">
        <v>0</v>
      </c>
      <c r="G278" s="277">
        <v>300650</v>
      </c>
      <c r="H278" s="277">
        <v>5000</v>
      </c>
      <c r="I278" s="277">
        <v>305650</v>
      </c>
      <c r="J278" s="277">
        <v>0</v>
      </c>
      <c r="K278" s="277">
        <v>0</v>
      </c>
      <c r="L278" s="277">
        <v>0</v>
      </c>
      <c r="M278" s="277">
        <v>0</v>
      </c>
      <c r="N278" s="277">
        <v>0</v>
      </c>
      <c r="O278" s="277">
        <v>0</v>
      </c>
      <c r="P278" s="277">
        <v>54885120</v>
      </c>
      <c r="Q278" s="277">
        <v>27442560</v>
      </c>
      <c r="R278" s="277">
        <v>26893709</v>
      </c>
      <c r="S278" s="277">
        <v>0</v>
      </c>
      <c r="T278" s="277">
        <v>548851</v>
      </c>
      <c r="U278" s="277">
        <v>54885120</v>
      </c>
      <c r="V278" s="277">
        <v>0</v>
      </c>
      <c r="W278" s="277">
        <v>27442560</v>
      </c>
      <c r="X278" s="277">
        <v>305650</v>
      </c>
      <c r="Y278" s="277">
        <v>305650</v>
      </c>
      <c r="Z278" s="277">
        <v>0</v>
      </c>
      <c r="AA278" s="277">
        <v>0</v>
      </c>
      <c r="AB278" s="277">
        <v>0</v>
      </c>
      <c r="AC278" s="277">
        <v>0</v>
      </c>
      <c r="AD278" s="277">
        <v>0</v>
      </c>
      <c r="AE278" s="277">
        <v>0</v>
      </c>
      <c r="AF278" s="277">
        <v>0</v>
      </c>
      <c r="AG278" s="277">
        <v>0</v>
      </c>
      <c r="AH278" s="277">
        <v>0</v>
      </c>
      <c r="AI278" s="277">
        <v>0</v>
      </c>
      <c r="AJ278" s="277">
        <v>0</v>
      </c>
      <c r="AK278" s="277">
        <v>0</v>
      </c>
      <c r="AL278" s="277">
        <v>0</v>
      </c>
      <c r="AM278" s="277">
        <v>-75518.94</v>
      </c>
      <c r="AN278" s="277">
        <v>-74008.56</v>
      </c>
      <c r="AO278" s="277">
        <v>0</v>
      </c>
      <c r="AP278" s="277">
        <v>-1510.38</v>
      </c>
      <c r="AQ278" s="277">
        <v>-151037.88</v>
      </c>
      <c r="AR278" s="277">
        <v>27367041</v>
      </c>
      <c r="AS278" s="277">
        <v>27125350</v>
      </c>
      <c r="AT278" s="277">
        <v>0</v>
      </c>
      <c r="AU278" s="277">
        <v>547341</v>
      </c>
      <c r="AV278" s="277">
        <v>55039732</v>
      </c>
      <c r="AW278" s="277">
        <v>288741</v>
      </c>
      <c r="AX278" s="277">
        <v>0</v>
      </c>
      <c r="AY278" s="277">
        <v>5826</v>
      </c>
      <c r="AZ278" s="277">
        <v>294567</v>
      </c>
      <c r="BA278" s="277">
        <v>1369554</v>
      </c>
      <c r="BB278" s="277">
        <v>0</v>
      </c>
      <c r="BC278" s="277">
        <v>27950</v>
      </c>
      <c r="BD278" s="277">
        <v>1397504</v>
      </c>
      <c r="BE278" s="277">
        <v>0</v>
      </c>
      <c r="BF278" s="277">
        <v>0</v>
      </c>
      <c r="BG278" s="277">
        <v>0</v>
      </c>
      <c r="BH278" s="277">
        <v>0</v>
      </c>
      <c r="BI278" s="277">
        <v>0</v>
      </c>
      <c r="BJ278" s="277">
        <v>0</v>
      </c>
      <c r="BK278" s="277">
        <v>0</v>
      </c>
      <c r="BL278" s="277">
        <v>0</v>
      </c>
      <c r="BM278" s="277">
        <v>31583</v>
      </c>
      <c r="BN278" s="277">
        <v>0</v>
      </c>
      <c r="BO278" s="277">
        <v>645</v>
      </c>
      <c r="BP278" s="277">
        <v>32228</v>
      </c>
      <c r="BQ278" s="277">
        <v>474183</v>
      </c>
      <c r="BR278" s="277">
        <v>0</v>
      </c>
      <c r="BS278" s="277">
        <v>9677</v>
      </c>
      <c r="BT278" s="277">
        <v>483860</v>
      </c>
      <c r="BU278" s="277">
        <v>2164061</v>
      </c>
      <c r="BV278" s="277">
        <v>0</v>
      </c>
      <c r="BW278" s="277">
        <v>44098</v>
      </c>
      <c r="BX278" s="277">
        <v>2208159</v>
      </c>
      <c r="BY278" s="278" t="s">
        <v>472</v>
      </c>
      <c r="BZ278" s="279" t="s">
        <v>996</v>
      </c>
      <c r="CA278" s="280" t="s">
        <v>1010</v>
      </c>
    </row>
    <row r="279" spans="1:79" ht="12.75">
      <c r="A279" s="169">
        <v>272</v>
      </c>
      <c r="B279" s="172" t="s">
        <v>474</v>
      </c>
      <c r="C279" s="258" t="s">
        <v>475</v>
      </c>
      <c r="D279" s="277">
        <v>31898570</v>
      </c>
      <c r="E279" s="277">
        <v>11113</v>
      </c>
      <c r="F279" s="277">
        <v>0</v>
      </c>
      <c r="G279" s="277">
        <v>92162</v>
      </c>
      <c r="H279" s="277">
        <v>0</v>
      </c>
      <c r="I279" s="277">
        <v>92162</v>
      </c>
      <c r="J279" s="277">
        <v>0</v>
      </c>
      <c r="K279" s="277">
        <v>0</v>
      </c>
      <c r="L279" s="277">
        <v>0</v>
      </c>
      <c r="M279" s="277">
        <v>0</v>
      </c>
      <c r="N279" s="277">
        <v>0</v>
      </c>
      <c r="O279" s="277">
        <v>0</v>
      </c>
      <c r="P279" s="277">
        <v>31817521</v>
      </c>
      <c r="Q279" s="277">
        <v>15908761</v>
      </c>
      <c r="R279" s="277">
        <v>12727008</v>
      </c>
      <c r="S279" s="277">
        <v>2863577</v>
      </c>
      <c r="T279" s="277">
        <v>318175</v>
      </c>
      <c r="U279" s="277">
        <v>31817521</v>
      </c>
      <c r="V279" s="277">
        <v>0</v>
      </c>
      <c r="W279" s="277">
        <v>15908761</v>
      </c>
      <c r="X279" s="277">
        <v>92162</v>
      </c>
      <c r="Y279" s="277">
        <v>92162</v>
      </c>
      <c r="Z279" s="277">
        <v>0</v>
      </c>
      <c r="AA279" s="277">
        <v>0</v>
      </c>
      <c r="AB279" s="277">
        <v>0</v>
      </c>
      <c r="AC279" s="277">
        <v>0</v>
      </c>
      <c r="AD279" s="277">
        <v>0</v>
      </c>
      <c r="AE279" s="277">
        <v>0</v>
      </c>
      <c r="AF279" s="277">
        <v>0</v>
      </c>
      <c r="AG279" s="277">
        <v>0</v>
      </c>
      <c r="AH279" s="277">
        <v>0</v>
      </c>
      <c r="AI279" s="277">
        <v>0</v>
      </c>
      <c r="AJ279" s="277">
        <v>0</v>
      </c>
      <c r="AK279" s="277">
        <v>0</v>
      </c>
      <c r="AL279" s="277">
        <v>0</v>
      </c>
      <c r="AM279" s="277">
        <v>4805.5</v>
      </c>
      <c r="AN279" s="277">
        <v>3844.4</v>
      </c>
      <c r="AO279" s="277">
        <v>864.99</v>
      </c>
      <c r="AP279" s="277">
        <v>96.11</v>
      </c>
      <c r="AQ279" s="277">
        <v>9611</v>
      </c>
      <c r="AR279" s="277">
        <v>15913567</v>
      </c>
      <c r="AS279" s="277">
        <v>12823014</v>
      </c>
      <c r="AT279" s="277">
        <v>2864442</v>
      </c>
      <c r="AU279" s="277">
        <v>318271</v>
      </c>
      <c r="AV279" s="277">
        <v>31919294</v>
      </c>
      <c r="AW279" s="277">
        <v>136085</v>
      </c>
      <c r="AX279" s="277">
        <v>30399</v>
      </c>
      <c r="AY279" s="277">
        <v>3378</v>
      </c>
      <c r="AZ279" s="277">
        <v>169862</v>
      </c>
      <c r="BA279" s="277">
        <v>238544</v>
      </c>
      <c r="BB279" s="277">
        <v>53673</v>
      </c>
      <c r="BC279" s="277">
        <v>5964</v>
      </c>
      <c r="BD279" s="277">
        <v>298181</v>
      </c>
      <c r="BE279" s="277">
        <v>22848</v>
      </c>
      <c r="BF279" s="277">
        <v>5141</v>
      </c>
      <c r="BG279" s="277">
        <v>571</v>
      </c>
      <c r="BH279" s="277">
        <v>28560</v>
      </c>
      <c r="BI279" s="277">
        <v>0</v>
      </c>
      <c r="BJ279" s="277">
        <v>0</v>
      </c>
      <c r="BK279" s="277">
        <v>0</v>
      </c>
      <c r="BL279" s="277">
        <v>0</v>
      </c>
      <c r="BM279" s="277">
        <v>96820</v>
      </c>
      <c r="BN279" s="277">
        <v>21784</v>
      </c>
      <c r="BO279" s="277">
        <v>2420</v>
      </c>
      <c r="BP279" s="277">
        <v>121024</v>
      </c>
      <c r="BQ279" s="277">
        <v>113256</v>
      </c>
      <c r="BR279" s="277">
        <v>25483</v>
      </c>
      <c r="BS279" s="277">
        <v>2831</v>
      </c>
      <c r="BT279" s="277">
        <v>141570</v>
      </c>
      <c r="BU279" s="277">
        <v>607553</v>
      </c>
      <c r="BV279" s="277">
        <v>136480</v>
      </c>
      <c r="BW279" s="277">
        <v>15164</v>
      </c>
      <c r="BX279" s="277">
        <v>759197</v>
      </c>
      <c r="BY279" s="278" t="s">
        <v>474</v>
      </c>
      <c r="BZ279" s="279" t="s">
        <v>1025</v>
      </c>
      <c r="CA279" s="280" t="s">
        <v>1026</v>
      </c>
    </row>
    <row r="280" spans="1:79" ht="12.75">
      <c r="A280" s="169">
        <v>273</v>
      </c>
      <c r="B280" s="172" t="s">
        <v>476</v>
      </c>
      <c r="C280" s="258" t="s">
        <v>477</v>
      </c>
      <c r="D280" s="277">
        <v>20102692</v>
      </c>
      <c r="E280" s="277">
        <v>80026</v>
      </c>
      <c r="F280" s="277">
        <v>0</v>
      </c>
      <c r="G280" s="277">
        <v>128179</v>
      </c>
      <c r="H280" s="277">
        <v>0</v>
      </c>
      <c r="I280" s="277">
        <v>128179</v>
      </c>
      <c r="J280" s="277">
        <v>0</v>
      </c>
      <c r="K280" s="277">
        <v>0</v>
      </c>
      <c r="L280" s="277">
        <v>0</v>
      </c>
      <c r="M280" s="277">
        <v>0</v>
      </c>
      <c r="N280" s="277">
        <v>0</v>
      </c>
      <c r="O280" s="277">
        <v>0</v>
      </c>
      <c r="P280" s="277">
        <v>20054539</v>
      </c>
      <c r="Q280" s="277">
        <v>10027269</v>
      </c>
      <c r="R280" s="277">
        <v>8021816</v>
      </c>
      <c r="S280" s="277">
        <v>2005454</v>
      </c>
      <c r="T280" s="277">
        <v>0</v>
      </c>
      <c r="U280" s="277">
        <v>20054539</v>
      </c>
      <c r="V280" s="277">
        <v>0</v>
      </c>
      <c r="W280" s="277">
        <v>10027269</v>
      </c>
      <c r="X280" s="277">
        <v>128179</v>
      </c>
      <c r="Y280" s="277">
        <v>128179</v>
      </c>
      <c r="Z280" s="277">
        <v>0</v>
      </c>
      <c r="AA280" s="277">
        <v>0</v>
      </c>
      <c r="AB280" s="277">
        <v>0</v>
      </c>
      <c r="AC280" s="277">
        <v>0</v>
      </c>
      <c r="AD280" s="277">
        <v>0</v>
      </c>
      <c r="AE280" s="277">
        <v>0</v>
      </c>
      <c r="AF280" s="277">
        <v>0</v>
      </c>
      <c r="AG280" s="277">
        <v>0</v>
      </c>
      <c r="AH280" s="277">
        <v>0</v>
      </c>
      <c r="AI280" s="277">
        <v>0</v>
      </c>
      <c r="AJ280" s="277">
        <v>0</v>
      </c>
      <c r="AK280" s="277">
        <v>0</v>
      </c>
      <c r="AL280" s="277">
        <v>0</v>
      </c>
      <c r="AM280" s="277">
        <v>-7093</v>
      </c>
      <c r="AN280" s="277">
        <v>-5674.4</v>
      </c>
      <c r="AO280" s="277">
        <v>-1418.6</v>
      </c>
      <c r="AP280" s="277">
        <v>0</v>
      </c>
      <c r="AQ280" s="277">
        <v>-14186</v>
      </c>
      <c r="AR280" s="277">
        <v>10020176</v>
      </c>
      <c r="AS280" s="277">
        <v>8144321</v>
      </c>
      <c r="AT280" s="277">
        <v>2004035</v>
      </c>
      <c r="AU280" s="277">
        <v>0</v>
      </c>
      <c r="AV280" s="277">
        <v>20168532</v>
      </c>
      <c r="AW280" s="277">
        <v>86518</v>
      </c>
      <c r="AX280" s="277">
        <v>21289</v>
      </c>
      <c r="AY280" s="277">
        <v>0</v>
      </c>
      <c r="AZ280" s="277">
        <v>107807</v>
      </c>
      <c r="BA280" s="277">
        <v>394712</v>
      </c>
      <c r="BB280" s="277">
        <v>98678</v>
      </c>
      <c r="BC280" s="277">
        <v>0</v>
      </c>
      <c r="BD280" s="277">
        <v>493390</v>
      </c>
      <c r="BE280" s="277">
        <v>3372</v>
      </c>
      <c r="BF280" s="277">
        <v>843</v>
      </c>
      <c r="BG280" s="277">
        <v>0</v>
      </c>
      <c r="BH280" s="277">
        <v>4215</v>
      </c>
      <c r="BI280" s="277">
        <v>4042</v>
      </c>
      <c r="BJ280" s="277">
        <v>1011</v>
      </c>
      <c r="BK280" s="277">
        <v>0</v>
      </c>
      <c r="BL280" s="277">
        <v>5053</v>
      </c>
      <c r="BM280" s="277">
        <v>2022</v>
      </c>
      <c r="BN280" s="277">
        <v>505</v>
      </c>
      <c r="BO280" s="277">
        <v>0</v>
      </c>
      <c r="BP280" s="277">
        <v>2527</v>
      </c>
      <c r="BQ280" s="277">
        <v>132997</v>
      </c>
      <c r="BR280" s="277">
        <v>33249</v>
      </c>
      <c r="BS280" s="277">
        <v>0</v>
      </c>
      <c r="BT280" s="277">
        <v>166246</v>
      </c>
      <c r="BU280" s="277">
        <v>623663</v>
      </c>
      <c r="BV280" s="277">
        <v>155575</v>
      </c>
      <c r="BW280" s="277">
        <v>0</v>
      </c>
      <c r="BX280" s="277">
        <v>779238</v>
      </c>
      <c r="BY280" s="278" t="s">
        <v>476</v>
      </c>
      <c r="BZ280" s="279" t="s">
        <v>1040</v>
      </c>
      <c r="CA280" s="280" t="s">
        <v>984</v>
      </c>
    </row>
    <row r="281" spans="1:79" ht="12.75">
      <c r="A281" s="169">
        <v>274</v>
      </c>
      <c r="B281" s="172" t="s">
        <v>478</v>
      </c>
      <c r="C281" s="258" t="s">
        <v>479</v>
      </c>
      <c r="D281" s="277">
        <v>38873144</v>
      </c>
      <c r="E281" s="277">
        <v>16645</v>
      </c>
      <c r="F281" s="277">
        <v>0</v>
      </c>
      <c r="G281" s="277">
        <v>163775</v>
      </c>
      <c r="H281" s="277">
        <v>0</v>
      </c>
      <c r="I281" s="277">
        <v>163775</v>
      </c>
      <c r="J281" s="277">
        <v>0</v>
      </c>
      <c r="K281" s="277">
        <v>0</v>
      </c>
      <c r="L281" s="277">
        <v>0</v>
      </c>
      <c r="M281" s="277">
        <v>70000</v>
      </c>
      <c r="N281" s="277">
        <v>70000</v>
      </c>
      <c r="O281" s="277">
        <v>0</v>
      </c>
      <c r="P281" s="277">
        <v>38656014</v>
      </c>
      <c r="Q281" s="277">
        <v>19328007</v>
      </c>
      <c r="R281" s="277">
        <v>15462406</v>
      </c>
      <c r="S281" s="277">
        <v>3479041</v>
      </c>
      <c r="T281" s="277">
        <v>386560</v>
      </c>
      <c r="U281" s="277">
        <v>38656014</v>
      </c>
      <c r="V281" s="277">
        <v>0</v>
      </c>
      <c r="W281" s="277">
        <v>19328007</v>
      </c>
      <c r="X281" s="277">
        <v>163775</v>
      </c>
      <c r="Y281" s="277">
        <v>163775</v>
      </c>
      <c r="Z281" s="277">
        <v>0</v>
      </c>
      <c r="AA281" s="277">
        <v>0</v>
      </c>
      <c r="AB281" s="277">
        <v>0</v>
      </c>
      <c r="AC281" s="277">
        <v>0</v>
      </c>
      <c r="AD281" s="277">
        <v>70000</v>
      </c>
      <c r="AE281" s="277">
        <v>0</v>
      </c>
      <c r="AF281" s="277">
        <v>70000</v>
      </c>
      <c r="AG281" s="277">
        <v>0</v>
      </c>
      <c r="AH281" s="277">
        <v>0</v>
      </c>
      <c r="AI281" s="277">
        <v>0</v>
      </c>
      <c r="AJ281" s="277">
        <v>0</v>
      </c>
      <c r="AK281" s="277">
        <v>0</v>
      </c>
      <c r="AL281" s="277">
        <v>0</v>
      </c>
      <c r="AM281" s="277">
        <v>-431740.76</v>
      </c>
      <c r="AN281" s="277">
        <v>-345392.61</v>
      </c>
      <c r="AO281" s="277">
        <v>-77713.34</v>
      </c>
      <c r="AP281" s="277">
        <v>-8634.82</v>
      </c>
      <c r="AQ281" s="277">
        <v>-863481.52</v>
      </c>
      <c r="AR281" s="277">
        <v>18896266</v>
      </c>
      <c r="AS281" s="277">
        <v>15350788</v>
      </c>
      <c r="AT281" s="277">
        <v>3401328</v>
      </c>
      <c r="AU281" s="277">
        <v>377925</v>
      </c>
      <c r="AV281" s="277">
        <v>38026307</v>
      </c>
      <c r="AW281" s="277">
        <v>166626</v>
      </c>
      <c r="AX281" s="277">
        <v>36932</v>
      </c>
      <c r="AY281" s="277">
        <v>4104</v>
      </c>
      <c r="AZ281" s="277">
        <v>207662</v>
      </c>
      <c r="BA281" s="277">
        <v>449504</v>
      </c>
      <c r="BB281" s="277">
        <v>101138</v>
      </c>
      <c r="BC281" s="277">
        <v>11238</v>
      </c>
      <c r="BD281" s="277">
        <v>561880</v>
      </c>
      <c r="BE281" s="277">
        <v>9701</v>
      </c>
      <c r="BF281" s="277">
        <v>2183</v>
      </c>
      <c r="BG281" s="277">
        <v>243</v>
      </c>
      <c r="BH281" s="277">
        <v>12127</v>
      </c>
      <c r="BI281" s="277">
        <v>18091</v>
      </c>
      <c r="BJ281" s="277">
        <v>4070</v>
      </c>
      <c r="BK281" s="277">
        <v>452</v>
      </c>
      <c r="BL281" s="277">
        <v>22613</v>
      </c>
      <c r="BM281" s="277">
        <v>39722</v>
      </c>
      <c r="BN281" s="277">
        <v>8938</v>
      </c>
      <c r="BO281" s="277">
        <v>993</v>
      </c>
      <c r="BP281" s="277">
        <v>49653</v>
      </c>
      <c r="BQ281" s="277">
        <v>199313</v>
      </c>
      <c r="BR281" s="277">
        <v>44846</v>
      </c>
      <c r="BS281" s="277">
        <v>4983</v>
      </c>
      <c r="BT281" s="277">
        <v>249142</v>
      </c>
      <c r="BU281" s="277">
        <v>882957</v>
      </c>
      <c r="BV281" s="277">
        <v>198107</v>
      </c>
      <c r="BW281" s="277">
        <v>22013</v>
      </c>
      <c r="BX281" s="277">
        <v>1103077</v>
      </c>
      <c r="BY281" s="278" t="s">
        <v>478</v>
      </c>
      <c r="BZ281" s="279" t="s">
        <v>1048</v>
      </c>
      <c r="CA281" s="280" t="s">
        <v>1037</v>
      </c>
    </row>
    <row r="282" spans="1:79" ht="12.75">
      <c r="A282" s="169">
        <v>275</v>
      </c>
      <c r="B282" s="172" t="s">
        <v>480</v>
      </c>
      <c r="C282" s="258" t="s">
        <v>481</v>
      </c>
      <c r="D282" s="277">
        <v>31660999.6</v>
      </c>
      <c r="E282" s="277">
        <v>170251.45</v>
      </c>
      <c r="F282" s="277">
        <v>0</v>
      </c>
      <c r="G282" s="277">
        <v>192475</v>
      </c>
      <c r="H282" s="277">
        <v>0</v>
      </c>
      <c r="I282" s="277">
        <v>192475</v>
      </c>
      <c r="J282" s="277">
        <v>0</v>
      </c>
      <c r="K282" s="277">
        <v>0</v>
      </c>
      <c r="L282" s="277">
        <v>0</v>
      </c>
      <c r="M282" s="277">
        <v>0</v>
      </c>
      <c r="N282" s="277">
        <v>0</v>
      </c>
      <c r="O282" s="277">
        <v>0</v>
      </c>
      <c r="P282" s="277">
        <v>31638776</v>
      </c>
      <c r="Q282" s="277">
        <v>15819388</v>
      </c>
      <c r="R282" s="277">
        <v>12655510</v>
      </c>
      <c r="S282" s="277">
        <v>2847490</v>
      </c>
      <c r="T282" s="277">
        <v>316388</v>
      </c>
      <c r="U282" s="277">
        <v>31638776</v>
      </c>
      <c r="V282" s="277">
        <v>0</v>
      </c>
      <c r="W282" s="277">
        <v>15819388</v>
      </c>
      <c r="X282" s="277">
        <v>192475</v>
      </c>
      <c r="Y282" s="277">
        <v>192475</v>
      </c>
      <c r="Z282" s="277">
        <v>0</v>
      </c>
      <c r="AA282" s="277">
        <v>0</v>
      </c>
      <c r="AB282" s="277">
        <v>0</v>
      </c>
      <c r="AC282" s="277">
        <v>0</v>
      </c>
      <c r="AD282" s="277">
        <v>0</v>
      </c>
      <c r="AE282" s="277">
        <v>0</v>
      </c>
      <c r="AF282" s="277">
        <v>0</v>
      </c>
      <c r="AG282" s="277">
        <v>0</v>
      </c>
      <c r="AH282" s="277">
        <v>0</v>
      </c>
      <c r="AI282" s="277">
        <v>0</v>
      </c>
      <c r="AJ282" s="277">
        <v>0</v>
      </c>
      <c r="AK282" s="277">
        <v>0</v>
      </c>
      <c r="AL282" s="277">
        <v>0</v>
      </c>
      <c r="AM282" s="277">
        <v>-545243.5</v>
      </c>
      <c r="AN282" s="277">
        <v>-436194.8</v>
      </c>
      <c r="AO282" s="277">
        <v>-98143.83</v>
      </c>
      <c r="AP282" s="277">
        <v>-10904.87</v>
      </c>
      <c r="AQ282" s="277">
        <v>-1090487</v>
      </c>
      <c r="AR282" s="277">
        <v>15274145</v>
      </c>
      <c r="AS282" s="277">
        <v>12411790</v>
      </c>
      <c r="AT282" s="277">
        <v>2749346</v>
      </c>
      <c r="AU282" s="277">
        <v>305483</v>
      </c>
      <c r="AV282" s="277">
        <v>30740764</v>
      </c>
      <c r="AW282" s="277">
        <v>136390</v>
      </c>
      <c r="AX282" s="277">
        <v>30228</v>
      </c>
      <c r="AY282" s="277">
        <v>3359</v>
      </c>
      <c r="AZ282" s="277">
        <v>169977</v>
      </c>
      <c r="BA282" s="277">
        <v>686868</v>
      </c>
      <c r="BB282" s="277">
        <v>154545</v>
      </c>
      <c r="BC282" s="277">
        <v>17172</v>
      </c>
      <c r="BD282" s="277">
        <v>858585</v>
      </c>
      <c r="BE282" s="277">
        <v>4042</v>
      </c>
      <c r="BF282" s="277">
        <v>910</v>
      </c>
      <c r="BG282" s="277">
        <v>101</v>
      </c>
      <c r="BH282" s="277">
        <v>5053</v>
      </c>
      <c r="BI282" s="277">
        <v>0</v>
      </c>
      <c r="BJ282" s="277">
        <v>0</v>
      </c>
      <c r="BK282" s="277">
        <v>0</v>
      </c>
      <c r="BL282" s="277">
        <v>0</v>
      </c>
      <c r="BM282" s="277">
        <v>4547</v>
      </c>
      <c r="BN282" s="277">
        <v>455</v>
      </c>
      <c r="BO282" s="277">
        <v>51</v>
      </c>
      <c r="BP282" s="277">
        <v>5053</v>
      </c>
      <c r="BQ282" s="277">
        <v>203740</v>
      </c>
      <c r="BR282" s="277">
        <v>20374</v>
      </c>
      <c r="BS282" s="277">
        <v>2264</v>
      </c>
      <c r="BT282" s="277">
        <v>226378</v>
      </c>
      <c r="BU282" s="277">
        <v>1035587</v>
      </c>
      <c r="BV282" s="277">
        <v>206512</v>
      </c>
      <c r="BW282" s="277">
        <v>22947</v>
      </c>
      <c r="BX282" s="277">
        <v>1265046</v>
      </c>
      <c r="BY282" s="278" t="s">
        <v>480</v>
      </c>
      <c r="BZ282" s="279" t="s">
        <v>1036</v>
      </c>
      <c r="CA282" s="280" t="s">
        <v>1037</v>
      </c>
    </row>
    <row r="283" spans="1:79" ht="12.75">
      <c r="A283" s="169">
        <v>276</v>
      </c>
      <c r="B283" s="172" t="s">
        <v>482</v>
      </c>
      <c r="C283" s="258" t="s">
        <v>483</v>
      </c>
      <c r="D283" s="277">
        <v>67281024.1</v>
      </c>
      <c r="E283" s="277">
        <v>0</v>
      </c>
      <c r="F283" s="277">
        <v>11036.15</v>
      </c>
      <c r="G283" s="277">
        <v>210461</v>
      </c>
      <c r="H283" s="277">
        <v>20000</v>
      </c>
      <c r="I283" s="277">
        <v>230461</v>
      </c>
      <c r="J283" s="277">
        <v>0</v>
      </c>
      <c r="K283" s="277">
        <v>0</v>
      </c>
      <c r="L283" s="277">
        <v>0</v>
      </c>
      <c r="M283" s="277">
        <v>0</v>
      </c>
      <c r="N283" s="277">
        <v>0</v>
      </c>
      <c r="O283" s="277">
        <v>0</v>
      </c>
      <c r="P283" s="277">
        <v>67039526.9</v>
      </c>
      <c r="Q283" s="277">
        <v>33519763.9</v>
      </c>
      <c r="R283" s="277">
        <v>32849368</v>
      </c>
      <c r="S283" s="277">
        <v>0</v>
      </c>
      <c r="T283" s="277">
        <v>670395</v>
      </c>
      <c r="U283" s="277">
        <v>67039527</v>
      </c>
      <c r="V283" s="277">
        <v>0</v>
      </c>
      <c r="W283" s="277">
        <v>33519763.9</v>
      </c>
      <c r="X283" s="277">
        <v>230461</v>
      </c>
      <c r="Y283" s="277">
        <v>230461</v>
      </c>
      <c r="Z283" s="277">
        <v>0</v>
      </c>
      <c r="AA283" s="277">
        <v>0</v>
      </c>
      <c r="AB283" s="277">
        <v>0</v>
      </c>
      <c r="AC283" s="277">
        <v>0</v>
      </c>
      <c r="AD283" s="277">
        <v>0</v>
      </c>
      <c r="AE283" s="277">
        <v>0</v>
      </c>
      <c r="AF283" s="277">
        <v>0</v>
      </c>
      <c r="AG283" s="277">
        <v>0</v>
      </c>
      <c r="AH283" s="277">
        <v>0</v>
      </c>
      <c r="AI283" s="277">
        <v>0</v>
      </c>
      <c r="AJ283" s="277">
        <v>0</v>
      </c>
      <c r="AK283" s="277">
        <v>0</v>
      </c>
      <c r="AL283" s="277">
        <v>0</v>
      </c>
      <c r="AM283" s="277">
        <v>-924665.66</v>
      </c>
      <c r="AN283" s="277">
        <v>-906172.35</v>
      </c>
      <c r="AO283" s="277">
        <v>0</v>
      </c>
      <c r="AP283" s="277">
        <v>-18493.31</v>
      </c>
      <c r="AQ283" s="277">
        <v>-1849331.3</v>
      </c>
      <c r="AR283" s="277">
        <v>32595098</v>
      </c>
      <c r="AS283" s="277">
        <v>32173657</v>
      </c>
      <c r="AT283" s="277">
        <v>0</v>
      </c>
      <c r="AU283" s="277">
        <v>651902</v>
      </c>
      <c r="AV283" s="277">
        <v>65420657</v>
      </c>
      <c r="AW283" s="277">
        <v>351166</v>
      </c>
      <c r="AX283" s="277">
        <v>0</v>
      </c>
      <c r="AY283" s="277">
        <v>7117</v>
      </c>
      <c r="AZ283" s="277">
        <v>358283</v>
      </c>
      <c r="BA283" s="277">
        <v>542748</v>
      </c>
      <c r="BB283" s="277">
        <v>0</v>
      </c>
      <c r="BC283" s="277">
        <v>11076</v>
      </c>
      <c r="BD283" s="277">
        <v>553824</v>
      </c>
      <c r="BE283" s="277">
        <v>120611</v>
      </c>
      <c r="BF283" s="277">
        <v>0</v>
      </c>
      <c r="BG283" s="277">
        <v>2461</v>
      </c>
      <c r="BH283" s="277">
        <v>123072</v>
      </c>
      <c r="BI283" s="277">
        <v>217888</v>
      </c>
      <c r="BJ283" s="277">
        <v>0</v>
      </c>
      <c r="BK283" s="277">
        <v>4447</v>
      </c>
      <c r="BL283" s="277">
        <v>222335</v>
      </c>
      <c r="BM283" s="277">
        <v>153798</v>
      </c>
      <c r="BN283" s="277">
        <v>0</v>
      </c>
      <c r="BO283" s="277">
        <v>3139</v>
      </c>
      <c r="BP283" s="277">
        <v>156937</v>
      </c>
      <c r="BQ283" s="277">
        <v>148560</v>
      </c>
      <c r="BR283" s="277">
        <v>0</v>
      </c>
      <c r="BS283" s="277">
        <v>3032</v>
      </c>
      <c r="BT283" s="277">
        <v>151592</v>
      </c>
      <c r="BU283" s="277">
        <v>1534771</v>
      </c>
      <c r="BV283" s="277">
        <v>0</v>
      </c>
      <c r="BW283" s="277">
        <v>31272</v>
      </c>
      <c r="BX283" s="277">
        <v>1566043</v>
      </c>
      <c r="BY283" s="281" t="s">
        <v>924</v>
      </c>
      <c r="BZ283" s="279" t="s">
        <v>1003</v>
      </c>
      <c r="CA283" s="280" t="s">
        <v>1051</v>
      </c>
    </row>
    <row r="284" spans="1:79" ht="12.75">
      <c r="A284" s="169">
        <v>277</v>
      </c>
      <c r="B284" s="172" t="s">
        <v>484</v>
      </c>
      <c r="C284" s="258" t="s">
        <v>485</v>
      </c>
      <c r="D284" s="277">
        <v>24857584</v>
      </c>
      <c r="E284" s="277">
        <v>75845</v>
      </c>
      <c r="F284" s="277">
        <v>0</v>
      </c>
      <c r="G284" s="277">
        <v>293126</v>
      </c>
      <c r="H284" s="277">
        <v>0</v>
      </c>
      <c r="I284" s="277">
        <v>293126</v>
      </c>
      <c r="J284" s="277">
        <v>0</v>
      </c>
      <c r="K284" s="277">
        <v>0</v>
      </c>
      <c r="L284" s="277">
        <v>0</v>
      </c>
      <c r="M284" s="277">
        <v>0</v>
      </c>
      <c r="N284" s="277">
        <v>0</v>
      </c>
      <c r="O284" s="277">
        <v>0</v>
      </c>
      <c r="P284" s="277">
        <v>24640303</v>
      </c>
      <c r="Q284" s="277">
        <v>12320152</v>
      </c>
      <c r="R284" s="277">
        <v>9856121</v>
      </c>
      <c r="S284" s="277">
        <v>2217627</v>
      </c>
      <c r="T284" s="277">
        <v>246403</v>
      </c>
      <c r="U284" s="277">
        <v>24640303</v>
      </c>
      <c r="V284" s="277">
        <v>0</v>
      </c>
      <c r="W284" s="277">
        <v>12320152</v>
      </c>
      <c r="X284" s="277">
        <v>293126</v>
      </c>
      <c r="Y284" s="277">
        <v>293126</v>
      </c>
      <c r="Z284" s="277">
        <v>0</v>
      </c>
      <c r="AA284" s="277">
        <v>0</v>
      </c>
      <c r="AB284" s="277">
        <v>0</v>
      </c>
      <c r="AC284" s="277">
        <v>0</v>
      </c>
      <c r="AD284" s="277">
        <v>0</v>
      </c>
      <c r="AE284" s="277">
        <v>0</v>
      </c>
      <c r="AF284" s="277">
        <v>0</v>
      </c>
      <c r="AG284" s="277">
        <v>0</v>
      </c>
      <c r="AH284" s="277">
        <v>0</v>
      </c>
      <c r="AI284" s="277">
        <v>0</v>
      </c>
      <c r="AJ284" s="277">
        <v>0</v>
      </c>
      <c r="AK284" s="277">
        <v>0</v>
      </c>
      <c r="AL284" s="277">
        <v>0</v>
      </c>
      <c r="AM284" s="277">
        <v>22961.5</v>
      </c>
      <c r="AN284" s="277">
        <v>18369.2</v>
      </c>
      <c r="AO284" s="277">
        <v>4133.07</v>
      </c>
      <c r="AP284" s="277">
        <v>459.23</v>
      </c>
      <c r="AQ284" s="277">
        <v>45923</v>
      </c>
      <c r="AR284" s="277">
        <v>12343114</v>
      </c>
      <c r="AS284" s="277">
        <v>10167616</v>
      </c>
      <c r="AT284" s="277">
        <v>2221760</v>
      </c>
      <c r="AU284" s="277">
        <v>246862</v>
      </c>
      <c r="AV284" s="277">
        <v>24979352</v>
      </c>
      <c r="AW284" s="277">
        <v>107741</v>
      </c>
      <c r="AX284" s="277">
        <v>23542</v>
      </c>
      <c r="AY284" s="277">
        <v>2616</v>
      </c>
      <c r="AZ284" s="277">
        <v>133899</v>
      </c>
      <c r="BA284" s="277">
        <v>829940</v>
      </c>
      <c r="BB284" s="277">
        <v>186736</v>
      </c>
      <c r="BC284" s="277">
        <v>20748</v>
      </c>
      <c r="BD284" s="277">
        <v>1037424</v>
      </c>
      <c r="BE284" s="277">
        <v>0</v>
      </c>
      <c r="BF284" s="277">
        <v>0</v>
      </c>
      <c r="BG284" s="277">
        <v>0</v>
      </c>
      <c r="BH284" s="277">
        <v>0</v>
      </c>
      <c r="BI284" s="277">
        <v>0</v>
      </c>
      <c r="BJ284" s="277">
        <v>0</v>
      </c>
      <c r="BK284" s="277">
        <v>0</v>
      </c>
      <c r="BL284" s="277">
        <v>0</v>
      </c>
      <c r="BM284" s="277">
        <v>0</v>
      </c>
      <c r="BN284" s="277">
        <v>0</v>
      </c>
      <c r="BO284" s="277">
        <v>0</v>
      </c>
      <c r="BP284" s="277">
        <v>0</v>
      </c>
      <c r="BQ284" s="277">
        <v>60637</v>
      </c>
      <c r="BR284" s="277">
        <v>13643</v>
      </c>
      <c r="BS284" s="277">
        <v>1516</v>
      </c>
      <c r="BT284" s="277">
        <v>75796</v>
      </c>
      <c r="BU284" s="277">
        <v>998318</v>
      </c>
      <c r="BV284" s="277">
        <v>223921</v>
      </c>
      <c r="BW284" s="277">
        <v>24880</v>
      </c>
      <c r="BX284" s="277">
        <v>1247119</v>
      </c>
      <c r="BY284" s="278" t="s">
        <v>484</v>
      </c>
      <c r="BZ284" s="279" t="s">
        <v>998</v>
      </c>
      <c r="CA284" s="280" t="s">
        <v>999</v>
      </c>
    </row>
    <row r="285" spans="1:79" ht="12.75">
      <c r="A285" s="169">
        <v>278</v>
      </c>
      <c r="B285" s="172" t="s">
        <v>486</v>
      </c>
      <c r="C285" s="258" t="s">
        <v>487</v>
      </c>
      <c r="D285" s="277">
        <v>45883571</v>
      </c>
      <c r="E285" s="277">
        <v>32913</v>
      </c>
      <c r="F285" s="277">
        <v>0</v>
      </c>
      <c r="G285" s="277">
        <v>187158</v>
      </c>
      <c r="H285" s="277">
        <v>0</v>
      </c>
      <c r="I285" s="277">
        <v>187158</v>
      </c>
      <c r="J285" s="277">
        <v>0</v>
      </c>
      <c r="K285" s="277">
        <v>0</v>
      </c>
      <c r="L285" s="277">
        <v>0</v>
      </c>
      <c r="M285" s="277">
        <v>0</v>
      </c>
      <c r="N285" s="277">
        <v>0</v>
      </c>
      <c r="O285" s="277">
        <v>0</v>
      </c>
      <c r="P285" s="277">
        <v>45729326</v>
      </c>
      <c r="Q285" s="277">
        <v>22864664</v>
      </c>
      <c r="R285" s="277">
        <v>18291730</v>
      </c>
      <c r="S285" s="277">
        <v>4115639</v>
      </c>
      <c r="T285" s="277">
        <v>457293</v>
      </c>
      <c r="U285" s="277">
        <v>45729326</v>
      </c>
      <c r="V285" s="277">
        <v>0</v>
      </c>
      <c r="W285" s="277">
        <v>22864664</v>
      </c>
      <c r="X285" s="277">
        <v>187158</v>
      </c>
      <c r="Y285" s="277">
        <v>187158</v>
      </c>
      <c r="Z285" s="277">
        <v>0</v>
      </c>
      <c r="AA285" s="277">
        <v>0</v>
      </c>
      <c r="AB285" s="277">
        <v>0</v>
      </c>
      <c r="AC285" s="277">
        <v>0</v>
      </c>
      <c r="AD285" s="277">
        <v>0</v>
      </c>
      <c r="AE285" s="277">
        <v>0</v>
      </c>
      <c r="AF285" s="277">
        <v>0</v>
      </c>
      <c r="AG285" s="277">
        <v>0</v>
      </c>
      <c r="AH285" s="277">
        <v>0</v>
      </c>
      <c r="AI285" s="277">
        <v>0</v>
      </c>
      <c r="AJ285" s="277">
        <v>0</v>
      </c>
      <c r="AK285" s="277">
        <v>0</v>
      </c>
      <c r="AL285" s="277">
        <v>0</v>
      </c>
      <c r="AM285" s="277">
        <v>596633.5</v>
      </c>
      <c r="AN285" s="277">
        <v>477306.8</v>
      </c>
      <c r="AO285" s="277">
        <v>107394.03</v>
      </c>
      <c r="AP285" s="277">
        <v>11932.67</v>
      </c>
      <c r="AQ285" s="277">
        <v>1193267</v>
      </c>
      <c r="AR285" s="277">
        <v>23461298</v>
      </c>
      <c r="AS285" s="277">
        <v>18956195</v>
      </c>
      <c r="AT285" s="277">
        <v>4223033</v>
      </c>
      <c r="AU285" s="277">
        <v>469226</v>
      </c>
      <c r="AV285" s="277">
        <v>47109751</v>
      </c>
      <c r="AW285" s="277">
        <v>196167</v>
      </c>
      <c r="AX285" s="277">
        <v>43690</v>
      </c>
      <c r="AY285" s="277">
        <v>4854</v>
      </c>
      <c r="AZ285" s="277">
        <v>244711</v>
      </c>
      <c r="BA285" s="277">
        <v>447932</v>
      </c>
      <c r="BB285" s="277">
        <v>100785</v>
      </c>
      <c r="BC285" s="277">
        <v>11198</v>
      </c>
      <c r="BD285" s="277">
        <v>559915</v>
      </c>
      <c r="BE285" s="277">
        <v>12127</v>
      </c>
      <c r="BF285" s="277">
        <v>2729</v>
      </c>
      <c r="BG285" s="277">
        <v>303</v>
      </c>
      <c r="BH285" s="277">
        <v>15159</v>
      </c>
      <c r="BI285" s="277">
        <v>24660</v>
      </c>
      <c r="BJ285" s="277">
        <v>5548</v>
      </c>
      <c r="BK285" s="277">
        <v>616</v>
      </c>
      <c r="BL285" s="277">
        <v>30824</v>
      </c>
      <c r="BM285" s="277">
        <v>68722</v>
      </c>
      <c r="BN285" s="277">
        <v>15462</v>
      </c>
      <c r="BO285" s="277">
        <v>1718</v>
      </c>
      <c r="BP285" s="277">
        <v>85902</v>
      </c>
      <c r="BQ285" s="277">
        <v>260335</v>
      </c>
      <c r="BR285" s="277">
        <v>58575</v>
      </c>
      <c r="BS285" s="277">
        <v>6508</v>
      </c>
      <c r="BT285" s="277">
        <v>325418</v>
      </c>
      <c r="BU285" s="277">
        <v>1009943</v>
      </c>
      <c r="BV285" s="277">
        <v>226789</v>
      </c>
      <c r="BW285" s="277">
        <v>25197</v>
      </c>
      <c r="BX285" s="277">
        <v>1261929</v>
      </c>
      <c r="BY285" s="278" t="s">
        <v>486</v>
      </c>
      <c r="BZ285" s="279" t="s">
        <v>1000</v>
      </c>
      <c r="CA285" s="280" t="s">
        <v>1001</v>
      </c>
    </row>
    <row r="286" spans="1:79" ht="12.75">
      <c r="A286" s="169">
        <v>279</v>
      </c>
      <c r="B286" s="172" t="s">
        <v>488</v>
      </c>
      <c r="C286" s="258" t="s">
        <v>489</v>
      </c>
      <c r="D286" s="277">
        <v>35922762</v>
      </c>
      <c r="E286" s="277">
        <v>0</v>
      </c>
      <c r="F286" s="277">
        <v>28631</v>
      </c>
      <c r="G286" s="277">
        <v>124101</v>
      </c>
      <c r="H286" s="277">
        <v>0</v>
      </c>
      <c r="I286" s="277">
        <v>124101</v>
      </c>
      <c r="J286" s="277">
        <v>0</v>
      </c>
      <c r="K286" s="277">
        <v>0</v>
      </c>
      <c r="L286" s="277">
        <v>0</v>
      </c>
      <c r="M286" s="277">
        <v>0</v>
      </c>
      <c r="N286" s="277">
        <v>0</v>
      </c>
      <c r="O286" s="277">
        <v>0</v>
      </c>
      <c r="P286" s="277">
        <v>35770030</v>
      </c>
      <c r="Q286" s="277">
        <v>17885015</v>
      </c>
      <c r="R286" s="277">
        <v>14308012</v>
      </c>
      <c r="S286" s="277">
        <v>3577003</v>
      </c>
      <c r="T286" s="277">
        <v>0</v>
      </c>
      <c r="U286" s="277">
        <v>35770030</v>
      </c>
      <c r="V286" s="277">
        <v>0</v>
      </c>
      <c r="W286" s="277">
        <v>17885015</v>
      </c>
      <c r="X286" s="277">
        <v>124101</v>
      </c>
      <c r="Y286" s="277">
        <v>124101</v>
      </c>
      <c r="Z286" s="277">
        <v>0</v>
      </c>
      <c r="AA286" s="277">
        <v>0</v>
      </c>
      <c r="AB286" s="277">
        <v>0</v>
      </c>
      <c r="AC286" s="277">
        <v>0</v>
      </c>
      <c r="AD286" s="277">
        <v>0</v>
      </c>
      <c r="AE286" s="277">
        <v>0</v>
      </c>
      <c r="AF286" s="277">
        <v>0</v>
      </c>
      <c r="AG286" s="277">
        <v>0</v>
      </c>
      <c r="AH286" s="277">
        <v>0</v>
      </c>
      <c r="AI286" s="277">
        <v>0</v>
      </c>
      <c r="AJ286" s="277">
        <v>0</v>
      </c>
      <c r="AK286" s="277">
        <v>0</v>
      </c>
      <c r="AL286" s="277">
        <v>0</v>
      </c>
      <c r="AM286" s="277">
        <v>-113685</v>
      </c>
      <c r="AN286" s="277">
        <v>-90948</v>
      </c>
      <c r="AO286" s="277">
        <v>-22737</v>
      </c>
      <c r="AP286" s="277">
        <v>0</v>
      </c>
      <c r="AQ286" s="277">
        <v>-227370</v>
      </c>
      <c r="AR286" s="277">
        <v>17771330</v>
      </c>
      <c r="AS286" s="277">
        <v>14341165</v>
      </c>
      <c r="AT286" s="277">
        <v>3554266</v>
      </c>
      <c r="AU286" s="277">
        <v>0</v>
      </c>
      <c r="AV286" s="277">
        <v>35666761</v>
      </c>
      <c r="AW286" s="277">
        <v>153207</v>
      </c>
      <c r="AX286" s="277">
        <v>37972</v>
      </c>
      <c r="AY286" s="277">
        <v>0</v>
      </c>
      <c r="AZ286" s="277">
        <v>191179</v>
      </c>
      <c r="BA286" s="277">
        <v>325269</v>
      </c>
      <c r="BB286" s="277">
        <v>81317</v>
      </c>
      <c r="BC286" s="277">
        <v>0</v>
      </c>
      <c r="BD286" s="277">
        <v>406586</v>
      </c>
      <c r="BE286" s="277">
        <v>242</v>
      </c>
      <c r="BF286" s="277">
        <v>61</v>
      </c>
      <c r="BG286" s="277">
        <v>0</v>
      </c>
      <c r="BH286" s="277">
        <v>303</v>
      </c>
      <c r="BI286" s="277">
        <v>0</v>
      </c>
      <c r="BJ286" s="277">
        <v>0</v>
      </c>
      <c r="BK286" s="277">
        <v>0</v>
      </c>
      <c r="BL286" s="277">
        <v>0</v>
      </c>
      <c r="BM286" s="277">
        <v>12127</v>
      </c>
      <c r="BN286" s="277">
        <v>3032</v>
      </c>
      <c r="BO286" s="277">
        <v>0</v>
      </c>
      <c r="BP286" s="277">
        <v>15159</v>
      </c>
      <c r="BQ286" s="277">
        <v>80850</v>
      </c>
      <c r="BR286" s="277">
        <v>20212</v>
      </c>
      <c r="BS286" s="277">
        <v>0</v>
      </c>
      <c r="BT286" s="277">
        <v>101062</v>
      </c>
      <c r="BU286" s="277">
        <v>571695</v>
      </c>
      <c r="BV286" s="277">
        <v>142594</v>
      </c>
      <c r="BW286" s="277">
        <v>0</v>
      </c>
      <c r="BX286" s="277">
        <v>714289</v>
      </c>
      <c r="BY286" s="278" t="s">
        <v>488</v>
      </c>
      <c r="BZ286" s="279" t="s">
        <v>1027</v>
      </c>
      <c r="CA286" s="280" t="s">
        <v>984</v>
      </c>
    </row>
    <row r="287" spans="1:79" ht="12.75">
      <c r="A287" s="169">
        <v>280</v>
      </c>
      <c r="B287" s="172" t="s">
        <v>490</v>
      </c>
      <c r="C287" s="258" t="s">
        <v>491</v>
      </c>
      <c r="D287" s="277">
        <v>31601921</v>
      </c>
      <c r="E287" s="277">
        <v>559491</v>
      </c>
      <c r="F287" s="277">
        <v>0</v>
      </c>
      <c r="G287" s="277">
        <v>192561</v>
      </c>
      <c r="H287" s="277">
        <v>0</v>
      </c>
      <c r="I287" s="277">
        <v>192561</v>
      </c>
      <c r="J287" s="277">
        <v>0</v>
      </c>
      <c r="K287" s="277">
        <v>0</v>
      </c>
      <c r="L287" s="277">
        <v>0</v>
      </c>
      <c r="M287" s="277">
        <v>0</v>
      </c>
      <c r="N287" s="277">
        <v>0</v>
      </c>
      <c r="O287" s="277">
        <v>0</v>
      </c>
      <c r="P287" s="277">
        <v>31968851</v>
      </c>
      <c r="Q287" s="277">
        <v>15984425</v>
      </c>
      <c r="R287" s="277">
        <v>12787540</v>
      </c>
      <c r="S287" s="277">
        <v>2877197</v>
      </c>
      <c r="T287" s="277">
        <v>319689</v>
      </c>
      <c r="U287" s="277">
        <v>31968851</v>
      </c>
      <c r="V287" s="277">
        <v>0</v>
      </c>
      <c r="W287" s="277">
        <v>15984425</v>
      </c>
      <c r="X287" s="277">
        <v>192561</v>
      </c>
      <c r="Y287" s="277">
        <v>192561</v>
      </c>
      <c r="Z287" s="277">
        <v>0</v>
      </c>
      <c r="AA287" s="277">
        <v>0</v>
      </c>
      <c r="AB287" s="277">
        <v>0</v>
      </c>
      <c r="AC287" s="277">
        <v>0</v>
      </c>
      <c r="AD287" s="277">
        <v>0</v>
      </c>
      <c r="AE287" s="277">
        <v>0</v>
      </c>
      <c r="AF287" s="277">
        <v>0</v>
      </c>
      <c r="AG287" s="277">
        <v>0</v>
      </c>
      <c r="AH287" s="277">
        <v>0</v>
      </c>
      <c r="AI287" s="277">
        <v>0</v>
      </c>
      <c r="AJ287" s="277">
        <v>0</v>
      </c>
      <c r="AK287" s="277">
        <v>0</v>
      </c>
      <c r="AL287" s="277">
        <v>0</v>
      </c>
      <c r="AM287" s="277">
        <v>0</v>
      </c>
      <c r="AN287" s="277">
        <v>0</v>
      </c>
      <c r="AO287" s="277">
        <v>0</v>
      </c>
      <c r="AP287" s="277">
        <v>0</v>
      </c>
      <c r="AQ287" s="277">
        <v>0</v>
      </c>
      <c r="AR287" s="277">
        <v>15984425</v>
      </c>
      <c r="AS287" s="277">
        <v>12980101</v>
      </c>
      <c r="AT287" s="277">
        <v>2877197</v>
      </c>
      <c r="AU287" s="277">
        <v>319689</v>
      </c>
      <c r="AV287" s="277">
        <v>32161412</v>
      </c>
      <c r="AW287" s="277">
        <v>137793</v>
      </c>
      <c r="AX287" s="277">
        <v>30543</v>
      </c>
      <c r="AY287" s="277">
        <v>3394</v>
      </c>
      <c r="AZ287" s="277">
        <v>171730</v>
      </c>
      <c r="BA287" s="277">
        <v>656337</v>
      </c>
      <c r="BB287" s="277">
        <v>147676</v>
      </c>
      <c r="BC287" s="277">
        <v>16408</v>
      </c>
      <c r="BD287" s="277">
        <v>820421</v>
      </c>
      <c r="BE287" s="277">
        <v>4455</v>
      </c>
      <c r="BF287" s="277">
        <v>1002</v>
      </c>
      <c r="BG287" s="277">
        <v>111</v>
      </c>
      <c r="BH287" s="277">
        <v>5568</v>
      </c>
      <c r="BI287" s="277">
        <v>0</v>
      </c>
      <c r="BJ287" s="277">
        <v>0</v>
      </c>
      <c r="BK287" s="277">
        <v>0</v>
      </c>
      <c r="BL287" s="277">
        <v>0</v>
      </c>
      <c r="BM287" s="277">
        <v>97020</v>
      </c>
      <c r="BN287" s="277">
        <v>21829</v>
      </c>
      <c r="BO287" s="277">
        <v>2425</v>
      </c>
      <c r="BP287" s="277">
        <v>121274</v>
      </c>
      <c r="BQ287" s="277">
        <v>319216</v>
      </c>
      <c r="BR287" s="277">
        <v>71824</v>
      </c>
      <c r="BS287" s="277">
        <v>7980</v>
      </c>
      <c r="BT287" s="277">
        <v>399020</v>
      </c>
      <c r="BU287" s="277">
        <v>1214821</v>
      </c>
      <c r="BV287" s="277">
        <v>272874</v>
      </c>
      <c r="BW287" s="277">
        <v>30318</v>
      </c>
      <c r="BX287" s="277">
        <v>1518013</v>
      </c>
      <c r="BY287" s="278" t="s">
        <v>490</v>
      </c>
      <c r="BZ287" s="279" t="s">
        <v>990</v>
      </c>
      <c r="CA287" s="280" t="s">
        <v>991</v>
      </c>
    </row>
    <row r="288" spans="1:79" ht="12.75">
      <c r="A288" s="169">
        <v>281</v>
      </c>
      <c r="B288" s="172" t="s">
        <v>492</v>
      </c>
      <c r="C288" s="258" t="s">
        <v>493</v>
      </c>
      <c r="D288" s="277">
        <v>27356965</v>
      </c>
      <c r="E288" s="277">
        <v>0</v>
      </c>
      <c r="F288" s="277">
        <v>226128</v>
      </c>
      <c r="G288" s="277">
        <v>95561</v>
      </c>
      <c r="H288" s="277">
        <v>0</v>
      </c>
      <c r="I288" s="277">
        <v>95561</v>
      </c>
      <c r="J288" s="277">
        <v>0</v>
      </c>
      <c r="K288" s="277">
        <v>0</v>
      </c>
      <c r="L288" s="277">
        <v>0</v>
      </c>
      <c r="M288" s="277">
        <v>0</v>
      </c>
      <c r="N288" s="277">
        <v>0</v>
      </c>
      <c r="O288" s="277">
        <v>0</v>
      </c>
      <c r="P288" s="277">
        <v>27035276</v>
      </c>
      <c r="Q288" s="277">
        <v>13517638</v>
      </c>
      <c r="R288" s="277">
        <v>10814110</v>
      </c>
      <c r="S288" s="277">
        <v>2703528</v>
      </c>
      <c r="T288" s="277">
        <v>0</v>
      </c>
      <c r="U288" s="277">
        <v>27035276</v>
      </c>
      <c r="V288" s="277">
        <v>0</v>
      </c>
      <c r="W288" s="277">
        <v>13517638</v>
      </c>
      <c r="X288" s="277">
        <v>95561</v>
      </c>
      <c r="Y288" s="277">
        <v>95561</v>
      </c>
      <c r="Z288" s="277">
        <v>0</v>
      </c>
      <c r="AA288" s="277">
        <v>0</v>
      </c>
      <c r="AB288" s="277">
        <v>0</v>
      </c>
      <c r="AC288" s="277">
        <v>0</v>
      </c>
      <c r="AD288" s="277">
        <v>0</v>
      </c>
      <c r="AE288" s="277">
        <v>0</v>
      </c>
      <c r="AF288" s="277">
        <v>0</v>
      </c>
      <c r="AG288" s="277">
        <v>0</v>
      </c>
      <c r="AH288" s="277">
        <v>0</v>
      </c>
      <c r="AI288" s="277">
        <v>0</v>
      </c>
      <c r="AJ288" s="277">
        <v>0</v>
      </c>
      <c r="AK288" s="277">
        <v>0</v>
      </c>
      <c r="AL288" s="277">
        <v>0</v>
      </c>
      <c r="AM288" s="277">
        <v>119815.5</v>
      </c>
      <c r="AN288" s="277">
        <v>95852.4</v>
      </c>
      <c r="AO288" s="277">
        <v>23963.1</v>
      </c>
      <c r="AP288" s="277">
        <v>0</v>
      </c>
      <c r="AQ288" s="277">
        <v>239631</v>
      </c>
      <c r="AR288" s="277">
        <v>13637454</v>
      </c>
      <c r="AS288" s="277">
        <v>11005523</v>
      </c>
      <c r="AT288" s="277">
        <v>2727491</v>
      </c>
      <c r="AU288" s="277">
        <v>0</v>
      </c>
      <c r="AV288" s="277">
        <v>27370468</v>
      </c>
      <c r="AW288" s="277">
        <v>115814</v>
      </c>
      <c r="AX288" s="277">
        <v>28700</v>
      </c>
      <c r="AY288" s="277">
        <v>0</v>
      </c>
      <c r="AZ288" s="277">
        <v>144514</v>
      </c>
      <c r="BA288" s="277">
        <v>181911</v>
      </c>
      <c r="BB288" s="277">
        <v>45478</v>
      </c>
      <c r="BC288" s="277">
        <v>0</v>
      </c>
      <c r="BD288" s="277">
        <v>227389</v>
      </c>
      <c r="BE288" s="277">
        <v>0</v>
      </c>
      <c r="BF288" s="277">
        <v>0</v>
      </c>
      <c r="BG288" s="277">
        <v>0</v>
      </c>
      <c r="BH288" s="277">
        <v>0</v>
      </c>
      <c r="BI288" s="277">
        <v>0</v>
      </c>
      <c r="BJ288" s="277">
        <v>0</v>
      </c>
      <c r="BK288" s="277">
        <v>0</v>
      </c>
      <c r="BL288" s="277">
        <v>0</v>
      </c>
      <c r="BM288" s="277">
        <v>2856</v>
      </c>
      <c r="BN288" s="277">
        <v>714</v>
      </c>
      <c r="BO288" s="277">
        <v>0</v>
      </c>
      <c r="BP288" s="277">
        <v>3570</v>
      </c>
      <c r="BQ288" s="277">
        <v>212230</v>
      </c>
      <c r="BR288" s="277">
        <v>53057</v>
      </c>
      <c r="BS288" s="277">
        <v>0</v>
      </c>
      <c r="BT288" s="277">
        <v>265287</v>
      </c>
      <c r="BU288" s="277">
        <v>512811</v>
      </c>
      <c r="BV288" s="277">
        <v>127949</v>
      </c>
      <c r="BW288" s="277">
        <v>0</v>
      </c>
      <c r="BX288" s="277">
        <v>640760</v>
      </c>
      <c r="BY288" s="278" t="s">
        <v>492</v>
      </c>
      <c r="BZ288" s="279" t="s">
        <v>1021</v>
      </c>
      <c r="CA288" s="280" t="s">
        <v>984</v>
      </c>
    </row>
    <row r="289" spans="1:79" ht="12.75">
      <c r="A289" s="169">
        <v>282</v>
      </c>
      <c r="B289" s="172" t="s">
        <v>494</v>
      </c>
      <c r="C289" s="258" t="s">
        <v>495</v>
      </c>
      <c r="D289" s="277">
        <v>107584322</v>
      </c>
      <c r="E289" s="277">
        <v>708274</v>
      </c>
      <c r="F289" s="277">
        <v>0</v>
      </c>
      <c r="G289" s="277">
        <v>224944</v>
      </c>
      <c r="H289" s="277">
        <v>0</v>
      </c>
      <c r="I289" s="277">
        <v>224944</v>
      </c>
      <c r="J289" s="277">
        <v>0</v>
      </c>
      <c r="K289" s="277">
        <v>0</v>
      </c>
      <c r="L289" s="277">
        <v>0</v>
      </c>
      <c r="M289" s="277">
        <v>0</v>
      </c>
      <c r="N289" s="277">
        <v>0</v>
      </c>
      <c r="O289" s="277">
        <v>0</v>
      </c>
      <c r="P289" s="277">
        <v>108067652</v>
      </c>
      <c r="Q289" s="277">
        <v>54033825.3</v>
      </c>
      <c r="R289" s="277">
        <v>52953150</v>
      </c>
      <c r="S289" s="277">
        <v>0</v>
      </c>
      <c r="T289" s="277">
        <v>1080677</v>
      </c>
      <c r="U289" s="277">
        <v>108067652</v>
      </c>
      <c r="V289" s="277">
        <v>0</v>
      </c>
      <c r="W289" s="277">
        <v>54033825.3</v>
      </c>
      <c r="X289" s="277">
        <v>224944</v>
      </c>
      <c r="Y289" s="277">
        <v>224944</v>
      </c>
      <c r="Z289" s="277">
        <v>0</v>
      </c>
      <c r="AA289" s="277">
        <v>0</v>
      </c>
      <c r="AB289" s="277">
        <v>0</v>
      </c>
      <c r="AC289" s="277">
        <v>0</v>
      </c>
      <c r="AD289" s="277">
        <v>0</v>
      </c>
      <c r="AE289" s="277">
        <v>0</v>
      </c>
      <c r="AF289" s="277">
        <v>0</v>
      </c>
      <c r="AG289" s="277">
        <v>0</v>
      </c>
      <c r="AH289" s="277">
        <v>0</v>
      </c>
      <c r="AI289" s="277">
        <v>0</v>
      </c>
      <c r="AJ289" s="277">
        <v>0</v>
      </c>
      <c r="AK289" s="277">
        <v>0</v>
      </c>
      <c r="AL289" s="277">
        <v>0</v>
      </c>
      <c r="AM289" s="277">
        <v>-1032778.5</v>
      </c>
      <c r="AN289" s="277">
        <v>-1012122.9</v>
      </c>
      <c r="AO289" s="277">
        <v>0</v>
      </c>
      <c r="AP289" s="277">
        <v>-20655.57</v>
      </c>
      <c r="AQ289" s="277">
        <v>-2065557</v>
      </c>
      <c r="AR289" s="277">
        <v>53001047</v>
      </c>
      <c r="AS289" s="277">
        <v>52165971</v>
      </c>
      <c r="AT289" s="277">
        <v>0</v>
      </c>
      <c r="AU289" s="277">
        <v>1060021</v>
      </c>
      <c r="AV289" s="277">
        <v>106227039</v>
      </c>
      <c r="AW289" s="277">
        <v>564523</v>
      </c>
      <c r="AX289" s="277">
        <v>0</v>
      </c>
      <c r="AY289" s="277">
        <v>11472</v>
      </c>
      <c r="AZ289" s="277">
        <v>575995</v>
      </c>
      <c r="BA289" s="277">
        <v>434540</v>
      </c>
      <c r="BB289" s="277">
        <v>0</v>
      </c>
      <c r="BC289" s="277">
        <v>8868</v>
      </c>
      <c r="BD289" s="277">
        <v>443408</v>
      </c>
      <c r="BE289" s="277">
        <v>96564</v>
      </c>
      <c r="BF289" s="277">
        <v>0</v>
      </c>
      <c r="BG289" s="277">
        <v>1971</v>
      </c>
      <c r="BH289" s="277">
        <v>98535</v>
      </c>
      <c r="BI289" s="277">
        <v>35382</v>
      </c>
      <c r="BJ289" s="277">
        <v>0</v>
      </c>
      <c r="BK289" s="277">
        <v>722</v>
      </c>
      <c r="BL289" s="277">
        <v>36104</v>
      </c>
      <c r="BM289" s="277">
        <v>11571</v>
      </c>
      <c r="BN289" s="277">
        <v>0</v>
      </c>
      <c r="BO289" s="277">
        <v>236</v>
      </c>
      <c r="BP289" s="277">
        <v>11807</v>
      </c>
      <c r="BQ289" s="277">
        <v>221949</v>
      </c>
      <c r="BR289" s="277">
        <v>0</v>
      </c>
      <c r="BS289" s="277">
        <v>4530</v>
      </c>
      <c r="BT289" s="277">
        <v>226479</v>
      </c>
      <c r="BU289" s="277">
        <v>1364529</v>
      </c>
      <c r="BV289" s="277">
        <v>0</v>
      </c>
      <c r="BW289" s="277">
        <v>27799</v>
      </c>
      <c r="BX289" s="277">
        <v>1392328</v>
      </c>
      <c r="BY289" s="278" t="s">
        <v>925</v>
      </c>
      <c r="BZ289" s="279" t="s">
        <v>1003</v>
      </c>
      <c r="CA289" s="280" t="s">
        <v>999</v>
      </c>
    </row>
    <row r="290" spans="1:79" ht="12.75">
      <c r="A290" s="169">
        <v>283</v>
      </c>
      <c r="B290" s="172" t="s">
        <v>496</v>
      </c>
      <c r="C290" s="258" t="s">
        <v>497</v>
      </c>
      <c r="D290" s="277">
        <v>53090322</v>
      </c>
      <c r="E290" s="277">
        <v>90620</v>
      </c>
      <c r="F290" s="277">
        <v>0</v>
      </c>
      <c r="G290" s="277">
        <v>167622</v>
      </c>
      <c r="H290" s="277">
        <v>0</v>
      </c>
      <c r="I290" s="277">
        <v>167622</v>
      </c>
      <c r="J290" s="277">
        <v>0</v>
      </c>
      <c r="K290" s="277">
        <v>0</v>
      </c>
      <c r="L290" s="277">
        <v>0</v>
      </c>
      <c r="M290" s="277">
        <v>0</v>
      </c>
      <c r="N290" s="277">
        <v>0</v>
      </c>
      <c r="O290" s="277">
        <v>0</v>
      </c>
      <c r="P290" s="277">
        <v>53013320</v>
      </c>
      <c r="Q290" s="277">
        <v>26506660</v>
      </c>
      <c r="R290" s="277">
        <v>21205328</v>
      </c>
      <c r="S290" s="277">
        <v>4771199</v>
      </c>
      <c r="T290" s="277">
        <v>530133</v>
      </c>
      <c r="U290" s="277">
        <v>53013320</v>
      </c>
      <c r="V290" s="277">
        <v>0</v>
      </c>
      <c r="W290" s="277">
        <v>26506660</v>
      </c>
      <c r="X290" s="277">
        <v>167622</v>
      </c>
      <c r="Y290" s="277">
        <v>167622</v>
      </c>
      <c r="Z290" s="277">
        <v>0</v>
      </c>
      <c r="AA290" s="277">
        <v>0</v>
      </c>
      <c r="AB290" s="277">
        <v>0</v>
      </c>
      <c r="AC290" s="277">
        <v>0</v>
      </c>
      <c r="AD290" s="277">
        <v>0</v>
      </c>
      <c r="AE290" s="277">
        <v>0</v>
      </c>
      <c r="AF290" s="277">
        <v>0</v>
      </c>
      <c r="AG290" s="277">
        <v>0</v>
      </c>
      <c r="AH290" s="277">
        <v>0</v>
      </c>
      <c r="AI290" s="277">
        <v>0</v>
      </c>
      <c r="AJ290" s="277">
        <v>0</v>
      </c>
      <c r="AK290" s="277">
        <v>0</v>
      </c>
      <c r="AL290" s="277">
        <v>0</v>
      </c>
      <c r="AM290" s="277">
        <v>-665909</v>
      </c>
      <c r="AN290" s="277">
        <v>-532727.2</v>
      </c>
      <c r="AO290" s="277">
        <v>-119863.62</v>
      </c>
      <c r="AP290" s="277">
        <v>-13318.18</v>
      </c>
      <c r="AQ290" s="277">
        <v>-1331818</v>
      </c>
      <c r="AR290" s="277">
        <v>25840751</v>
      </c>
      <c r="AS290" s="277">
        <v>20840223</v>
      </c>
      <c r="AT290" s="277">
        <v>4651335</v>
      </c>
      <c r="AU290" s="277">
        <v>516815</v>
      </c>
      <c r="AV290" s="277">
        <v>51849124</v>
      </c>
      <c r="AW290" s="277">
        <v>226889</v>
      </c>
      <c r="AX290" s="277">
        <v>50650</v>
      </c>
      <c r="AY290" s="277">
        <v>5628</v>
      </c>
      <c r="AZ290" s="277">
        <v>283167</v>
      </c>
      <c r="BA290" s="277">
        <v>318973</v>
      </c>
      <c r="BB290" s="277">
        <v>71769</v>
      </c>
      <c r="BC290" s="277">
        <v>7974</v>
      </c>
      <c r="BD290" s="277">
        <v>398716</v>
      </c>
      <c r="BE290" s="277">
        <v>0</v>
      </c>
      <c r="BF290" s="277">
        <v>0</v>
      </c>
      <c r="BG290" s="277">
        <v>0</v>
      </c>
      <c r="BH290" s="277">
        <v>0</v>
      </c>
      <c r="BI290" s="277">
        <v>0</v>
      </c>
      <c r="BJ290" s="277">
        <v>0</v>
      </c>
      <c r="BK290" s="277">
        <v>0</v>
      </c>
      <c r="BL290" s="277">
        <v>0</v>
      </c>
      <c r="BM290" s="277">
        <v>124104</v>
      </c>
      <c r="BN290" s="277">
        <v>27923</v>
      </c>
      <c r="BO290" s="277">
        <v>3103</v>
      </c>
      <c r="BP290" s="277">
        <v>155130</v>
      </c>
      <c r="BQ290" s="277">
        <v>303508</v>
      </c>
      <c r="BR290" s="277">
        <v>68289</v>
      </c>
      <c r="BS290" s="277">
        <v>7588</v>
      </c>
      <c r="BT290" s="277">
        <v>379385</v>
      </c>
      <c r="BU290" s="277">
        <v>973474</v>
      </c>
      <c r="BV290" s="277">
        <v>218631</v>
      </c>
      <c r="BW290" s="277">
        <v>24293</v>
      </c>
      <c r="BX290" s="277">
        <v>1216398</v>
      </c>
      <c r="BY290" s="278" t="s">
        <v>926</v>
      </c>
      <c r="BZ290" s="279" t="s">
        <v>990</v>
      </c>
      <c r="CA290" s="280" t="s">
        <v>991</v>
      </c>
    </row>
    <row r="291" spans="1:79" ht="12.75">
      <c r="A291" s="169">
        <v>284</v>
      </c>
      <c r="B291" s="172" t="s">
        <v>498</v>
      </c>
      <c r="C291" s="258" t="s">
        <v>499</v>
      </c>
      <c r="D291" s="277">
        <v>35196577.3</v>
      </c>
      <c r="E291" s="277">
        <v>56122.62</v>
      </c>
      <c r="F291" s="277">
        <v>0</v>
      </c>
      <c r="G291" s="277">
        <v>205044</v>
      </c>
      <c r="H291" s="277">
        <v>0</v>
      </c>
      <c r="I291" s="277">
        <v>205044</v>
      </c>
      <c r="J291" s="277">
        <v>0</v>
      </c>
      <c r="K291" s="277">
        <v>0</v>
      </c>
      <c r="L291" s="277">
        <v>0</v>
      </c>
      <c r="M291" s="277">
        <v>0</v>
      </c>
      <c r="N291" s="277">
        <v>0</v>
      </c>
      <c r="O291" s="277">
        <v>0</v>
      </c>
      <c r="P291" s="277">
        <v>35047655.9</v>
      </c>
      <c r="Q291" s="277">
        <v>17523827.9</v>
      </c>
      <c r="R291" s="277">
        <v>17173351</v>
      </c>
      <c r="S291" s="277">
        <v>0</v>
      </c>
      <c r="T291" s="277">
        <v>350477</v>
      </c>
      <c r="U291" s="277">
        <v>35047656</v>
      </c>
      <c r="V291" s="277">
        <v>0</v>
      </c>
      <c r="W291" s="277">
        <v>17523827.9</v>
      </c>
      <c r="X291" s="277">
        <v>205044</v>
      </c>
      <c r="Y291" s="277">
        <v>205044</v>
      </c>
      <c r="Z291" s="277">
        <v>0</v>
      </c>
      <c r="AA291" s="277">
        <v>0</v>
      </c>
      <c r="AB291" s="277">
        <v>0</v>
      </c>
      <c r="AC291" s="277">
        <v>0</v>
      </c>
      <c r="AD291" s="277">
        <v>0</v>
      </c>
      <c r="AE291" s="277">
        <v>0</v>
      </c>
      <c r="AF291" s="277">
        <v>0</v>
      </c>
      <c r="AG291" s="277">
        <v>0</v>
      </c>
      <c r="AH291" s="277">
        <v>0</v>
      </c>
      <c r="AI291" s="277">
        <v>0</v>
      </c>
      <c r="AJ291" s="277">
        <v>0</v>
      </c>
      <c r="AK291" s="277">
        <v>0</v>
      </c>
      <c r="AL291" s="277">
        <v>0</v>
      </c>
      <c r="AM291" s="277">
        <v>-1695822</v>
      </c>
      <c r="AN291" s="277">
        <v>-1661905.6</v>
      </c>
      <c r="AO291" s="277">
        <v>0</v>
      </c>
      <c r="AP291" s="277">
        <v>-33916.44</v>
      </c>
      <c r="AQ291" s="277">
        <v>-3391644</v>
      </c>
      <c r="AR291" s="277">
        <v>15828006</v>
      </c>
      <c r="AS291" s="277">
        <v>15716489</v>
      </c>
      <c r="AT291" s="277">
        <v>0</v>
      </c>
      <c r="AU291" s="277">
        <v>316561</v>
      </c>
      <c r="AV291" s="277">
        <v>31861056</v>
      </c>
      <c r="AW291" s="277">
        <v>184484</v>
      </c>
      <c r="AX291" s="277">
        <v>0</v>
      </c>
      <c r="AY291" s="277">
        <v>3721</v>
      </c>
      <c r="AZ291" s="277">
        <v>188205</v>
      </c>
      <c r="BA291" s="277">
        <v>930935</v>
      </c>
      <c r="BB291" s="277">
        <v>0</v>
      </c>
      <c r="BC291" s="277">
        <v>18999</v>
      </c>
      <c r="BD291" s="277">
        <v>949934</v>
      </c>
      <c r="BE291" s="277">
        <v>98050</v>
      </c>
      <c r="BF291" s="277">
        <v>0</v>
      </c>
      <c r="BG291" s="277">
        <v>2001</v>
      </c>
      <c r="BH291" s="277">
        <v>100051</v>
      </c>
      <c r="BI291" s="277">
        <v>24760</v>
      </c>
      <c r="BJ291" s="277">
        <v>0</v>
      </c>
      <c r="BK291" s="277">
        <v>505</v>
      </c>
      <c r="BL291" s="277">
        <v>25265</v>
      </c>
      <c r="BM291" s="277">
        <v>99041</v>
      </c>
      <c r="BN291" s="277">
        <v>0</v>
      </c>
      <c r="BO291" s="277">
        <v>2021</v>
      </c>
      <c r="BP291" s="277">
        <v>101062</v>
      </c>
      <c r="BQ291" s="277">
        <v>247601</v>
      </c>
      <c r="BR291" s="277">
        <v>0</v>
      </c>
      <c r="BS291" s="277">
        <v>5053</v>
      </c>
      <c r="BT291" s="277">
        <v>252654</v>
      </c>
      <c r="BU291" s="277">
        <v>1584871</v>
      </c>
      <c r="BV291" s="277">
        <v>0</v>
      </c>
      <c r="BW291" s="277">
        <v>32300</v>
      </c>
      <c r="BX291" s="277">
        <v>1617171</v>
      </c>
      <c r="BY291" s="278" t="s">
        <v>927</v>
      </c>
      <c r="BZ291" s="279" t="s">
        <v>1003</v>
      </c>
      <c r="CA291" s="280" t="s">
        <v>1037</v>
      </c>
    </row>
    <row r="292" spans="1:79" ht="12.75">
      <c r="A292" s="169">
        <v>285</v>
      </c>
      <c r="B292" s="172" t="s">
        <v>500</v>
      </c>
      <c r="C292" s="258" t="s">
        <v>501</v>
      </c>
      <c r="D292" s="277">
        <v>10939790.2</v>
      </c>
      <c r="E292" s="277">
        <v>151711</v>
      </c>
      <c r="F292" s="277">
        <v>0</v>
      </c>
      <c r="G292" s="277">
        <v>124189</v>
      </c>
      <c r="H292" s="277">
        <v>0</v>
      </c>
      <c r="I292" s="277">
        <v>124189</v>
      </c>
      <c r="J292" s="277">
        <v>0</v>
      </c>
      <c r="K292" s="277">
        <v>0</v>
      </c>
      <c r="L292" s="277">
        <v>0</v>
      </c>
      <c r="M292" s="277">
        <v>199033</v>
      </c>
      <c r="N292" s="277">
        <v>199033</v>
      </c>
      <c r="O292" s="277">
        <v>0</v>
      </c>
      <c r="P292" s="277">
        <v>10768279.2</v>
      </c>
      <c r="Q292" s="277">
        <v>5384139.18</v>
      </c>
      <c r="R292" s="277">
        <v>4307312</v>
      </c>
      <c r="S292" s="277">
        <v>969145</v>
      </c>
      <c r="T292" s="277">
        <v>107683</v>
      </c>
      <c r="U292" s="277">
        <v>10768279</v>
      </c>
      <c r="V292" s="277">
        <v>0</v>
      </c>
      <c r="W292" s="277">
        <v>5384139.18</v>
      </c>
      <c r="X292" s="277">
        <v>124189</v>
      </c>
      <c r="Y292" s="277">
        <v>124189</v>
      </c>
      <c r="Z292" s="277">
        <v>0</v>
      </c>
      <c r="AA292" s="277">
        <v>0</v>
      </c>
      <c r="AB292" s="277">
        <v>0</v>
      </c>
      <c r="AC292" s="277">
        <v>0</v>
      </c>
      <c r="AD292" s="277">
        <v>199033</v>
      </c>
      <c r="AE292" s="277">
        <v>0</v>
      </c>
      <c r="AF292" s="277">
        <v>199033</v>
      </c>
      <c r="AG292" s="277">
        <v>0</v>
      </c>
      <c r="AH292" s="277">
        <v>0</v>
      </c>
      <c r="AI292" s="277">
        <v>0</v>
      </c>
      <c r="AJ292" s="277">
        <v>0</v>
      </c>
      <c r="AK292" s="277">
        <v>0</v>
      </c>
      <c r="AL292" s="277">
        <v>0</v>
      </c>
      <c r="AM292" s="277">
        <v>-173394</v>
      </c>
      <c r="AN292" s="277">
        <v>-138715.2</v>
      </c>
      <c r="AO292" s="277">
        <v>-31210.92</v>
      </c>
      <c r="AP292" s="277">
        <v>-3467.88</v>
      </c>
      <c r="AQ292" s="277">
        <v>-346788</v>
      </c>
      <c r="AR292" s="277">
        <v>5210745</v>
      </c>
      <c r="AS292" s="277">
        <v>4491819</v>
      </c>
      <c r="AT292" s="277">
        <v>937934</v>
      </c>
      <c r="AU292" s="277">
        <v>104215</v>
      </c>
      <c r="AV292" s="277">
        <v>10744713</v>
      </c>
      <c r="AW292" s="277">
        <v>49156</v>
      </c>
      <c r="AX292" s="277">
        <v>10288</v>
      </c>
      <c r="AY292" s="277">
        <v>1143</v>
      </c>
      <c r="AZ292" s="277">
        <v>60587</v>
      </c>
      <c r="BA292" s="277">
        <v>521401</v>
      </c>
      <c r="BB292" s="277">
        <v>117315</v>
      </c>
      <c r="BC292" s="277">
        <v>13035</v>
      </c>
      <c r="BD292" s="277">
        <v>651751</v>
      </c>
      <c r="BE292" s="277">
        <v>0</v>
      </c>
      <c r="BF292" s="277">
        <v>0</v>
      </c>
      <c r="BG292" s="277">
        <v>0</v>
      </c>
      <c r="BH292" s="277">
        <v>0</v>
      </c>
      <c r="BI292" s="277">
        <v>0</v>
      </c>
      <c r="BJ292" s="277">
        <v>0</v>
      </c>
      <c r="BK292" s="277">
        <v>0</v>
      </c>
      <c r="BL292" s="277">
        <v>0</v>
      </c>
      <c r="BM292" s="277">
        <v>13096</v>
      </c>
      <c r="BN292" s="277">
        <v>2946</v>
      </c>
      <c r="BO292" s="277">
        <v>327</v>
      </c>
      <c r="BP292" s="277">
        <v>16369</v>
      </c>
      <c r="BQ292" s="277">
        <v>120651</v>
      </c>
      <c r="BR292" s="277">
        <v>27147</v>
      </c>
      <c r="BS292" s="277">
        <v>3016</v>
      </c>
      <c r="BT292" s="277">
        <v>150814</v>
      </c>
      <c r="BU292" s="277">
        <v>704304</v>
      </c>
      <c r="BV292" s="277">
        <v>157696</v>
      </c>
      <c r="BW292" s="277">
        <v>17521</v>
      </c>
      <c r="BX292" s="277">
        <v>879521</v>
      </c>
      <c r="BY292" s="278" t="s">
        <v>500</v>
      </c>
      <c r="BZ292" s="279" t="s">
        <v>1036</v>
      </c>
      <c r="CA292" s="280" t="s">
        <v>1037</v>
      </c>
    </row>
    <row r="293" spans="1:79" ht="12.75">
      <c r="A293" s="169">
        <v>286</v>
      </c>
      <c r="B293" s="172" t="s">
        <v>502</v>
      </c>
      <c r="C293" s="258" t="s">
        <v>503</v>
      </c>
      <c r="D293" s="277">
        <v>341823337</v>
      </c>
      <c r="E293" s="277">
        <v>551436</v>
      </c>
      <c r="F293" s="277">
        <v>0</v>
      </c>
      <c r="G293" s="277">
        <v>946111</v>
      </c>
      <c r="H293" s="277">
        <v>0</v>
      </c>
      <c r="I293" s="277">
        <v>946111</v>
      </c>
      <c r="J293" s="277">
        <v>0</v>
      </c>
      <c r="K293" s="277">
        <v>0</v>
      </c>
      <c r="L293" s="277">
        <v>0</v>
      </c>
      <c r="M293" s="277">
        <v>0</v>
      </c>
      <c r="N293" s="277">
        <v>0</v>
      </c>
      <c r="O293" s="277">
        <v>0</v>
      </c>
      <c r="P293" s="277">
        <v>341428662</v>
      </c>
      <c r="Q293" s="277">
        <v>170714331</v>
      </c>
      <c r="R293" s="277">
        <v>102428599</v>
      </c>
      <c r="S293" s="277">
        <v>68285732</v>
      </c>
      <c r="T293" s="277">
        <v>0</v>
      </c>
      <c r="U293" s="277">
        <v>341428662</v>
      </c>
      <c r="V293" s="277">
        <v>0</v>
      </c>
      <c r="W293" s="277">
        <v>170714331</v>
      </c>
      <c r="X293" s="277">
        <v>946111</v>
      </c>
      <c r="Y293" s="277">
        <v>946111</v>
      </c>
      <c r="Z293" s="277">
        <v>0</v>
      </c>
      <c r="AA293" s="277">
        <v>0</v>
      </c>
      <c r="AB293" s="277">
        <v>0</v>
      </c>
      <c r="AC293" s="277">
        <v>0</v>
      </c>
      <c r="AD293" s="277">
        <v>0</v>
      </c>
      <c r="AE293" s="277">
        <v>0</v>
      </c>
      <c r="AF293" s="277">
        <v>0</v>
      </c>
      <c r="AG293" s="277">
        <v>0</v>
      </c>
      <c r="AH293" s="277">
        <v>0</v>
      </c>
      <c r="AI293" s="277">
        <v>0</v>
      </c>
      <c r="AJ293" s="277">
        <v>0</v>
      </c>
      <c r="AK293" s="277">
        <v>0</v>
      </c>
      <c r="AL293" s="277">
        <v>0</v>
      </c>
      <c r="AM293" s="277">
        <v>3474487</v>
      </c>
      <c r="AN293" s="277">
        <v>2084692</v>
      </c>
      <c r="AO293" s="277">
        <v>1389795</v>
      </c>
      <c r="AP293" s="277">
        <v>0</v>
      </c>
      <c r="AQ293" s="277">
        <v>6948974</v>
      </c>
      <c r="AR293" s="277">
        <v>174188818</v>
      </c>
      <c r="AS293" s="277">
        <v>105459402</v>
      </c>
      <c r="AT293" s="277">
        <v>69675527</v>
      </c>
      <c r="AU293" s="277">
        <v>0</v>
      </c>
      <c r="AV293" s="277">
        <v>349323747</v>
      </c>
      <c r="AW293" s="277">
        <v>1097396</v>
      </c>
      <c r="AX293" s="277">
        <v>724902</v>
      </c>
      <c r="AY293" s="277">
        <v>0</v>
      </c>
      <c r="AZ293" s="277">
        <v>1822298</v>
      </c>
      <c r="BA293" s="277">
        <v>820002</v>
      </c>
      <c r="BB293" s="277">
        <v>546668</v>
      </c>
      <c r="BC293" s="277">
        <v>0</v>
      </c>
      <c r="BD293" s="277">
        <v>1366670</v>
      </c>
      <c r="BE293" s="277">
        <v>0</v>
      </c>
      <c r="BF293" s="277">
        <v>0</v>
      </c>
      <c r="BG293" s="277">
        <v>0</v>
      </c>
      <c r="BH293" s="277">
        <v>0</v>
      </c>
      <c r="BI293" s="277">
        <v>909554</v>
      </c>
      <c r="BJ293" s="277">
        <v>606370</v>
      </c>
      <c r="BK293" s="277">
        <v>0</v>
      </c>
      <c r="BL293" s="277">
        <v>1515924</v>
      </c>
      <c r="BM293" s="277">
        <v>3335032</v>
      </c>
      <c r="BN293" s="277">
        <v>2223354</v>
      </c>
      <c r="BO293" s="277">
        <v>0</v>
      </c>
      <c r="BP293" s="277">
        <v>5558386</v>
      </c>
      <c r="BQ293" s="277">
        <v>1434758</v>
      </c>
      <c r="BR293" s="277">
        <v>956505</v>
      </c>
      <c r="BS293" s="277">
        <v>0</v>
      </c>
      <c r="BT293" s="277">
        <v>2391263</v>
      </c>
      <c r="BU293" s="277">
        <v>7596742</v>
      </c>
      <c r="BV293" s="277">
        <v>5057799</v>
      </c>
      <c r="BW293" s="277">
        <v>0</v>
      </c>
      <c r="BX293" s="277">
        <v>12654541</v>
      </c>
      <c r="BY293" s="278" t="s">
        <v>502</v>
      </c>
      <c r="BZ293" s="279" t="s">
        <v>995</v>
      </c>
      <c r="CA293" s="279" t="s">
        <v>983</v>
      </c>
    </row>
    <row r="294" spans="1:79" ht="12.75">
      <c r="A294" s="169">
        <v>287</v>
      </c>
      <c r="B294" s="172" t="s">
        <v>504</v>
      </c>
      <c r="C294" s="258" t="s">
        <v>505</v>
      </c>
      <c r="D294" s="277">
        <v>155075075</v>
      </c>
      <c r="E294" s="277">
        <v>45125.85</v>
      </c>
      <c r="F294" s="277">
        <v>0</v>
      </c>
      <c r="G294" s="277">
        <v>457357</v>
      </c>
      <c r="H294" s="277">
        <v>0</v>
      </c>
      <c r="I294" s="277">
        <v>457357</v>
      </c>
      <c r="J294" s="277">
        <v>0</v>
      </c>
      <c r="K294" s="277">
        <v>0</v>
      </c>
      <c r="L294" s="277">
        <v>0</v>
      </c>
      <c r="M294" s="277">
        <v>75192</v>
      </c>
      <c r="N294" s="277">
        <v>75192</v>
      </c>
      <c r="O294" s="277">
        <v>0</v>
      </c>
      <c r="P294" s="277">
        <v>154587652</v>
      </c>
      <c r="Q294" s="277">
        <v>77293825.3</v>
      </c>
      <c r="R294" s="277">
        <v>75747950</v>
      </c>
      <c r="S294" s="277">
        <v>0</v>
      </c>
      <c r="T294" s="277">
        <v>1545877</v>
      </c>
      <c r="U294" s="277">
        <v>154587652</v>
      </c>
      <c r="V294" s="277">
        <v>0</v>
      </c>
      <c r="W294" s="277">
        <v>77293825.3</v>
      </c>
      <c r="X294" s="277">
        <v>457357</v>
      </c>
      <c r="Y294" s="277">
        <v>457357</v>
      </c>
      <c r="Z294" s="277">
        <v>0</v>
      </c>
      <c r="AA294" s="277">
        <v>0</v>
      </c>
      <c r="AB294" s="277">
        <v>0</v>
      </c>
      <c r="AC294" s="277">
        <v>0</v>
      </c>
      <c r="AD294" s="277">
        <v>75192</v>
      </c>
      <c r="AE294" s="277">
        <v>0</v>
      </c>
      <c r="AF294" s="277">
        <v>75192</v>
      </c>
      <c r="AG294" s="277">
        <v>0</v>
      </c>
      <c r="AH294" s="277">
        <v>0</v>
      </c>
      <c r="AI294" s="277">
        <v>0</v>
      </c>
      <c r="AJ294" s="277">
        <v>0</v>
      </c>
      <c r="AK294" s="277">
        <v>0</v>
      </c>
      <c r="AL294" s="277">
        <v>0</v>
      </c>
      <c r="AM294" s="277">
        <v>-8020587</v>
      </c>
      <c r="AN294" s="277">
        <v>-7860175.3</v>
      </c>
      <c r="AO294" s="277">
        <v>0</v>
      </c>
      <c r="AP294" s="277">
        <v>-160411.74</v>
      </c>
      <c r="AQ294" s="277">
        <v>-16041174</v>
      </c>
      <c r="AR294" s="277">
        <v>69273238</v>
      </c>
      <c r="AS294" s="277">
        <v>68420324</v>
      </c>
      <c r="AT294" s="277">
        <v>0</v>
      </c>
      <c r="AU294" s="277">
        <v>1385465</v>
      </c>
      <c r="AV294" s="277">
        <v>139079027</v>
      </c>
      <c r="AW294" s="277">
        <v>809772</v>
      </c>
      <c r="AX294" s="277">
        <v>0</v>
      </c>
      <c r="AY294" s="277">
        <v>16411</v>
      </c>
      <c r="AZ294" s="277">
        <v>826183</v>
      </c>
      <c r="BA294" s="277">
        <v>950068</v>
      </c>
      <c r="BB294" s="277">
        <v>0</v>
      </c>
      <c r="BC294" s="277">
        <v>19389</v>
      </c>
      <c r="BD294" s="277">
        <v>969457</v>
      </c>
      <c r="BE294" s="277">
        <v>0</v>
      </c>
      <c r="BF294" s="277">
        <v>0</v>
      </c>
      <c r="BG294" s="277">
        <v>0</v>
      </c>
      <c r="BH294" s="277">
        <v>0</v>
      </c>
      <c r="BI294" s="277">
        <v>0</v>
      </c>
      <c r="BJ294" s="277">
        <v>0</v>
      </c>
      <c r="BK294" s="277">
        <v>0</v>
      </c>
      <c r="BL294" s="277">
        <v>0</v>
      </c>
      <c r="BM294" s="277">
        <v>597228</v>
      </c>
      <c r="BN294" s="277">
        <v>0</v>
      </c>
      <c r="BO294" s="277">
        <v>12188</v>
      </c>
      <c r="BP294" s="277">
        <v>609416</v>
      </c>
      <c r="BQ294" s="277">
        <v>707382</v>
      </c>
      <c r="BR294" s="277">
        <v>0</v>
      </c>
      <c r="BS294" s="277">
        <v>14436</v>
      </c>
      <c r="BT294" s="277">
        <v>721818</v>
      </c>
      <c r="BU294" s="277">
        <v>3064450</v>
      </c>
      <c r="BV294" s="277">
        <v>0</v>
      </c>
      <c r="BW294" s="277">
        <v>62424</v>
      </c>
      <c r="BX294" s="277">
        <v>3126874</v>
      </c>
      <c r="BY294" s="278" t="s">
        <v>504</v>
      </c>
      <c r="BZ294" s="279" t="s">
        <v>996</v>
      </c>
      <c r="CA294" s="280" t="s">
        <v>1010</v>
      </c>
    </row>
    <row r="295" spans="1:79" ht="12.75">
      <c r="A295" s="169">
        <v>288</v>
      </c>
      <c r="B295" s="172" t="s">
        <v>506</v>
      </c>
      <c r="C295" s="258" t="s">
        <v>507</v>
      </c>
      <c r="D295" s="277">
        <v>51735910.5</v>
      </c>
      <c r="E295" s="277">
        <v>68455</v>
      </c>
      <c r="F295" s="277">
        <v>0</v>
      </c>
      <c r="G295" s="277">
        <v>178970</v>
      </c>
      <c r="H295" s="277">
        <v>0</v>
      </c>
      <c r="I295" s="277">
        <v>178970</v>
      </c>
      <c r="J295" s="277">
        <v>0</v>
      </c>
      <c r="K295" s="277">
        <v>0</v>
      </c>
      <c r="L295" s="277">
        <v>0</v>
      </c>
      <c r="M295" s="277">
        <v>0</v>
      </c>
      <c r="N295" s="277">
        <v>0</v>
      </c>
      <c r="O295" s="277">
        <v>0</v>
      </c>
      <c r="P295" s="277">
        <v>51625395.5</v>
      </c>
      <c r="Q295" s="277">
        <v>25812697.5</v>
      </c>
      <c r="R295" s="277">
        <v>20650158</v>
      </c>
      <c r="S295" s="277">
        <v>4646286</v>
      </c>
      <c r="T295" s="277">
        <v>516254</v>
      </c>
      <c r="U295" s="277">
        <v>51625396</v>
      </c>
      <c r="V295" s="277">
        <v>0</v>
      </c>
      <c r="W295" s="277">
        <v>25812697.5</v>
      </c>
      <c r="X295" s="277">
        <v>178970</v>
      </c>
      <c r="Y295" s="277">
        <v>178970</v>
      </c>
      <c r="Z295" s="277">
        <v>0</v>
      </c>
      <c r="AA295" s="277">
        <v>0</v>
      </c>
      <c r="AB295" s="277">
        <v>0</v>
      </c>
      <c r="AC295" s="277">
        <v>0</v>
      </c>
      <c r="AD295" s="277">
        <v>0</v>
      </c>
      <c r="AE295" s="277">
        <v>0</v>
      </c>
      <c r="AF295" s="277">
        <v>0</v>
      </c>
      <c r="AG295" s="277">
        <v>0</v>
      </c>
      <c r="AH295" s="277">
        <v>0</v>
      </c>
      <c r="AI295" s="277">
        <v>0</v>
      </c>
      <c r="AJ295" s="277">
        <v>0</v>
      </c>
      <c r="AK295" s="277">
        <v>0</v>
      </c>
      <c r="AL295" s="277">
        <v>0</v>
      </c>
      <c r="AM295" s="277">
        <v>-417589.5</v>
      </c>
      <c r="AN295" s="277">
        <v>-334071.6</v>
      </c>
      <c r="AO295" s="277">
        <v>-75166.11</v>
      </c>
      <c r="AP295" s="277">
        <v>-8351.79</v>
      </c>
      <c r="AQ295" s="277">
        <v>-835179</v>
      </c>
      <c r="AR295" s="277">
        <v>25395108</v>
      </c>
      <c r="AS295" s="277">
        <v>20495056</v>
      </c>
      <c r="AT295" s="277">
        <v>4571120</v>
      </c>
      <c r="AU295" s="277">
        <v>507902</v>
      </c>
      <c r="AV295" s="277">
        <v>50969187</v>
      </c>
      <c r="AW295" s="277">
        <v>221116</v>
      </c>
      <c r="AX295" s="277">
        <v>49324</v>
      </c>
      <c r="AY295" s="277">
        <v>5480</v>
      </c>
      <c r="AZ295" s="277">
        <v>275920</v>
      </c>
      <c r="BA295" s="277">
        <v>423996</v>
      </c>
      <c r="BB295" s="277">
        <v>95399</v>
      </c>
      <c r="BC295" s="277">
        <v>10600</v>
      </c>
      <c r="BD295" s="277">
        <v>529995</v>
      </c>
      <c r="BE295" s="277">
        <v>0</v>
      </c>
      <c r="BF295" s="277">
        <v>0</v>
      </c>
      <c r="BG295" s="277">
        <v>0</v>
      </c>
      <c r="BH295" s="277">
        <v>0</v>
      </c>
      <c r="BI295" s="277">
        <v>0</v>
      </c>
      <c r="BJ295" s="277">
        <v>0</v>
      </c>
      <c r="BK295" s="277">
        <v>0</v>
      </c>
      <c r="BL295" s="277">
        <v>0</v>
      </c>
      <c r="BM295" s="277">
        <v>14131</v>
      </c>
      <c r="BN295" s="277">
        <v>3179</v>
      </c>
      <c r="BO295" s="277">
        <v>353</v>
      </c>
      <c r="BP295" s="277">
        <v>17663</v>
      </c>
      <c r="BQ295" s="277">
        <v>329091</v>
      </c>
      <c r="BR295" s="277">
        <v>74046</v>
      </c>
      <c r="BS295" s="277">
        <v>8227</v>
      </c>
      <c r="BT295" s="277">
        <v>411364</v>
      </c>
      <c r="BU295" s="277">
        <v>988334</v>
      </c>
      <c r="BV295" s="277">
        <v>221948</v>
      </c>
      <c r="BW295" s="277">
        <v>24660</v>
      </c>
      <c r="BX295" s="277">
        <v>1234942</v>
      </c>
      <c r="BY295" s="278" t="s">
        <v>506</v>
      </c>
      <c r="BZ295" s="279" t="s">
        <v>990</v>
      </c>
      <c r="CA295" s="280" t="s">
        <v>991</v>
      </c>
    </row>
    <row r="296" spans="1:79" ht="12.75">
      <c r="A296" s="169">
        <v>289</v>
      </c>
      <c r="B296" s="172" t="s">
        <v>508</v>
      </c>
      <c r="C296" s="258" t="s">
        <v>509</v>
      </c>
      <c r="D296" s="277">
        <v>41081996</v>
      </c>
      <c r="E296" s="277">
        <v>54765</v>
      </c>
      <c r="F296" s="277">
        <v>0</v>
      </c>
      <c r="G296" s="277">
        <v>139025</v>
      </c>
      <c r="H296" s="277">
        <v>0</v>
      </c>
      <c r="I296" s="277">
        <v>139025</v>
      </c>
      <c r="J296" s="277">
        <v>0</v>
      </c>
      <c r="K296" s="277">
        <v>0</v>
      </c>
      <c r="L296" s="277">
        <v>0</v>
      </c>
      <c r="M296" s="277">
        <v>0</v>
      </c>
      <c r="N296" s="277">
        <v>0</v>
      </c>
      <c r="O296" s="277">
        <v>0</v>
      </c>
      <c r="P296" s="277">
        <v>40997736</v>
      </c>
      <c r="Q296" s="277">
        <v>20498869</v>
      </c>
      <c r="R296" s="277">
        <v>16399094</v>
      </c>
      <c r="S296" s="277">
        <v>3689796</v>
      </c>
      <c r="T296" s="277">
        <v>409977</v>
      </c>
      <c r="U296" s="277">
        <v>40997736</v>
      </c>
      <c r="V296" s="277">
        <v>0</v>
      </c>
      <c r="W296" s="277">
        <v>20498869</v>
      </c>
      <c r="X296" s="277">
        <v>139025</v>
      </c>
      <c r="Y296" s="277">
        <v>139025</v>
      </c>
      <c r="Z296" s="277">
        <v>0</v>
      </c>
      <c r="AA296" s="277">
        <v>0</v>
      </c>
      <c r="AB296" s="277">
        <v>0</v>
      </c>
      <c r="AC296" s="277">
        <v>0</v>
      </c>
      <c r="AD296" s="277">
        <v>0</v>
      </c>
      <c r="AE296" s="277">
        <v>0</v>
      </c>
      <c r="AF296" s="277">
        <v>0</v>
      </c>
      <c r="AG296" s="277">
        <v>0</v>
      </c>
      <c r="AH296" s="277">
        <v>0</v>
      </c>
      <c r="AI296" s="277">
        <v>0</v>
      </c>
      <c r="AJ296" s="277">
        <v>0</v>
      </c>
      <c r="AK296" s="277">
        <v>0</v>
      </c>
      <c r="AL296" s="277">
        <v>0</v>
      </c>
      <c r="AM296" s="277">
        <v>-1594154</v>
      </c>
      <c r="AN296" s="277">
        <v>-1275323.2</v>
      </c>
      <c r="AO296" s="277">
        <v>-286947.72</v>
      </c>
      <c r="AP296" s="277">
        <v>-31883.08</v>
      </c>
      <c r="AQ296" s="277">
        <v>-3188308</v>
      </c>
      <c r="AR296" s="277">
        <v>18904715</v>
      </c>
      <c r="AS296" s="277">
        <v>15262796</v>
      </c>
      <c r="AT296" s="277">
        <v>3402848</v>
      </c>
      <c r="AU296" s="277">
        <v>378094</v>
      </c>
      <c r="AV296" s="277">
        <v>37948453</v>
      </c>
      <c r="AW296" s="277">
        <v>175564</v>
      </c>
      <c r="AX296" s="277">
        <v>39170</v>
      </c>
      <c r="AY296" s="277">
        <v>4352</v>
      </c>
      <c r="AZ296" s="277">
        <v>219086</v>
      </c>
      <c r="BA296" s="277">
        <v>327524</v>
      </c>
      <c r="BB296" s="277">
        <v>73693</v>
      </c>
      <c r="BC296" s="277">
        <v>8188</v>
      </c>
      <c r="BD296" s="277">
        <v>409405</v>
      </c>
      <c r="BE296" s="277">
        <v>2021</v>
      </c>
      <c r="BF296" s="277">
        <v>455</v>
      </c>
      <c r="BG296" s="277">
        <v>51</v>
      </c>
      <c r="BH296" s="277">
        <v>2527</v>
      </c>
      <c r="BI296" s="277">
        <v>4851</v>
      </c>
      <c r="BJ296" s="277">
        <v>1092</v>
      </c>
      <c r="BK296" s="277">
        <v>121</v>
      </c>
      <c r="BL296" s="277">
        <v>6064</v>
      </c>
      <c r="BM296" s="277">
        <v>2021</v>
      </c>
      <c r="BN296" s="277">
        <v>455</v>
      </c>
      <c r="BO296" s="277">
        <v>51</v>
      </c>
      <c r="BP296" s="277">
        <v>2527</v>
      </c>
      <c r="BQ296" s="277">
        <v>111168</v>
      </c>
      <c r="BR296" s="277">
        <v>25013</v>
      </c>
      <c r="BS296" s="277">
        <v>2779</v>
      </c>
      <c r="BT296" s="277">
        <v>138960</v>
      </c>
      <c r="BU296" s="277">
        <v>623149</v>
      </c>
      <c r="BV296" s="277">
        <v>139878</v>
      </c>
      <c r="BW296" s="277">
        <v>15542</v>
      </c>
      <c r="BX296" s="277">
        <v>778569</v>
      </c>
      <c r="BY296" s="278" t="s">
        <v>508</v>
      </c>
      <c r="BZ296" s="279" t="s">
        <v>998</v>
      </c>
      <c r="CA296" s="280" t="s">
        <v>999</v>
      </c>
    </row>
    <row r="297" spans="1:79" ht="12.75">
      <c r="A297" s="169">
        <v>290</v>
      </c>
      <c r="B297" s="172" t="s">
        <v>510</v>
      </c>
      <c r="C297" s="258" t="s">
        <v>511</v>
      </c>
      <c r="D297" s="277">
        <v>54470297</v>
      </c>
      <c r="E297" s="277">
        <v>1117379.8</v>
      </c>
      <c r="F297" s="277">
        <v>0</v>
      </c>
      <c r="G297" s="277">
        <v>187524</v>
      </c>
      <c r="H297" s="277">
        <v>0</v>
      </c>
      <c r="I297" s="277">
        <v>187524</v>
      </c>
      <c r="J297" s="277">
        <v>0</v>
      </c>
      <c r="K297" s="277">
        <v>0</v>
      </c>
      <c r="L297" s="277">
        <v>0</v>
      </c>
      <c r="M297" s="277">
        <v>324675</v>
      </c>
      <c r="N297" s="277">
        <v>324675</v>
      </c>
      <c r="O297" s="277">
        <v>0</v>
      </c>
      <c r="P297" s="277">
        <v>55075477.8</v>
      </c>
      <c r="Q297" s="277">
        <v>27537738.8</v>
      </c>
      <c r="R297" s="277">
        <v>22030191</v>
      </c>
      <c r="S297" s="277">
        <v>5507548</v>
      </c>
      <c r="T297" s="277">
        <v>0</v>
      </c>
      <c r="U297" s="277">
        <v>55075478</v>
      </c>
      <c r="V297" s="277">
        <v>168263</v>
      </c>
      <c r="W297" s="277">
        <v>27369475.8</v>
      </c>
      <c r="X297" s="277">
        <v>187524</v>
      </c>
      <c r="Y297" s="277">
        <v>187524</v>
      </c>
      <c r="Z297" s="277">
        <v>0</v>
      </c>
      <c r="AA297" s="277">
        <v>0</v>
      </c>
      <c r="AB297" s="277">
        <v>0</v>
      </c>
      <c r="AC297" s="277">
        <v>0</v>
      </c>
      <c r="AD297" s="277">
        <v>324675</v>
      </c>
      <c r="AE297" s="277">
        <v>0</v>
      </c>
      <c r="AF297" s="277">
        <v>324675</v>
      </c>
      <c r="AG297" s="277">
        <v>168263</v>
      </c>
      <c r="AH297" s="277">
        <v>0</v>
      </c>
      <c r="AI297" s="277">
        <v>0</v>
      </c>
      <c r="AJ297" s="277">
        <v>168263</v>
      </c>
      <c r="AK297" s="277">
        <v>0</v>
      </c>
      <c r="AL297" s="277">
        <v>0</v>
      </c>
      <c r="AM297" s="277">
        <v>-1804755.6</v>
      </c>
      <c r="AN297" s="277">
        <v>-1443804.5</v>
      </c>
      <c r="AO297" s="277">
        <v>-360951.12</v>
      </c>
      <c r="AP297" s="277">
        <v>0</v>
      </c>
      <c r="AQ297" s="277">
        <v>-3609511.2</v>
      </c>
      <c r="AR297" s="277">
        <v>25564720</v>
      </c>
      <c r="AS297" s="277">
        <v>21266849</v>
      </c>
      <c r="AT297" s="277">
        <v>5146597</v>
      </c>
      <c r="AU297" s="277">
        <v>0</v>
      </c>
      <c r="AV297" s="277">
        <v>51978166</v>
      </c>
      <c r="AW297" s="277">
        <v>241090</v>
      </c>
      <c r="AX297" s="277">
        <v>58467</v>
      </c>
      <c r="AY297" s="277">
        <v>0</v>
      </c>
      <c r="AZ297" s="277">
        <v>299557</v>
      </c>
      <c r="BA297" s="277">
        <v>320035</v>
      </c>
      <c r="BB297" s="277">
        <v>80009</v>
      </c>
      <c r="BC297" s="277">
        <v>0</v>
      </c>
      <c r="BD297" s="277">
        <v>400044</v>
      </c>
      <c r="BE297" s="277">
        <v>0</v>
      </c>
      <c r="BF297" s="277">
        <v>0</v>
      </c>
      <c r="BG297" s="277">
        <v>0</v>
      </c>
      <c r="BH297" s="277">
        <v>0</v>
      </c>
      <c r="BI297" s="277">
        <v>0</v>
      </c>
      <c r="BJ297" s="277">
        <v>0</v>
      </c>
      <c r="BK297" s="277">
        <v>0</v>
      </c>
      <c r="BL297" s="277">
        <v>0</v>
      </c>
      <c r="BM297" s="277">
        <v>57403</v>
      </c>
      <c r="BN297" s="277">
        <v>14351</v>
      </c>
      <c r="BO297" s="277">
        <v>0</v>
      </c>
      <c r="BP297" s="277">
        <v>71754</v>
      </c>
      <c r="BQ297" s="277">
        <v>159339</v>
      </c>
      <c r="BR297" s="277">
        <v>39835</v>
      </c>
      <c r="BS297" s="277">
        <v>0</v>
      </c>
      <c r="BT297" s="277">
        <v>199174</v>
      </c>
      <c r="BU297" s="277">
        <v>777867</v>
      </c>
      <c r="BV297" s="277">
        <v>192662</v>
      </c>
      <c r="BW297" s="277">
        <v>0</v>
      </c>
      <c r="BX297" s="277">
        <v>970529</v>
      </c>
      <c r="BY297" s="278" t="s">
        <v>510</v>
      </c>
      <c r="BZ297" s="279" t="s">
        <v>1028</v>
      </c>
      <c r="CA297" s="280" t="s">
        <v>984</v>
      </c>
    </row>
    <row r="298" spans="1:79" ht="12.75">
      <c r="A298" s="169">
        <v>291</v>
      </c>
      <c r="B298" s="172" t="s">
        <v>512</v>
      </c>
      <c r="C298" s="258" t="s">
        <v>513</v>
      </c>
      <c r="D298" s="277">
        <v>120456564</v>
      </c>
      <c r="E298" s="277">
        <v>324396</v>
      </c>
      <c r="F298" s="277">
        <v>0</v>
      </c>
      <c r="G298" s="277">
        <v>458655</v>
      </c>
      <c r="H298" s="277">
        <v>0</v>
      </c>
      <c r="I298" s="277">
        <v>458655</v>
      </c>
      <c r="J298" s="277">
        <v>0</v>
      </c>
      <c r="K298" s="277">
        <v>0</v>
      </c>
      <c r="L298" s="277">
        <v>0</v>
      </c>
      <c r="M298" s="277">
        <v>0</v>
      </c>
      <c r="N298" s="277">
        <v>0</v>
      </c>
      <c r="O298" s="277">
        <v>0</v>
      </c>
      <c r="P298" s="277">
        <v>120322305</v>
      </c>
      <c r="Q298" s="277">
        <v>60161153</v>
      </c>
      <c r="R298" s="277">
        <v>58957929</v>
      </c>
      <c r="S298" s="277">
        <v>0</v>
      </c>
      <c r="T298" s="277">
        <v>1203223</v>
      </c>
      <c r="U298" s="277">
        <v>120322305</v>
      </c>
      <c r="V298" s="277">
        <v>0</v>
      </c>
      <c r="W298" s="277">
        <v>60161153</v>
      </c>
      <c r="X298" s="277">
        <v>458655</v>
      </c>
      <c r="Y298" s="277">
        <v>458655</v>
      </c>
      <c r="Z298" s="277">
        <v>0</v>
      </c>
      <c r="AA298" s="277">
        <v>0</v>
      </c>
      <c r="AB298" s="277">
        <v>0</v>
      </c>
      <c r="AC298" s="277">
        <v>0</v>
      </c>
      <c r="AD298" s="277">
        <v>0</v>
      </c>
      <c r="AE298" s="277">
        <v>0</v>
      </c>
      <c r="AF298" s="277">
        <v>0</v>
      </c>
      <c r="AG298" s="277">
        <v>0</v>
      </c>
      <c r="AH298" s="277">
        <v>0</v>
      </c>
      <c r="AI298" s="277">
        <v>0</v>
      </c>
      <c r="AJ298" s="277">
        <v>0</v>
      </c>
      <c r="AK298" s="277">
        <v>0</v>
      </c>
      <c r="AL298" s="277">
        <v>0</v>
      </c>
      <c r="AM298" s="277">
        <v>-1537856</v>
      </c>
      <c r="AN298" s="277">
        <v>-1507098.9</v>
      </c>
      <c r="AO298" s="277">
        <v>0</v>
      </c>
      <c r="AP298" s="277">
        <v>-30757.12</v>
      </c>
      <c r="AQ298" s="277">
        <v>-3075712</v>
      </c>
      <c r="AR298" s="277">
        <v>58623297</v>
      </c>
      <c r="AS298" s="277">
        <v>57909485</v>
      </c>
      <c r="AT298" s="277">
        <v>0</v>
      </c>
      <c r="AU298" s="277">
        <v>1172466</v>
      </c>
      <c r="AV298" s="277">
        <v>117705248</v>
      </c>
      <c r="AW298" s="277">
        <v>630749</v>
      </c>
      <c r="AX298" s="277">
        <v>0</v>
      </c>
      <c r="AY298" s="277">
        <v>12773</v>
      </c>
      <c r="AZ298" s="277">
        <v>643522</v>
      </c>
      <c r="BA298" s="277">
        <v>1832246</v>
      </c>
      <c r="BB298" s="277">
        <v>0</v>
      </c>
      <c r="BC298" s="277">
        <v>37393</v>
      </c>
      <c r="BD298" s="277">
        <v>1869639</v>
      </c>
      <c r="BE298" s="277">
        <v>0</v>
      </c>
      <c r="BF298" s="277">
        <v>0</v>
      </c>
      <c r="BG298" s="277">
        <v>0</v>
      </c>
      <c r="BH298" s="277">
        <v>0</v>
      </c>
      <c r="BI298" s="277">
        <v>0</v>
      </c>
      <c r="BJ298" s="277">
        <v>0</v>
      </c>
      <c r="BK298" s="277">
        <v>0</v>
      </c>
      <c r="BL298" s="277">
        <v>0</v>
      </c>
      <c r="BM298" s="277">
        <v>0</v>
      </c>
      <c r="BN298" s="277">
        <v>0</v>
      </c>
      <c r="BO298" s="277">
        <v>0</v>
      </c>
      <c r="BP298" s="277">
        <v>0</v>
      </c>
      <c r="BQ298" s="277">
        <v>495202</v>
      </c>
      <c r="BR298" s="277">
        <v>0</v>
      </c>
      <c r="BS298" s="277">
        <v>10106</v>
      </c>
      <c r="BT298" s="277">
        <v>505308</v>
      </c>
      <c r="BU298" s="277">
        <v>2958197</v>
      </c>
      <c r="BV298" s="277">
        <v>0</v>
      </c>
      <c r="BW298" s="277">
        <v>60272</v>
      </c>
      <c r="BX298" s="277">
        <v>3018469</v>
      </c>
      <c r="BY298" s="278" t="s">
        <v>512</v>
      </c>
      <c r="BZ298" s="279" t="s">
        <v>996</v>
      </c>
      <c r="CA298" s="280" t="s">
        <v>1014</v>
      </c>
    </row>
    <row r="299" spans="1:79" ht="12.75">
      <c r="A299" s="169">
        <v>292</v>
      </c>
      <c r="B299" s="172" t="s">
        <v>514</v>
      </c>
      <c r="C299" s="258" t="s">
        <v>515</v>
      </c>
      <c r="D299" s="277">
        <v>68849864</v>
      </c>
      <c r="E299" s="277">
        <v>124925</v>
      </c>
      <c r="F299" s="277">
        <v>0</v>
      </c>
      <c r="G299" s="277">
        <v>343486</v>
      </c>
      <c r="H299" s="277">
        <v>0</v>
      </c>
      <c r="I299" s="277">
        <v>343486</v>
      </c>
      <c r="J299" s="277">
        <v>0</v>
      </c>
      <c r="K299" s="277">
        <v>0</v>
      </c>
      <c r="L299" s="277">
        <v>0</v>
      </c>
      <c r="M299" s="277">
        <v>0</v>
      </c>
      <c r="N299" s="277">
        <v>0</v>
      </c>
      <c r="O299" s="277">
        <v>0</v>
      </c>
      <c r="P299" s="277">
        <v>68631303</v>
      </c>
      <c r="Q299" s="277">
        <v>34315652</v>
      </c>
      <c r="R299" s="277">
        <v>33629338</v>
      </c>
      <c r="S299" s="277">
        <v>0</v>
      </c>
      <c r="T299" s="277">
        <v>686313</v>
      </c>
      <c r="U299" s="277">
        <v>68631303</v>
      </c>
      <c r="V299" s="277">
        <v>62901</v>
      </c>
      <c r="W299" s="277">
        <v>34252751</v>
      </c>
      <c r="X299" s="277">
        <v>343486</v>
      </c>
      <c r="Y299" s="277">
        <v>343486</v>
      </c>
      <c r="Z299" s="277">
        <v>0</v>
      </c>
      <c r="AA299" s="277">
        <v>0</v>
      </c>
      <c r="AB299" s="277">
        <v>0</v>
      </c>
      <c r="AC299" s="277">
        <v>0</v>
      </c>
      <c r="AD299" s="277">
        <v>0</v>
      </c>
      <c r="AE299" s="277">
        <v>0</v>
      </c>
      <c r="AF299" s="277">
        <v>0</v>
      </c>
      <c r="AG299" s="277">
        <v>62901</v>
      </c>
      <c r="AH299" s="277">
        <v>0</v>
      </c>
      <c r="AI299" s="277">
        <v>0</v>
      </c>
      <c r="AJ299" s="277">
        <v>62901</v>
      </c>
      <c r="AK299" s="277">
        <v>0</v>
      </c>
      <c r="AL299" s="277">
        <v>0</v>
      </c>
      <c r="AM299" s="277">
        <v>-456698</v>
      </c>
      <c r="AN299" s="277">
        <v>-447564.04</v>
      </c>
      <c r="AO299" s="277">
        <v>0</v>
      </c>
      <c r="AP299" s="277">
        <v>-9133.96</v>
      </c>
      <c r="AQ299" s="277">
        <v>-913396</v>
      </c>
      <c r="AR299" s="277">
        <v>33796053</v>
      </c>
      <c r="AS299" s="277">
        <v>33588161</v>
      </c>
      <c r="AT299" s="277">
        <v>0</v>
      </c>
      <c r="AU299" s="277">
        <v>677179</v>
      </c>
      <c r="AV299" s="277">
        <v>68061393</v>
      </c>
      <c r="AW299" s="277">
        <v>361313</v>
      </c>
      <c r="AX299" s="277">
        <v>0</v>
      </c>
      <c r="AY299" s="277">
        <v>7286</v>
      </c>
      <c r="AZ299" s="277">
        <v>368599</v>
      </c>
      <c r="BA299" s="277">
        <v>1297849</v>
      </c>
      <c r="BB299" s="277">
        <v>0</v>
      </c>
      <c r="BC299" s="277">
        <v>26487</v>
      </c>
      <c r="BD299" s="277">
        <v>1324336</v>
      </c>
      <c r="BE299" s="277">
        <v>35691</v>
      </c>
      <c r="BF299" s="277">
        <v>0</v>
      </c>
      <c r="BG299" s="277">
        <v>728</v>
      </c>
      <c r="BH299" s="277">
        <v>36419</v>
      </c>
      <c r="BI299" s="277">
        <v>0</v>
      </c>
      <c r="BJ299" s="277">
        <v>0</v>
      </c>
      <c r="BK299" s="277">
        <v>0</v>
      </c>
      <c r="BL299" s="277">
        <v>0</v>
      </c>
      <c r="BM299" s="277">
        <v>63205</v>
      </c>
      <c r="BN299" s="277">
        <v>0</v>
      </c>
      <c r="BO299" s="277">
        <v>1290</v>
      </c>
      <c r="BP299" s="277">
        <v>64495</v>
      </c>
      <c r="BQ299" s="277">
        <v>439983</v>
      </c>
      <c r="BR299" s="277">
        <v>0</v>
      </c>
      <c r="BS299" s="277">
        <v>8979</v>
      </c>
      <c r="BT299" s="277">
        <v>448962</v>
      </c>
      <c r="BU299" s="277">
        <v>2198041</v>
      </c>
      <c r="BV299" s="277">
        <v>0</v>
      </c>
      <c r="BW299" s="277">
        <v>44770</v>
      </c>
      <c r="BX299" s="277">
        <v>2242811</v>
      </c>
      <c r="BY299" s="278" t="s">
        <v>514</v>
      </c>
      <c r="BZ299" s="279" t="s">
        <v>996</v>
      </c>
      <c r="CA299" s="280" t="s">
        <v>1006</v>
      </c>
    </row>
    <row r="300" spans="1:79" ht="12.75">
      <c r="A300" s="169">
        <v>293</v>
      </c>
      <c r="B300" s="172" t="s">
        <v>516</v>
      </c>
      <c r="C300" s="258" t="s">
        <v>517</v>
      </c>
      <c r="D300" s="277">
        <v>54952304</v>
      </c>
      <c r="E300" s="277">
        <v>209633</v>
      </c>
      <c r="F300" s="277">
        <v>0</v>
      </c>
      <c r="G300" s="277">
        <v>291662</v>
      </c>
      <c r="H300" s="277">
        <v>0</v>
      </c>
      <c r="I300" s="277">
        <v>291662</v>
      </c>
      <c r="J300" s="277">
        <v>0</v>
      </c>
      <c r="K300" s="277">
        <v>0</v>
      </c>
      <c r="L300" s="277">
        <v>0</v>
      </c>
      <c r="M300" s="277">
        <v>0</v>
      </c>
      <c r="N300" s="277">
        <v>0</v>
      </c>
      <c r="O300" s="277">
        <v>0</v>
      </c>
      <c r="P300" s="277">
        <v>54870275</v>
      </c>
      <c r="Q300" s="277">
        <v>27435137</v>
      </c>
      <c r="R300" s="277">
        <v>16461083</v>
      </c>
      <c r="S300" s="277">
        <v>10974055</v>
      </c>
      <c r="T300" s="277">
        <v>0</v>
      </c>
      <c r="U300" s="277">
        <v>54870275</v>
      </c>
      <c r="V300" s="277">
        <v>0</v>
      </c>
      <c r="W300" s="277">
        <v>27435137</v>
      </c>
      <c r="X300" s="277">
        <v>291662</v>
      </c>
      <c r="Y300" s="277">
        <v>291662</v>
      </c>
      <c r="Z300" s="277">
        <v>0</v>
      </c>
      <c r="AA300" s="277">
        <v>0</v>
      </c>
      <c r="AB300" s="277">
        <v>0</v>
      </c>
      <c r="AC300" s="277">
        <v>0</v>
      </c>
      <c r="AD300" s="277">
        <v>0</v>
      </c>
      <c r="AE300" s="277">
        <v>0</v>
      </c>
      <c r="AF300" s="277">
        <v>0</v>
      </c>
      <c r="AG300" s="277">
        <v>0</v>
      </c>
      <c r="AH300" s="277">
        <v>0</v>
      </c>
      <c r="AI300" s="277">
        <v>0</v>
      </c>
      <c r="AJ300" s="277">
        <v>0</v>
      </c>
      <c r="AK300" s="277">
        <v>0</v>
      </c>
      <c r="AL300" s="277">
        <v>0</v>
      </c>
      <c r="AM300" s="277">
        <v>-151724.5</v>
      </c>
      <c r="AN300" s="277">
        <v>-91034.7</v>
      </c>
      <c r="AO300" s="277">
        <v>-60689.8</v>
      </c>
      <c r="AP300" s="277">
        <v>0</v>
      </c>
      <c r="AQ300" s="277">
        <v>-303449</v>
      </c>
      <c r="AR300" s="277">
        <v>27283413</v>
      </c>
      <c r="AS300" s="277">
        <v>16661710</v>
      </c>
      <c r="AT300" s="277">
        <v>10913365</v>
      </c>
      <c r="AU300" s="277">
        <v>0</v>
      </c>
      <c r="AV300" s="277">
        <v>54858488</v>
      </c>
      <c r="AW300" s="277">
        <v>177842</v>
      </c>
      <c r="AX300" s="277">
        <v>116497</v>
      </c>
      <c r="AY300" s="277">
        <v>0</v>
      </c>
      <c r="AZ300" s="277">
        <v>294339</v>
      </c>
      <c r="BA300" s="277">
        <v>771827</v>
      </c>
      <c r="BB300" s="277">
        <v>514552</v>
      </c>
      <c r="BC300" s="277">
        <v>0</v>
      </c>
      <c r="BD300" s="277">
        <v>1286379</v>
      </c>
      <c r="BE300" s="277">
        <v>0</v>
      </c>
      <c r="BF300" s="277">
        <v>0</v>
      </c>
      <c r="BG300" s="277">
        <v>0</v>
      </c>
      <c r="BH300" s="277">
        <v>0</v>
      </c>
      <c r="BI300" s="277">
        <v>15159</v>
      </c>
      <c r="BJ300" s="277">
        <v>10106</v>
      </c>
      <c r="BK300" s="277">
        <v>0</v>
      </c>
      <c r="BL300" s="277">
        <v>25265</v>
      </c>
      <c r="BM300" s="277">
        <v>24255</v>
      </c>
      <c r="BN300" s="277">
        <v>16170</v>
      </c>
      <c r="BO300" s="277">
        <v>0</v>
      </c>
      <c r="BP300" s="277">
        <v>40425</v>
      </c>
      <c r="BQ300" s="277">
        <v>454777</v>
      </c>
      <c r="BR300" s="277">
        <v>303185</v>
      </c>
      <c r="BS300" s="277">
        <v>0</v>
      </c>
      <c r="BT300" s="277">
        <v>757962</v>
      </c>
      <c r="BU300" s="277">
        <v>1443860</v>
      </c>
      <c r="BV300" s="277">
        <v>960510</v>
      </c>
      <c r="BW300" s="277">
        <v>0</v>
      </c>
      <c r="BX300" s="277">
        <v>2404370</v>
      </c>
      <c r="BY300" s="278" t="s">
        <v>516</v>
      </c>
      <c r="BZ300" s="279" t="s">
        <v>995</v>
      </c>
      <c r="CA300" s="279" t="s">
        <v>983</v>
      </c>
    </row>
    <row r="301" spans="1:79" ht="12.75">
      <c r="A301" s="169">
        <v>294</v>
      </c>
      <c r="B301" s="172" t="s">
        <v>518</v>
      </c>
      <c r="C301" s="258" t="s">
        <v>519</v>
      </c>
      <c r="D301" s="277">
        <v>102162213</v>
      </c>
      <c r="E301" s="277">
        <v>160828</v>
      </c>
      <c r="F301" s="277">
        <v>0</v>
      </c>
      <c r="G301" s="277">
        <v>477094</v>
      </c>
      <c r="H301" s="277">
        <v>0</v>
      </c>
      <c r="I301" s="277">
        <v>477094</v>
      </c>
      <c r="J301" s="277">
        <v>0</v>
      </c>
      <c r="K301" s="277">
        <v>0</v>
      </c>
      <c r="L301" s="277">
        <v>0</v>
      </c>
      <c r="M301" s="277">
        <v>0</v>
      </c>
      <c r="N301" s="277">
        <v>0</v>
      </c>
      <c r="O301" s="277">
        <v>0</v>
      </c>
      <c r="P301" s="277">
        <v>101845947</v>
      </c>
      <c r="Q301" s="277">
        <v>50922974</v>
      </c>
      <c r="R301" s="277">
        <v>30553784</v>
      </c>
      <c r="S301" s="277">
        <v>20369189</v>
      </c>
      <c r="T301" s="277">
        <v>0</v>
      </c>
      <c r="U301" s="277">
        <v>101845947</v>
      </c>
      <c r="V301" s="277">
        <v>0</v>
      </c>
      <c r="W301" s="277">
        <v>50922974</v>
      </c>
      <c r="X301" s="277">
        <v>477094</v>
      </c>
      <c r="Y301" s="277">
        <v>477094</v>
      </c>
      <c r="Z301" s="277">
        <v>0</v>
      </c>
      <c r="AA301" s="277">
        <v>0</v>
      </c>
      <c r="AB301" s="277">
        <v>0</v>
      </c>
      <c r="AC301" s="277">
        <v>0</v>
      </c>
      <c r="AD301" s="277">
        <v>0</v>
      </c>
      <c r="AE301" s="277">
        <v>0</v>
      </c>
      <c r="AF301" s="277">
        <v>0</v>
      </c>
      <c r="AG301" s="277">
        <v>0</v>
      </c>
      <c r="AH301" s="277">
        <v>0</v>
      </c>
      <c r="AI301" s="277">
        <v>0</v>
      </c>
      <c r="AJ301" s="277">
        <v>0</v>
      </c>
      <c r="AK301" s="277">
        <v>0</v>
      </c>
      <c r="AL301" s="277">
        <v>0</v>
      </c>
      <c r="AM301" s="277">
        <v>-37034.8</v>
      </c>
      <c r="AN301" s="277">
        <v>-22220.88</v>
      </c>
      <c r="AO301" s="277">
        <v>-14813.92</v>
      </c>
      <c r="AP301" s="277">
        <v>0</v>
      </c>
      <c r="AQ301" s="277">
        <v>-74069.6</v>
      </c>
      <c r="AR301" s="277">
        <v>50885939</v>
      </c>
      <c r="AS301" s="277">
        <v>31008657</v>
      </c>
      <c r="AT301" s="277">
        <v>20354375</v>
      </c>
      <c r="AU301" s="277">
        <v>0</v>
      </c>
      <c r="AV301" s="277">
        <v>102248971</v>
      </c>
      <c r="AW301" s="277">
        <v>329415</v>
      </c>
      <c r="AX301" s="277">
        <v>216233</v>
      </c>
      <c r="AY301" s="277">
        <v>0</v>
      </c>
      <c r="AZ301" s="277">
        <v>545648</v>
      </c>
      <c r="BA301" s="277">
        <v>508094</v>
      </c>
      <c r="BB301" s="277">
        <v>338730</v>
      </c>
      <c r="BC301" s="277">
        <v>0</v>
      </c>
      <c r="BD301" s="277">
        <v>846824</v>
      </c>
      <c r="BE301" s="277">
        <v>53483</v>
      </c>
      <c r="BF301" s="277">
        <v>35656</v>
      </c>
      <c r="BG301" s="277">
        <v>0</v>
      </c>
      <c r="BH301" s="277">
        <v>89139</v>
      </c>
      <c r="BI301" s="277">
        <v>30319</v>
      </c>
      <c r="BJ301" s="277">
        <v>20212</v>
      </c>
      <c r="BK301" s="277">
        <v>0</v>
      </c>
      <c r="BL301" s="277">
        <v>50531</v>
      </c>
      <c r="BM301" s="277">
        <v>15786</v>
      </c>
      <c r="BN301" s="277">
        <v>10524</v>
      </c>
      <c r="BO301" s="277">
        <v>0</v>
      </c>
      <c r="BP301" s="277">
        <v>26310</v>
      </c>
      <c r="BQ301" s="277">
        <v>571548</v>
      </c>
      <c r="BR301" s="277">
        <v>381032</v>
      </c>
      <c r="BS301" s="277">
        <v>0</v>
      </c>
      <c r="BT301" s="277">
        <v>952580</v>
      </c>
      <c r="BU301" s="277">
        <v>1508645</v>
      </c>
      <c r="BV301" s="277">
        <v>1002387</v>
      </c>
      <c r="BW301" s="277">
        <v>0</v>
      </c>
      <c r="BX301" s="277">
        <v>2511032</v>
      </c>
      <c r="BY301" s="278" t="s">
        <v>518</v>
      </c>
      <c r="BZ301" s="279" t="s">
        <v>995</v>
      </c>
      <c r="CA301" s="279" t="s">
        <v>983</v>
      </c>
    </row>
    <row r="302" spans="1:79" ht="12.75">
      <c r="A302" s="169">
        <v>295</v>
      </c>
      <c r="B302" s="172" t="s">
        <v>520</v>
      </c>
      <c r="C302" s="258" t="s">
        <v>521</v>
      </c>
      <c r="D302" s="277">
        <v>104141365</v>
      </c>
      <c r="E302" s="277">
        <v>84792</v>
      </c>
      <c r="F302" s="277">
        <v>0</v>
      </c>
      <c r="G302" s="277">
        <v>306743</v>
      </c>
      <c r="H302" s="277">
        <v>0</v>
      </c>
      <c r="I302" s="277">
        <v>306743</v>
      </c>
      <c r="J302" s="277">
        <v>0</v>
      </c>
      <c r="K302" s="277">
        <v>0</v>
      </c>
      <c r="L302" s="277">
        <v>0</v>
      </c>
      <c r="M302" s="277">
        <v>0</v>
      </c>
      <c r="N302" s="277">
        <v>0</v>
      </c>
      <c r="O302" s="277">
        <v>0</v>
      </c>
      <c r="P302" s="277">
        <v>103919414</v>
      </c>
      <c r="Q302" s="277">
        <v>51959707</v>
      </c>
      <c r="R302" s="277">
        <v>50920513</v>
      </c>
      <c r="S302" s="277">
        <v>0</v>
      </c>
      <c r="T302" s="277">
        <v>1039194</v>
      </c>
      <c r="U302" s="277">
        <v>103919414</v>
      </c>
      <c r="V302" s="277">
        <v>0</v>
      </c>
      <c r="W302" s="277">
        <v>51959707</v>
      </c>
      <c r="X302" s="277">
        <v>306743</v>
      </c>
      <c r="Y302" s="277">
        <v>306743</v>
      </c>
      <c r="Z302" s="277">
        <v>0</v>
      </c>
      <c r="AA302" s="277">
        <v>0</v>
      </c>
      <c r="AB302" s="277">
        <v>0</v>
      </c>
      <c r="AC302" s="277">
        <v>0</v>
      </c>
      <c r="AD302" s="277">
        <v>0</v>
      </c>
      <c r="AE302" s="277">
        <v>0</v>
      </c>
      <c r="AF302" s="277">
        <v>0</v>
      </c>
      <c r="AG302" s="277">
        <v>0</v>
      </c>
      <c r="AH302" s="277">
        <v>0</v>
      </c>
      <c r="AI302" s="277">
        <v>0</v>
      </c>
      <c r="AJ302" s="277">
        <v>0</v>
      </c>
      <c r="AK302" s="277">
        <v>0</v>
      </c>
      <c r="AL302" s="277">
        <v>0</v>
      </c>
      <c r="AM302" s="277">
        <v>-395034</v>
      </c>
      <c r="AN302" s="277">
        <v>-387133.32</v>
      </c>
      <c r="AO302" s="277">
        <v>0</v>
      </c>
      <c r="AP302" s="277">
        <v>-7900.68</v>
      </c>
      <c r="AQ302" s="277">
        <v>-790068</v>
      </c>
      <c r="AR302" s="277">
        <v>51564673</v>
      </c>
      <c r="AS302" s="277">
        <v>50840123</v>
      </c>
      <c r="AT302" s="277">
        <v>0</v>
      </c>
      <c r="AU302" s="277">
        <v>1031293</v>
      </c>
      <c r="AV302" s="277">
        <v>103436089</v>
      </c>
      <c r="AW302" s="277">
        <v>543814</v>
      </c>
      <c r="AX302" s="277">
        <v>0</v>
      </c>
      <c r="AY302" s="277">
        <v>11032</v>
      </c>
      <c r="AZ302" s="277">
        <v>554846</v>
      </c>
      <c r="BA302" s="277">
        <v>665741</v>
      </c>
      <c r="BB302" s="277">
        <v>0</v>
      </c>
      <c r="BC302" s="277">
        <v>13587</v>
      </c>
      <c r="BD302" s="277">
        <v>679328</v>
      </c>
      <c r="BE302" s="277">
        <v>0</v>
      </c>
      <c r="BF302" s="277">
        <v>0</v>
      </c>
      <c r="BG302" s="277">
        <v>0</v>
      </c>
      <c r="BH302" s="277">
        <v>0</v>
      </c>
      <c r="BI302" s="277">
        <v>0</v>
      </c>
      <c r="BJ302" s="277">
        <v>0</v>
      </c>
      <c r="BK302" s="277">
        <v>0</v>
      </c>
      <c r="BL302" s="277">
        <v>0</v>
      </c>
      <c r="BM302" s="277">
        <v>0</v>
      </c>
      <c r="BN302" s="277">
        <v>0</v>
      </c>
      <c r="BO302" s="277">
        <v>0</v>
      </c>
      <c r="BP302" s="277">
        <v>0</v>
      </c>
      <c r="BQ302" s="277">
        <v>506702</v>
      </c>
      <c r="BR302" s="277">
        <v>0</v>
      </c>
      <c r="BS302" s="277">
        <v>10341</v>
      </c>
      <c r="BT302" s="277">
        <v>517043</v>
      </c>
      <c r="BU302" s="277">
        <v>1716257</v>
      </c>
      <c r="BV302" s="277">
        <v>0</v>
      </c>
      <c r="BW302" s="277">
        <v>34960</v>
      </c>
      <c r="BX302" s="277">
        <v>1751217</v>
      </c>
      <c r="BY302" s="278" t="s">
        <v>928</v>
      </c>
      <c r="BZ302" s="279" t="s">
        <v>1003</v>
      </c>
      <c r="CA302" s="280" t="s">
        <v>1029</v>
      </c>
    </row>
    <row r="303" spans="1:79" ht="12.75">
      <c r="A303" s="169">
        <v>296</v>
      </c>
      <c r="B303" s="172" t="s">
        <v>522</v>
      </c>
      <c r="C303" s="258" t="s">
        <v>523</v>
      </c>
      <c r="D303" s="277">
        <v>69008932.3</v>
      </c>
      <c r="E303" s="277">
        <v>39155.16</v>
      </c>
      <c r="F303" s="277">
        <v>0</v>
      </c>
      <c r="G303" s="277">
        <v>213591</v>
      </c>
      <c r="H303" s="277">
        <v>0</v>
      </c>
      <c r="I303" s="277">
        <v>213591</v>
      </c>
      <c r="J303" s="277">
        <v>0</v>
      </c>
      <c r="K303" s="277">
        <v>0</v>
      </c>
      <c r="L303" s="277">
        <v>0</v>
      </c>
      <c r="M303" s="277">
        <v>0</v>
      </c>
      <c r="N303" s="277">
        <v>0</v>
      </c>
      <c r="O303" s="277">
        <v>0</v>
      </c>
      <c r="P303" s="277">
        <v>68834496.5</v>
      </c>
      <c r="Q303" s="277">
        <v>34417247.5</v>
      </c>
      <c r="R303" s="277">
        <v>27533799</v>
      </c>
      <c r="S303" s="277">
        <v>6883450</v>
      </c>
      <c r="T303" s="277">
        <v>0</v>
      </c>
      <c r="U303" s="277">
        <v>68834496</v>
      </c>
      <c r="V303" s="277">
        <v>0</v>
      </c>
      <c r="W303" s="277">
        <v>34417247.5</v>
      </c>
      <c r="X303" s="277">
        <v>213591</v>
      </c>
      <c r="Y303" s="277">
        <v>213591</v>
      </c>
      <c r="Z303" s="277">
        <v>0</v>
      </c>
      <c r="AA303" s="277">
        <v>0</v>
      </c>
      <c r="AB303" s="277">
        <v>0</v>
      </c>
      <c r="AC303" s="277">
        <v>0</v>
      </c>
      <c r="AD303" s="277">
        <v>0</v>
      </c>
      <c r="AE303" s="277">
        <v>0</v>
      </c>
      <c r="AF303" s="277">
        <v>0</v>
      </c>
      <c r="AG303" s="277">
        <v>0</v>
      </c>
      <c r="AH303" s="277">
        <v>0</v>
      </c>
      <c r="AI303" s="277">
        <v>0</v>
      </c>
      <c r="AJ303" s="277">
        <v>0</v>
      </c>
      <c r="AK303" s="277">
        <v>0</v>
      </c>
      <c r="AL303" s="277">
        <v>0</v>
      </c>
      <c r="AM303" s="277">
        <v>460866</v>
      </c>
      <c r="AN303" s="277">
        <v>368692.8</v>
      </c>
      <c r="AO303" s="277">
        <v>92173.2</v>
      </c>
      <c r="AP303" s="277">
        <v>0</v>
      </c>
      <c r="AQ303" s="277">
        <v>921732</v>
      </c>
      <c r="AR303" s="277">
        <v>34878113</v>
      </c>
      <c r="AS303" s="277">
        <v>28116083</v>
      </c>
      <c r="AT303" s="277">
        <v>6975623</v>
      </c>
      <c r="AU303" s="277">
        <v>0</v>
      </c>
      <c r="AV303" s="277">
        <v>69969819</v>
      </c>
      <c r="AW303" s="277">
        <v>294558</v>
      </c>
      <c r="AX303" s="277">
        <v>73073</v>
      </c>
      <c r="AY303" s="277">
        <v>0</v>
      </c>
      <c r="AZ303" s="277">
        <v>367631</v>
      </c>
      <c r="BA303" s="277">
        <v>415258</v>
      </c>
      <c r="BB303" s="277">
        <v>103815</v>
      </c>
      <c r="BC303" s="277">
        <v>0</v>
      </c>
      <c r="BD303" s="277">
        <v>519073</v>
      </c>
      <c r="BE303" s="277">
        <v>6064</v>
      </c>
      <c r="BF303" s="277">
        <v>1516</v>
      </c>
      <c r="BG303" s="277">
        <v>0</v>
      </c>
      <c r="BH303" s="277">
        <v>7580</v>
      </c>
      <c r="BI303" s="277">
        <v>0</v>
      </c>
      <c r="BJ303" s="277">
        <v>0</v>
      </c>
      <c r="BK303" s="277">
        <v>0</v>
      </c>
      <c r="BL303" s="277">
        <v>0</v>
      </c>
      <c r="BM303" s="277">
        <v>29227</v>
      </c>
      <c r="BN303" s="277">
        <v>7307</v>
      </c>
      <c r="BO303" s="277">
        <v>0</v>
      </c>
      <c r="BP303" s="277">
        <v>36534</v>
      </c>
      <c r="BQ303" s="277">
        <v>388885</v>
      </c>
      <c r="BR303" s="277">
        <v>97221</v>
      </c>
      <c r="BS303" s="277">
        <v>0</v>
      </c>
      <c r="BT303" s="277">
        <v>486106</v>
      </c>
      <c r="BU303" s="277">
        <v>1133992</v>
      </c>
      <c r="BV303" s="277">
        <v>282932</v>
      </c>
      <c r="BW303" s="277">
        <v>0</v>
      </c>
      <c r="BX303" s="277">
        <v>1416924</v>
      </c>
      <c r="BY303" s="278" t="s">
        <v>522</v>
      </c>
      <c r="BZ303" s="279" t="s">
        <v>1049</v>
      </c>
      <c r="CA303" s="280" t="s">
        <v>984</v>
      </c>
    </row>
    <row r="304" spans="1:79" ht="12.75">
      <c r="A304" s="169">
        <v>297</v>
      </c>
      <c r="B304" s="172" t="s">
        <v>524</v>
      </c>
      <c r="C304" s="258" t="s">
        <v>525</v>
      </c>
      <c r="D304" s="277">
        <v>65164219</v>
      </c>
      <c r="E304" s="277">
        <v>201210</v>
      </c>
      <c r="F304" s="277">
        <v>0</v>
      </c>
      <c r="G304" s="277">
        <v>174144</v>
      </c>
      <c r="H304" s="277">
        <v>0</v>
      </c>
      <c r="I304" s="277">
        <v>174144</v>
      </c>
      <c r="J304" s="277">
        <v>0</v>
      </c>
      <c r="K304" s="277">
        <v>0</v>
      </c>
      <c r="L304" s="277">
        <v>0</v>
      </c>
      <c r="M304" s="277">
        <v>0</v>
      </c>
      <c r="N304" s="277">
        <v>0</v>
      </c>
      <c r="O304" s="277">
        <v>0</v>
      </c>
      <c r="P304" s="277">
        <v>65191285</v>
      </c>
      <c r="Q304" s="277">
        <v>32595642</v>
      </c>
      <c r="R304" s="277">
        <v>26076514</v>
      </c>
      <c r="S304" s="277">
        <v>6519129</v>
      </c>
      <c r="T304" s="277">
        <v>0</v>
      </c>
      <c r="U304" s="277">
        <v>65191285</v>
      </c>
      <c r="V304" s="277">
        <v>0</v>
      </c>
      <c r="W304" s="277">
        <v>32595642</v>
      </c>
      <c r="X304" s="277">
        <v>174144</v>
      </c>
      <c r="Y304" s="277">
        <v>174144</v>
      </c>
      <c r="Z304" s="277">
        <v>0</v>
      </c>
      <c r="AA304" s="277">
        <v>0</v>
      </c>
      <c r="AB304" s="277">
        <v>0</v>
      </c>
      <c r="AC304" s="277">
        <v>0</v>
      </c>
      <c r="AD304" s="277">
        <v>0</v>
      </c>
      <c r="AE304" s="277">
        <v>0</v>
      </c>
      <c r="AF304" s="277">
        <v>0</v>
      </c>
      <c r="AG304" s="277">
        <v>0</v>
      </c>
      <c r="AH304" s="277">
        <v>0</v>
      </c>
      <c r="AI304" s="277">
        <v>0</v>
      </c>
      <c r="AJ304" s="277">
        <v>0</v>
      </c>
      <c r="AK304" s="277">
        <v>0</v>
      </c>
      <c r="AL304" s="277">
        <v>0</v>
      </c>
      <c r="AM304" s="277">
        <v>-6650856.5</v>
      </c>
      <c r="AN304" s="277">
        <v>-5320685.2</v>
      </c>
      <c r="AO304" s="277">
        <v>-1330171.3</v>
      </c>
      <c r="AP304" s="277">
        <v>0</v>
      </c>
      <c r="AQ304" s="277">
        <v>-13301713</v>
      </c>
      <c r="AR304" s="277">
        <v>25944786</v>
      </c>
      <c r="AS304" s="277">
        <v>20929973</v>
      </c>
      <c r="AT304" s="277">
        <v>5188958</v>
      </c>
      <c r="AU304" s="277">
        <v>0</v>
      </c>
      <c r="AV304" s="277">
        <v>52063716</v>
      </c>
      <c r="AW304" s="277">
        <v>278669</v>
      </c>
      <c r="AX304" s="277">
        <v>69205</v>
      </c>
      <c r="AY304" s="277">
        <v>0</v>
      </c>
      <c r="AZ304" s="277">
        <v>347874</v>
      </c>
      <c r="BA304" s="277">
        <v>269557</v>
      </c>
      <c r="BB304" s="277">
        <v>67389</v>
      </c>
      <c r="BC304" s="277">
        <v>0</v>
      </c>
      <c r="BD304" s="277">
        <v>336946</v>
      </c>
      <c r="BE304" s="277">
        <v>0</v>
      </c>
      <c r="BF304" s="277">
        <v>0</v>
      </c>
      <c r="BG304" s="277">
        <v>0</v>
      </c>
      <c r="BH304" s="277">
        <v>0</v>
      </c>
      <c r="BI304" s="277">
        <v>0</v>
      </c>
      <c r="BJ304" s="277">
        <v>0</v>
      </c>
      <c r="BK304" s="277">
        <v>0</v>
      </c>
      <c r="BL304" s="277">
        <v>0</v>
      </c>
      <c r="BM304" s="277">
        <v>285600</v>
      </c>
      <c r="BN304" s="277">
        <v>71400</v>
      </c>
      <c r="BO304" s="277">
        <v>0</v>
      </c>
      <c r="BP304" s="277">
        <v>357000</v>
      </c>
      <c r="BQ304" s="277">
        <v>404246</v>
      </c>
      <c r="BR304" s="277">
        <v>101062</v>
      </c>
      <c r="BS304" s="277">
        <v>0</v>
      </c>
      <c r="BT304" s="277">
        <v>505308</v>
      </c>
      <c r="BU304" s="277">
        <v>1238072</v>
      </c>
      <c r="BV304" s="277">
        <v>309056</v>
      </c>
      <c r="BW304" s="277">
        <v>0</v>
      </c>
      <c r="BX304" s="277">
        <v>1547128</v>
      </c>
      <c r="BY304" s="278" t="s">
        <v>524</v>
      </c>
      <c r="BZ304" s="279" t="s">
        <v>1021</v>
      </c>
      <c r="CA304" s="280" t="s">
        <v>984</v>
      </c>
    </row>
    <row r="305" spans="1:79" ht="12.75">
      <c r="A305" s="169">
        <v>298</v>
      </c>
      <c r="B305" s="172" t="s">
        <v>526</v>
      </c>
      <c r="C305" s="258" t="s">
        <v>527</v>
      </c>
      <c r="D305" s="277">
        <v>26176012</v>
      </c>
      <c r="E305" s="277">
        <v>24514</v>
      </c>
      <c r="F305" s="277">
        <v>0</v>
      </c>
      <c r="G305" s="277">
        <v>205447</v>
      </c>
      <c r="H305" s="277">
        <v>0</v>
      </c>
      <c r="I305" s="277">
        <v>205447</v>
      </c>
      <c r="J305" s="277">
        <v>0</v>
      </c>
      <c r="K305" s="277">
        <v>0</v>
      </c>
      <c r="L305" s="277">
        <v>0</v>
      </c>
      <c r="M305" s="277">
        <v>0</v>
      </c>
      <c r="N305" s="277">
        <v>0</v>
      </c>
      <c r="O305" s="277">
        <v>0</v>
      </c>
      <c r="P305" s="277">
        <v>25995079</v>
      </c>
      <c r="Q305" s="277">
        <v>12997539</v>
      </c>
      <c r="R305" s="277">
        <v>10398032</v>
      </c>
      <c r="S305" s="277">
        <v>2599508</v>
      </c>
      <c r="T305" s="277">
        <v>0</v>
      </c>
      <c r="U305" s="277">
        <v>25995079</v>
      </c>
      <c r="V305" s="277">
        <v>23103</v>
      </c>
      <c r="W305" s="277">
        <v>12974436</v>
      </c>
      <c r="X305" s="277">
        <v>205447</v>
      </c>
      <c r="Y305" s="277">
        <v>205447</v>
      </c>
      <c r="Z305" s="277">
        <v>0</v>
      </c>
      <c r="AA305" s="277">
        <v>0</v>
      </c>
      <c r="AB305" s="277">
        <v>0</v>
      </c>
      <c r="AC305" s="277">
        <v>0</v>
      </c>
      <c r="AD305" s="277">
        <v>0</v>
      </c>
      <c r="AE305" s="277">
        <v>0</v>
      </c>
      <c r="AF305" s="277">
        <v>0</v>
      </c>
      <c r="AG305" s="277">
        <v>23103</v>
      </c>
      <c r="AH305" s="277">
        <v>0</v>
      </c>
      <c r="AI305" s="277">
        <v>0</v>
      </c>
      <c r="AJ305" s="277">
        <v>23103</v>
      </c>
      <c r="AK305" s="277">
        <v>0</v>
      </c>
      <c r="AL305" s="277">
        <v>0</v>
      </c>
      <c r="AM305" s="277">
        <v>-411399</v>
      </c>
      <c r="AN305" s="277">
        <v>-329119.2</v>
      </c>
      <c r="AO305" s="277">
        <v>-82279.8</v>
      </c>
      <c r="AP305" s="277">
        <v>0</v>
      </c>
      <c r="AQ305" s="277">
        <v>-822798</v>
      </c>
      <c r="AR305" s="277">
        <v>12563037</v>
      </c>
      <c r="AS305" s="277">
        <v>10297463</v>
      </c>
      <c r="AT305" s="277">
        <v>2517228</v>
      </c>
      <c r="AU305" s="277">
        <v>0</v>
      </c>
      <c r="AV305" s="277">
        <v>25377728</v>
      </c>
      <c r="AW305" s="277">
        <v>112809</v>
      </c>
      <c r="AX305" s="277">
        <v>27596</v>
      </c>
      <c r="AY305" s="277">
        <v>0</v>
      </c>
      <c r="AZ305" s="277">
        <v>140405</v>
      </c>
      <c r="BA305" s="277">
        <v>609722</v>
      </c>
      <c r="BB305" s="277">
        <v>152430</v>
      </c>
      <c r="BC305" s="277">
        <v>0</v>
      </c>
      <c r="BD305" s="277">
        <v>762152</v>
      </c>
      <c r="BE305" s="277">
        <v>0</v>
      </c>
      <c r="BF305" s="277">
        <v>0</v>
      </c>
      <c r="BG305" s="277">
        <v>0</v>
      </c>
      <c r="BH305" s="277">
        <v>0</v>
      </c>
      <c r="BI305" s="277">
        <v>0</v>
      </c>
      <c r="BJ305" s="277">
        <v>0</v>
      </c>
      <c r="BK305" s="277">
        <v>0</v>
      </c>
      <c r="BL305" s="277">
        <v>0</v>
      </c>
      <c r="BM305" s="277">
        <v>9056</v>
      </c>
      <c r="BN305" s="277">
        <v>2264</v>
      </c>
      <c r="BO305" s="277">
        <v>0</v>
      </c>
      <c r="BP305" s="277">
        <v>11320</v>
      </c>
      <c r="BQ305" s="277">
        <v>211251</v>
      </c>
      <c r="BR305" s="277">
        <v>52813</v>
      </c>
      <c r="BS305" s="277">
        <v>0</v>
      </c>
      <c r="BT305" s="277">
        <v>264064</v>
      </c>
      <c r="BU305" s="277">
        <v>942838</v>
      </c>
      <c r="BV305" s="277">
        <v>235103</v>
      </c>
      <c r="BW305" s="277">
        <v>0</v>
      </c>
      <c r="BX305" s="277">
        <v>1177941</v>
      </c>
      <c r="BY305" s="278" t="s">
        <v>526</v>
      </c>
      <c r="BZ305" s="279" t="s">
        <v>994</v>
      </c>
      <c r="CA305" s="280" t="s">
        <v>984</v>
      </c>
    </row>
    <row r="306" spans="1:79" ht="12.75">
      <c r="A306" s="169">
        <v>299</v>
      </c>
      <c r="B306" s="172" t="s">
        <v>528</v>
      </c>
      <c r="C306" s="258" t="s">
        <v>529</v>
      </c>
      <c r="D306" s="277">
        <v>34489315.4</v>
      </c>
      <c r="E306" s="277">
        <v>19642.37</v>
      </c>
      <c r="F306" s="277">
        <v>0</v>
      </c>
      <c r="G306" s="277">
        <v>180822</v>
      </c>
      <c r="H306" s="277">
        <v>0</v>
      </c>
      <c r="I306" s="277">
        <v>180822</v>
      </c>
      <c r="J306" s="277">
        <v>0</v>
      </c>
      <c r="K306" s="277">
        <v>0</v>
      </c>
      <c r="L306" s="277">
        <v>0</v>
      </c>
      <c r="M306" s="277">
        <v>0</v>
      </c>
      <c r="N306" s="277">
        <v>0</v>
      </c>
      <c r="O306" s="277">
        <v>0</v>
      </c>
      <c r="P306" s="277">
        <v>34328135.8</v>
      </c>
      <c r="Q306" s="277">
        <v>17164067.8</v>
      </c>
      <c r="R306" s="277">
        <v>13731254</v>
      </c>
      <c r="S306" s="277">
        <v>3432814</v>
      </c>
      <c r="T306" s="277">
        <v>0</v>
      </c>
      <c r="U306" s="277">
        <v>34328136</v>
      </c>
      <c r="V306" s="277">
        <v>0</v>
      </c>
      <c r="W306" s="277">
        <v>17164067.8</v>
      </c>
      <c r="X306" s="277">
        <v>180822</v>
      </c>
      <c r="Y306" s="277">
        <v>180822</v>
      </c>
      <c r="Z306" s="277">
        <v>0</v>
      </c>
      <c r="AA306" s="277">
        <v>0</v>
      </c>
      <c r="AB306" s="277">
        <v>0</v>
      </c>
      <c r="AC306" s="277">
        <v>0</v>
      </c>
      <c r="AD306" s="277">
        <v>0</v>
      </c>
      <c r="AE306" s="277">
        <v>0</v>
      </c>
      <c r="AF306" s="277">
        <v>0</v>
      </c>
      <c r="AG306" s="277">
        <v>0</v>
      </c>
      <c r="AH306" s="277">
        <v>0</v>
      </c>
      <c r="AI306" s="277">
        <v>0</v>
      </c>
      <c r="AJ306" s="277">
        <v>0</v>
      </c>
      <c r="AK306" s="277">
        <v>0</v>
      </c>
      <c r="AL306" s="277">
        <v>0</v>
      </c>
      <c r="AM306" s="277">
        <v>9864.5</v>
      </c>
      <c r="AN306" s="277">
        <v>7891.6</v>
      </c>
      <c r="AO306" s="277">
        <v>1972.9</v>
      </c>
      <c r="AP306" s="277">
        <v>0</v>
      </c>
      <c r="AQ306" s="277">
        <v>19729</v>
      </c>
      <c r="AR306" s="277">
        <v>17173932</v>
      </c>
      <c r="AS306" s="277">
        <v>13919968</v>
      </c>
      <c r="AT306" s="277">
        <v>3434787</v>
      </c>
      <c r="AU306" s="277">
        <v>0</v>
      </c>
      <c r="AV306" s="277">
        <v>34528687</v>
      </c>
      <c r="AW306" s="277">
        <v>147687</v>
      </c>
      <c r="AX306" s="277">
        <v>36442</v>
      </c>
      <c r="AY306" s="277">
        <v>0</v>
      </c>
      <c r="AZ306" s="277">
        <v>184129</v>
      </c>
      <c r="BA306" s="277">
        <v>407922</v>
      </c>
      <c r="BB306" s="277">
        <v>101980</v>
      </c>
      <c r="BC306" s="277">
        <v>0</v>
      </c>
      <c r="BD306" s="277">
        <v>509902</v>
      </c>
      <c r="BE306" s="277">
        <v>40425</v>
      </c>
      <c r="BF306" s="277">
        <v>10106</v>
      </c>
      <c r="BG306" s="277">
        <v>0</v>
      </c>
      <c r="BH306" s="277">
        <v>50531</v>
      </c>
      <c r="BI306" s="277">
        <v>40425</v>
      </c>
      <c r="BJ306" s="277">
        <v>10106</v>
      </c>
      <c r="BK306" s="277">
        <v>0</v>
      </c>
      <c r="BL306" s="277">
        <v>50531</v>
      </c>
      <c r="BM306" s="277">
        <v>40425</v>
      </c>
      <c r="BN306" s="277">
        <v>10106</v>
      </c>
      <c r="BO306" s="277">
        <v>0</v>
      </c>
      <c r="BP306" s="277">
        <v>50531</v>
      </c>
      <c r="BQ306" s="277">
        <v>262760</v>
      </c>
      <c r="BR306" s="277">
        <v>65690</v>
      </c>
      <c r="BS306" s="277">
        <v>0</v>
      </c>
      <c r="BT306" s="277">
        <v>328450</v>
      </c>
      <c r="BU306" s="277">
        <v>939644</v>
      </c>
      <c r="BV306" s="277">
        <v>234430</v>
      </c>
      <c r="BW306" s="277">
        <v>0</v>
      </c>
      <c r="BX306" s="277">
        <v>1174074</v>
      </c>
      <c r="BY306" s="278" t="s">
        <v>528</v>
      </c>
      <c r="BZ306" s="279" t="s">
        <v>1040</v>
      </c>
      <c r="CA306" s="280" t="s">
        <v>984</v>
      </c>
    </row>
    <row r="307" spans="1:79" ht="12.75">
      <c r="A307" s="169">
        <v>300</v>
      </c>
      <c r="B307" s="172" t="s">
        <v>530</v>
      </c>
      <c r="C307" s="258" t="s">
        <v>531</v>
      </c>
      <c r="D307" s="277">
        <v>28746035</v>
      </c>
      <c r="E307" s="277">
        <v>88457</v>
      </c>
      <c r="F307" s="277">
        <v>0</v>
      </c>
      <c r="G307" s="277">
        <v>209532</v>
      </c>
      <c r="H307" s="277">
        <v>0</v>
      </c>
      <c r="I307" s="277">
        <v>209532</v>
      </c>
      <c r="J307" s="277">
        <v>0</v>
      </c>
      <c r="K307" s="277">
        <v>0</v>
      </c>
      <c r="L307" s="277">
        <v>0</v>
      </c>
      <c r="M307" s="277">
        <v>0</v>
      </c>
      <c r="N307" s="277">
        <v>0</v>
      </c>
      <c r="O307" s="277">
        <v>0</v>
      </c>
      <c r="P307" s="277">
        <v>28624960</v>
      </c>
      <c r="Q307" s="277">
        <v>14312480</v>
      </c>
      <c r="R307" s="277">
        <v>11449984</v>
      </c>
      <c r="S307" s="277">
        <v>2576246</v>
      </c>
      <c r="T307" s="277">
        <v>286250</v>
      </c>
      <c r="U307" s="277">
        <v>28624960</v>
      </c>
      <c r="V307" s="277">
        <v>0</v>
      </c>
      <c r="W307" s="277">
        <v>14312480</v>
      </c>
      <c r="X307" s="277">
        <v>209532</v>
      </c>
      <c r="Y307" s="277">
        <v>209532</v>
      </c>
      <c r="Z307" s="277">
        <v>0</v>
      </c>
      <c r="AA307" s="277">
        <v>0</v>
      </c>
      <c r="AB307" s="277">
        <v>0</v>
      </c>
      <c r="AC307" s="277">
        <v>0</v>
      </c>
      <c r="AD307" s="277">
        <v>0</v>
      </c>
      <c r="AE307" s="277">
        <v>0</v>
      </c>
      <c r="AF307" s="277">
        <v>0</v>
      </c>
      <c r="AG307" s="277">
        <v>0</v>
      </c>
      <c r="AH307" s="277">
        <v>0</v>
      </c>
      <c r="AI307" s="277">
        <v>0</v>
      </c>
      <c r="AJ307" s="277">
        <v>0</v>
      </c>
      <c r="AK307" s="277">
        <v>0</v>
      </c>
      <c r="AL307" s="277">
        <v>0</v>
      </c>
      <c r="AM307" s="277">
        <v>-207133</v>
      </c>
      <c r="AN307" s="277">
        <v>-165706.4</v>
      </c>
      <c r="AO307" s="277">
        <v>-37283.94</v>
      </c>
      <c r="AP307" s="277">
        <v>-4142.66</v>
      </c>
      <c r="AQ307" s="277">
        <v>-414266</v>
      </c>
      <c r="AR307" s="277">
        <v>14105347</v>
      </c>
      <c r="AS307" s="277">
        <v>11493810</v>
      </c>
      <c r="AT307" s="277">
        <v>2538962</v>
      </c>
      <c r="AU307" s="277">
        <v>282107</v>
      </c>
      <c r="AV307" s="277">
        <v>28420226</v>
      </c>
      <c r="AW307" s="277">
        <v>123774</v>
      </c>
      <c r="AX307" s="277">
        <v>27349</v>
      </c>
      <c r="AY307" s="277">
        <v>3039</v>
      </c>
      <c r="AZ307" s="277">
        <v>154162</v>
      </c>
      <c r="BA307" s="277">
        <v>865873</v>
      </c>
      <c r="BB307" s="277">
        <v>194822</v>
      </c>
      <c r="BC307" s="277">
        <v>21647</v>
      </c>
      <c r="BD307" s="277">
        <v>1082342</v>
      </c>
      <c r="BE307" s="277">
        <v>0</v>
      </c>
      <c r="BF307" s="277">
        <v>0</v>
      </c>
      <c r="BG307" s="277">
        <v>0</v>
      </c>
      <c r="BH307" s="277">
        <v>0</v>
      </c>
      <c r="BI307" s="277">
        <v>28298</v>
      </c>
      <c r="BJ307" s="277">
        <v>6367</v>
      </c>
      <c r="BK307" s="277">
        <v>707</v>
      </c>
      <c r="BL307" s="277">
        <v>35372</v>
      </c>
      <c r="BM307" s="277">
        <v>23456</v>
      </c>
      <c r="BN307" s="277">
        <v>5277</v>
      </c>
      <c r="BO307" s="277">
        <v>586</v>
      </c>
      <c r="BP307" s="277">
        <v>29319</v>
      </c>
      <c r="BQ307" s="277">
        <v>358397</v>
      </c>
      <c r="BR307" s="277">
        <v>80639</v>
      </c>
      <c r="BS307" s="277">
        <v>8960</v>
      </c>
      <c r="BT307" s="277">
        <v>447996</v>
      </c>
      <c r="BU307" s="277">
        <v>1399798</v>
      </c>
      <c r="BV307" s="277">
        <v>314454</v>
      </c>
      <c r="BW307" s="277">
        <v>34939</v>
      </c>
      <c r="BX307" s="277">
        <v>1749191</v>
      </c>
      <c r="BY307" s="278" t="s">
        <v>530</v>
      </c>
      <c r="BZ307" s="279" t="s">
        <v>1039</v>
      </c>
      <c r="CA307" s="280" t="s">
        <v>1017</v>
      </c>
    </row>
    <row r="308" spans="1:79" ht="12.75">
      <c r="A308" s="169">
        <v>301</v>
      </c>
      <c r="B308" s="172" t="s">
        <v>532</v>
      </c>
      <c r="C308" s="258" t="s">
        <v>533</v>
      </c>
      <c r="D308" s="277">
        <v>30212945.5</v>
      </c>
      <c r="E308" s="277">
        <v>11993.79</v>
      </c>
      <c r="F308" s="277">
        <v>0</v>
      </c>
      <c r="G308" s="277">
        <v>112434</v>
      </c>
      <c r="H308" s="277">
        <v>0</v>
      </c>
      <c r="I308" s="277">
        <v>112434</v>
      </c>
      <c r="J308" s="277">
        <v>0</v>
      </c>
      <c r="K308" s="277">
        <v>0</v>
      </c>
      <c r="L308" s="277">
        <v>0</v>
      </c>
      <c r="M308" s="277">
        <v>0</v>
      </c>
      <c r="N308" s="277">
        <v>0</v>
      </c>
      <c r="O308" s="277">
        <v>0</v>
      </c>
      <c r="P308" s="277">
        <v>30112505</v>
      </c>
      <c r="Q308" s="277">
        <v>15056252</v>
      </c>
      <c r="R308" s="277">
        <v>12045002</v>
      </c>
      <c r="S308" s="277">
        <v>3011251</v>
      </c>
      <c r="T308" s="277">
        <v>0</v>
      </c>
      <c r="U308" s="277">
        <v>30112505</v>
      </c>
      <c r="V308" s="277">
        <v>0</v>
      </c>
      <c r="W308" s="277">
        <v>15056252</v>
      </c>
      <c r="X308" s="277">
        <v>112434</v>
      </c>
      <c r="Y308" s="277">
        <v>112434</v>
      </c>
      <c r="Z308" s="277">
        <v>0</v>
      </c>
      <c r="AA308" s="277">
        <v>0</v>
      </c>
      <c r="AB308" s="277">
        <v>0</v>
      </c>
      <c r="AC308" s="277">
        <v>0</v>
      </c>
      <c r="AD308" s="277">
        <v>0</v>
      </c>
      <c r="AE308" s="277">
        <v>0</v>
      </c>
      <c r="AF308" s="277">
        <v>0</v>
      </c>
      <c r="AG308" s="277">
        <v>0</v>
      </c>
      <c r="AH308" s="277">
        <v>0</v>
      </c>
      <c r="AI308" s="277">
        <v>0</v>
      </c>
      <c r="AJ308" s="277">
        <v>0</v>
      </c>
      <c r="AK308" s="277">
        <v>0</v>
      </c>
      <c r="AL308" s="277">
        <v>0</v>
      </c>
      <c r="AM308" s="277">
        <v>-212810</v>
      </c>
      <c r="AN308" s="277">
        <v>-170248</v>
      </c>
      <c r="AO308" s="277">
        <v>-42562</v>
      </c>
      <c r="AP308" s="277">
        <v>0</v>
      </c>
      <c r="AQ308" s="277">
        <v>-425620</v>
      </c>
      <c r="AR308" s="277">
        <v>14843442</v>
      </c>
      <c r="AS308" s="277">
        <v>11987188</v>
      </c>
      <c r="AT308" s="277">
        <v>2968689</v>
      </c>
      <c r="AU308" s="277">
        <v>0</v>
      </c>
      <c r="AV308" s="277">
        <v>29799319</v>
      </c>
      <c r="AW308" s="277">
        <v>129060</v>
      </c>
      <c r="AX308" s="277">
        <v>31967</v>
      </c>
      <c r="AY308" s="277">
        <v>0</v>
      </c>
      <c r="AZ308" s="277">
        <v>161027</v>
      </c>
      <c r="BA308" s="277">
        <v>376086</v>
      </c>
      <c r="BB308" s="277">
        <v>94022</v>
      </c>
      <c r="BC308" s="277">
        <v>0</v>
      </c>
      <c r="BD308" s="277">
        <v>470108</v>
      </c>
      <c r="BE308" s="277">
        <v>0</v>
      </c>
      <c r="BF308" s="277">
        <v>0</v>
      </c>
      <c r="BG308" s="277">
        <v>0</v>
      </c>
      <c r="BH308" s="277">
        <v>0</v>
      </c>
      <c r="BI308" s="277">
        <v>0</v>
      </c>
      <c r="BJ308" s="277">
        <v>0</v>
      </c>
      <c r="BK308" s="277">
        <v>0</v>
      </c>
      <c r="BL308" s="277">
        <v>0</v>
      </c>
      <c r="BM308" s="277">
        <v>0</v>
      </c>
      <c r="BN308" s="277">
        <v>0</v>
      </c>
      <c r="BO308" s="277">
        <v>0</v>
      </c>
      <c r="BP308" s="277">
        <v>0</v>
      </c>
      <c r="BQ308" s="277">
        <v>93470</v>
      </c>
      <c r="BR308" s="277">
        <v>23368</v>
      </c>
      <c r="BS308" s="277">
        <v>0</v>
      </c>
      <c r="BT308" s="277">
        <v>116838</v>
      </c>
      <c r="BU308" s="277">
        <v>598616</v>
      </c>
      <c r="BV308" s="277">
        <v>149357</v>
      </c>
      <c r="BW308" s="277">
        <v>0</v>
      </c>
      <c r="BX308" s="277">
        <v>747973</v>
      </c>
      <c r="BY308" s="278" t="s">
        <v>532</v>
      </c>
      <c r="BZ308" s="279" t="s">
        <v>1032</v>
      </c>
      <c r="CA308" s="280" t="s">
        <v>984</v>
      </c>
    </row>
    <row r="309" spans="1:79" ht="12.75">
      <c r="A309" s="169">
        <v>302</v>
      </c>
      <c r="B309" s="172" t="s">
        <v>534</v>
      </c>
      <c r="C309" s="258" t="s">
        <v>535</v>
      </c>
      <c r="D309" s="277">
        <v>54922539</v>
      </c>
      <c r="E309" s="277">
        <v>52590</v>
      </c>
      <c r="F309" s="277">
        <v>0</v>
      </c>
      <c r="G309" s="277">
        <v>152796</v>
      </c>
      <c r="H309" s="277">
        <v>0</v>
      </c>
      <c r="I309" s="277">
        <v>152796</v>
      </c>
      <c r="J309" s="277">
        <v>0</v>
      </c>
      <c r="K309" s="277">
        <v>0</v>
      </c>
      <c r="L309" s="277">
        <v>0</v>
      </c>
      <c r="M309" s="277">
        <v>0</v>
      </c>
      <c r="N309" s="277">
        <v>0</v>
      </c>
      <c r="O309" s="277">
        <v>0</v>
      </c>
      <c r="P309" s="277">
        <v>54822333</v>
      </c>
      <c r="Q309" s="277">
        <v>27411167</v>
      </c>
      <c r="R309" s="277">
        <v>21928933</v>
      </c>
      <c r="S309" s="277">
        <v>5482233</v>
      </c>
      <c r="T309" s="277">
        <v>0</v>
      </c>
      <c r="U309" s="277">
        <v>54822333</v>
      </c>
      <c r="V309" s="277">
        <v>0</v>
      </c>
      <c r="W309" s="277">
        <v>27411167</v>
      </c>
      <c r="X309" s="277">
        <v>152796</v>
      </c>
      <c r="Y309" s="277">
        <v>152796</v>
      </c>
      <c r="Z309" s="277">
        <v>0</v>
      </c>
      <c r="AA309" s="277">
        <v>0</v>
      </c>
      <c r="AB309" s="277">
        <v>0</v>
      </c>
      <c r="AC309" s="277">
        <v>0</v>
      </c>
      <c r="AD309" s="277">
        <v>0</v>
      </c>
      <c r="AE309" s="277">
        <v>0</v>
      </c>
      <c r="AF309" s="277">
        <v>0</v>
      </c>
      <c r="AG309" s="277">
        <v>0</v>
      </c>
      <c r="AH309" s="277">
        <v>0</v>
      </c>
      <c r="AI309" s="277">
        <v>0</v>
      </c>
      <c r="AJ309" s="277">
        <v>0</v>
      </c>
      <c r="AK309" s="277">
        <v>0</v>
      </c>
      <c r="AL309" s="277">
        <v>0</v>
      </c>
      <c r="AM309" s="277">
        <v>-53125</v>
      </c>
      <c r="AN309" s="277">
        <v>-42500</v>
      </c>
      <c r="AO309" s="277">
        <v>-10625</v>
      </c>
      <c r="AP309" s="277">
        <v>0</v>
      </c>
      <c r="AQ309" s="277">
        <v>-106250</v>
      </c>
      <c r="AR309" s="277">
        <v>27358042</v>
      </c>
      <c r="AS309" s="277">
        <v>22039229</v>
      </c>
      <c r="AT309" s="277">
        <v>5471608</v>
      </c>
      <c r="AU309" s="277">
        <v>0</v>
      </c>
      <c r="AV309" s="277">
        <v>54868879</v>
      </c>
      <c r="AW309" s="277">
        <v>234413</v>
      </c>
      <c r="AX309" s="277">
        <v>58198</v>
      </c>
      <c r="AY309" s="277">
        <v>0</v>
      </c>
      <c r="AZ309" s="277">
        <v>292611</v>
      </c>
      <c r="BA309" s="277">
        <v>237569</v>
      </c>
      <c r="BB309" s="277">
        <v>59392</v>
      </c>
      <c r="BC309" s="277">
        <v>0</v>
      </c>
      <c r="BD309" s="277">
        <v>296961</v>
      </c>
      <c r="BE309" s="277">
        <v>0</v>
      </c>
      <c r="BF309" s="277">
        <v>0</v>
      </c>
      <c r="BG309" s="277">
        <v>0</v>
      </c>
      <c r="BH309" s="277">
        <v>0</v>
      </c>
      <c r="BI309" s="277">
        <v>200692</v>
      </c>
      <c r="BJ309" s="277">
        <v>50173</v>
      </c>
      <c r="BK309" s="277">
        <v>0</v>
      </c>
      <c r="BL309" s="277">
        <v>250865</v>
      </c>
      <c r="BM309" s="277">
        <v>26490</v>
      </c>
      <c r="BN309" s="277">
        <v>6622</v>
      </c>
      <c r="BO309" s="277">
        <v>0</v>
      </c>
      <c r="BP309" s="277">
        <v>33112</v>
      </c>
      <c r="BQ309" s="277">
        <v>227590</v>
      </c>
      <c r="BR309" s="277">
        <v>56898</v>
      </c>
      <c r="BS309" s="277">
        <v>0</v>
      </c>
      <c r="BT309" s="277">
        <v>284488</v>
      </c>
      <c r="BU309" s="277">
        <v>926754</v>
      </c>
      <c r="BV309" s="277">
        <v>231283</v>
      </c>
      <c r="BW309" s="277">
        <v>0</v>
      </c>
      <c r="BX309" s="277">
        <v>1158037</v>
      </c>
      <c r="BY309" s="278" t="s">
        <v>534</v>
      </c>
      <c r="BZ309" s="279" t="s">
        <v>1021</v>
      </c>
      <c r="CA309" s="280" t="s">
        <v>984</v>
      </c>
    </row>
    <row r="310" spans="1:79" ht="12.75">
      <c r="A310" s="169">
        <v>303</v>
      </c>
      <c r="B310" s="172" t="s">
        <v>536</v>
      </c>
      <c r="C310" s="258" t="s">
        <v>537</v>
      </c>
      <c r="D310" s="277">
        <v>83456531</v>
      </c>
      <c r="E310" s="277">
        <v>78625</v>
      </c>
      <c r="F310" s="277">
        <v>0</v>
      </c>
      <c r="G310" s="277">
        <v>259810</v>
      </c>
      <c r="H310" s="277">
        <v>0</v>
      </c>
      <c r="I310" s="277">
        <v>259810</v>
      </c>
      <c r="J310" s="277">
        <v>0</v>
      </c>
      <c r="K310" s="277">
        <v>0</v>
      </c>
      <c r="L310" s="277">
        <v>0</v>
      </c>
      <c r="M310" s="277">
        <v>0</v>
      </c>
      <c r="N310" s="277">
        <v>0</v>
      </c>
      <c r="O310" s="277">
        <v>0</v>
      </c>
      <c r="P310" s="277">
        <v>83275346</v>
      </c>
      <c r="Q310" s="277">
        <v>41637673</v>
      </c>
      <c r="R310" s="277">
        <v>40804920</v>
      </c>
      <c r="S310" s="277">
        <v>0</v>
      </c>
      <c r="T310" s="277">
        <v>832753</v>
      </c>
      <c r="U310" s="277">
        <v>83275346</v>
      </c>
      <c r="V310" s="277">
        <v>0</v>
      </c>
      <c r="W310" s="277">
        <v>41637673</v>
      </c>
      <c r="X310" s="277">
        <v>259810</v>
      </c>
      <c r="Y310" s="277">
        <v>259810</v>
      </c>
      <c r="Z310" s="277">
        <v>0</v>
      </c>
      <c r="AA310" s="277">
        <v>0</v>
      </c>
      <c r="AB310" s="277">
        <v>0</v>
      </c>
      <c r="AC310" s="277">
        <v>0</v>
      </c>
      <c r="AD310" s="277">
        <v>0</v>
      </c>
      <c r="AE310" s="277">
        <v>0</v>
      </c>
      <c r="AF310" s="277">
        <v>0</v>
      </c>
      <c r="AG310" s="277">
        <v>0</v>
      </c>
      <c r="AH310" s="277">
        <v>0</v>
      </c>
      <c r="AI310" s="277">
        <v>0</v>
      </c>
      <c r="AJ310" s="277">
        <v>0</v>
      </c>
      <c r="AK310" s="277">
        <v>0</v>
      </c>
      <c r="AL310" s="277">
        <v>0</v>
      </c>
      <c r="AM310" s="277">
        <v>-2021824.5</v>
      </c>
      <c r="AN310" s="277">
        <v>-1981388</v>
      </c>
      <c r="AO310" s="277">
        <v>0</v>
      </c>
      <c r="AP310" s="277">
        <v>-40436.49</v>
      </c>
      <c r="AQ310" s="277">
        <v>-4043649</v>
      </c>
      <c r="AR310" s="277">
        <v>39615848</v>
      </c>
      <c r="AS310" s="277">
        <v>39083342</v>
      </c>
      <c r="AT310" s="277">
        <v>0</v>
      </c>
      <c r="AU310" s="277">
        <v>792317</v>
      </c>
      <c r="AV310" s="277">
        <v>79491507</v>
      </c>
      <c r="AW310" s="277">
        <v>435931</v>
      </c>
      <c r="AX310" s="277">
        <v>0</v>
      </c>
      <c r="AY310" s="277">
        <v>8840</v>
      </c>
      <c r="AZ310" s="277">
        <v>444771</v>
      </c>
      <c r="BA310" s="277">
        <v>445681</v>
      </c>
      <c r="BB310" s="277">
        <v>0</v>
      </c>
      <c r="BC310" s="277">
        <v>9096</v>
      </c>
      <c r="BD310" s="277">
        <v>454777</v>
      </c>
      <c r="BE310" s="277">
        <v>0</v>
      </c>
      <c r="BF310" s="277">
        <v>0</v>
      </c>
      <c r="BG310" s="277">
        <v>0</v>
      </c>
      <c r="BH310" s="277">
        <v>0</v>
      </c>
      <c r="BI310" s="277">
        <v>0</v>
      </c>
      <c r="BJ310" s="277">
        <v>0</v>
      </c>
      <c r="BK310" s="277">
        <v>0</v>
      </c>
      <c r="BL310" s="277">
        <v>0</v>
      </c>
      <c r="BM310" s="277">
        <v>66853</v>
      </c>
      <c r="BN310" s="277">
        <v>0</v>
      </c>
      <c r="BO310" s="277">
        <v>1364</v>
      </c>
      <c r="BP310" s="277">
        <v>68217</v>
      </c>
      <c r="BQ310" s="277">
        <v>200557</v>
      </c>
      <c r="BR310" s="277">
        <v>0</v>
      </c>
      <c r="BS310" s="277">
        <v>4093</v>
      </c>
      <c r="BT310" s="277">
        <v>204650</v>
      </c>
      <c r="BU310" s="277">
        <v>1149022</v>
      </c>
      <c r="BV310" s="277">
        <v>0</v>
      </c>
      <c r="BW310" s="277">
        <v>23393</v>
      </c>
      <c r="BX310" s="277">
        <v>1172415</v>
      </c>
      <c r="BY310" s="278" t="s">
        <v>929</v>
      </c>
      <c r="BZ310" s="279" t="s">
        <v>1003</v>
      </c>
      <c r="CA310" s="280" t="s">
        <v>1013</v>
      </c>
    </row>
    <row r="311" spans="1:79" ht="12.75">
      <c r="A311" s="169">
        <v>304</v>
      </c>
      <c r="B311" s="172" t="s">
        <v>538</v>
      </c>
      <c r="C311" s="258" t="s">
        <v>539</v>
      </c>
      <c r="D311" s="277">
        <v>10100174</v>
      </c>
      <c r="E311" s="277">
        <v>64232</v>
      </c>
      <c r="F311" s="277">
        <v>0</v>
      </c>
      <c r="G311" s="277">
        <v>84601</v>
      </c>
      <c r="H311" s="277">
        <v>0</v>
      </c>
      <c r="I311" s="277">
        <v>84601</v>
      </c>
      <c r="J311" s="277">
        <v>0</v>
      </c>
      <c r="K311" s="277">
        <v>0</v>
      </c>
      <c r="L311" s="277">
        <v>0</v>
      </c>
      <c r="M311" s="277">
        <v>0</v>
      </c>
      <c r="N311" s="277">
        <v>0</v>
      </c>
      <c r="O311" s="277">
        <v>0</v>
      </c>
      <c r="P311" s="277">
        <v>10079805</v>
      </c>
      <c r="Q311" s="277">
        <v>5039903</v>
      </c>
      <c r="R311" s="277">
        <v>4031922</v>
      </c>
      <c r="S311" s="277">
        <v>907182</v>
      </c>
      <c r="T311" s="277">
        <v>100798</v>
      </c>
      <c r="U311" s="277">
        <v>10079805</v>
      </c>
      <c r="V311" s="277">
        <v>0</v>
      </c>
      <c r="W311" s="277">
        <v>5039903</v>
      </c>
      <c r="X311" s="277">
        <v>84601</v>
      </c>
      <c r="Y311" s="277">
        <v>84601</v>
      </c>
      <c r="Z311" s="277">
        <v>0</v>
      </c>
      <c r="AA311" s="277">
        <v>0</v>
      </c>
      <c r="AB311" s="277">
        <v>0</v>
      </c>
      <c r="AC311" s="277">
        <v>0</v>
      </c>
      <c r="AD311" s="277">
        <v>0</v>
      </c>
      <c r="AE311" s="277">
        <v>0</v>
      </c>
      <c r="AF311" s="277">
        <v>0</v>
      </c>
      <c r="AG311" s="277">
        <v>0</v>
      </c>
      <c r="AH311" s="277">
        <v>0</v>
      </c>
      <c r="AI311" s="277">
        <v>0</v>
      </c>
      <c r="AJ311" s="277">
        <v>0</v>
      </c>
      <c r="AK311" s="277">
        <v>0</v>
      </c>
      <c r="AL311" s="277">
        <v>0</v>
      </c>
      <c r="AM311" s="277">
        <v>-579064</v>
      </c>
      <c r="AN311" s="277">
        <v>-463251.2</v>
      </c>
      <c r="AO311" s="277">
        <v>-104231.52</v>
      </c>
      <c r="AP311" s="277">
        <v>-11581.28</v>
      </c>
      <c r="AQ311" s="277">
        <v>-1158128</v>
      </c>
      <c r="AR311" s="277">
        <v>4460839</v>
      </c>
      <c r="AS311" s="277">
        <v>3653272</v>
      </c>
      <c r="AT311" s="277">
        <v>802950</v>
      </c>
      <c r="AU311" s="277">
        <v>89217</v>
      </c>
      <c r="AV311" s="277">
        <v>9006278</v>
      </c>
      <c r="AW311" s="277">
        <v>43700</v>
      </c>
      <c r="AX311" s="277">
        <v>9630</v>
      </c>
      <c r="AY311" s="277">
        <v>1070</v>
      </c>
      <c r="AZ311" s="277">
        <v>54400</v>
      </c>
      <c r="BA311" s="277">
        <v>305998</v>
      </c>
      <c r="BB311" s="277">
        <v>68849</v>
      </c>
      <c r="BC311" s="277">
        <v>7650</v>
      </c>
      <c r="BD311" s="277">
        <v>382497</v>
      </c>
      <c r="BE311" s="277">
        <v>4042</v>
      </c>
      <c r="BF311" s="277">
        <v>910</v>
      </c>
      <c r="BG311" s="277">
        <v>101</v>
      </c>
      <c r="BH311" s="277">
        <v>5053</v>
      </c>
      <c r="BI311" s="277">
        <v>4042</v>
      </c>
      <c r="BJ311" s="277">
        <v>910</v>
      </c>
      <c r="BK311" s="277">
        <v>101</v>
      </c>
      <c r="BL311" s="277">
        <v>5053</v>
      </c>
      <c r="BM311" s="277">
        <v>8085</v>
      </c>
      <c r="BN311" s="277">
        <v>1819</v>
      </c>
      <c r="BO311" s="277">
        <v>202</v>
      </c>
      <c r="BP311" s="277">
        <v>10106</v>
      </c>
      <c r="BQ311" s="277">
        <v>166145</v>
      </c>
      <c r="BR311" s="277">
        <v>37383</v>
      </c>
      <c r="BS311" s="277">
        <v>4154</v>
      </c>
      <c r="BT311" s="277">
        <v>207682</v>
      </c>
      <c r="BU311" s="277">
        <v>532012</v>
      </c>
      <c r="BV311" s="277">
        <v>119501</v>
      </c>
      <c r="BW311" s="277">
        <v>13278</v>
      </c>
      <c r="BX311" s="277">
        <v>664791</v>
      </c>
      <c r="BY311" s="278" t="s">
        <v>538</v>
      </c>
      <c r="BZ311" s="279" t="s">
        <v>1036</v>
      </c>
      <c r="CA311" s="280" t="s">
        <v>1037</v>
      </c>
    </row>
    <row r="312" spans="1:79" ht="12.75">
      <c r="A312" s="169">
        <v>305</v>
      </c>
      <c r="B312" s="172" t="s">
        <v>540</v>
      </c>
      <c r="C312" s="258" t="s">
        <v>541</v>
      </c>
      <c r="D312" s="277">
        <v>27032053.3</v>
      </c>
      <c r="E312" s="277">
        <v>35860</v>
      </c>
      <c r="F312" s="277">
        <v>0</v>
      </c>
      <c r="G312" s="277">
        <v>206892</v>
      </c>
      <c r="H312" s="277">
        <v>0</v>
      </c>
      <c r="I312" s="277">
        <v>206892</v>
      </c>
      <c r="J312" s="277">
        <v>0</v>
      </c>
      <c r="K312" s="277">
        <v>0</v>
      </c>
      <c r="L312" s="277">
        <v>0</v>
      </c>
      <c r="M312" s="277">
        <v>0</v>
      </c>
      <c r="N312" s="277">
        <v>0</v>
      </c>
      <c r="O312" s="277">
        <v>0</v>
      </c>
      <c r="P312" s="277">
        <v>26861021.3</v>
      </c>
      <c r="Q312" s="277">
        <v>13430510.3</v>
      </c>
      <c r="R312" s="277">
        <v>10744409</v>
      </c>
      <c r="S312" s="277">
        <v>2417492</v>
      </c>
      <c r="T312" s="277">
        <v>268610</v>
      </c>
      <c r="U312" s="277">
        <v>26861021</v>
      </c>
      <c r="V312" s="277">
        <v>0</v>
      </c>
      <c r="W312" s="277">
        <v>13430510.3</v>
      </c>
      <c r="X312" s="277">
        <v>206892</v>
      </c>
      <c r="Y312" s="277">
        <v>206892</v>
      </c>
      <c r="Z312" s="277">
        <v>0</v>
      </c>
      <c r="AA312" s="277">
        <v>0</v>
      </c>
      <c r="AB312" s="277">
        <v>0</v>
      </c>
      <c r="AC312" s="277">
        <v>0</v>
      </c>
      <c r="AD312" s="277">
        <v>0</v>
      </c>
      <c r="AE312" s="277">
        <v>0</v>
      </c>
      <c r="AF312" s="277">
        <v>0</v>
      </c>
      <c r="AG312" s="277">
        <v>0</v>
      </c>
      <c r="AH312" s="277">
        <v>0</v>
      </c>
      <c r="AI312" s="277">
        <v>0</v>
      </c>
      <c r="AJ312" s="277">
        <v>0</v>
      </c>
      <c r="AK312" s="277">
        <v>0</v>
      </c>
      <c r="AL312" s="277">
        <v>0</v>
      </c>
      <c r="AM312" s="277">
        <v>-145177.73</v>
      </c>
      <c r="AN312" s="277">
        <v>-116142.18</v>
      </c>
      <c r="AO312" s="277">
        <v>-26131.99</v>
      </c>
      <c r="AP312" s="277">
        <v>-2903.55</v>
      </c>
      <c r="AQ312" s="277">
        <v>-290355.45</v>
      </c>
      <c r="AR312" s="277">
        <v>13285333</v>
      </c>
      <c r="AS312" s="277">
        <v>10835159</v>
      </c>
      <c r="AT312" s="277">
        <v>2391360</v>
      </c>
      <c r="AU312" s="277">
        <v>265706</v>
      </c>
      <c r="AV312" s="277">
        <v>26777558</v>
      </c>
      <c r="AW312" s="277">
        <v>116256</v>
      </c>
      <c r="AX312" s="277">
        <v>25663</v>
      </c>
      <c r="AY312" s="277">
        <v>2851</v>
      </c>
      <c r="AZ312" s="277">
        <v>144770</v>
      </c>
      <c r="BA312" s="277">
        <v>713569</v>
      </c>
      <c r="BB312" s="277">
        <v>160553</v>
      </c>
      <c r="BC312" s="277">
        <v>17839</v>
      </c>
      <c r="BD312" s="277">
        <v>891961</v>
      </c>
      <c r="BE312" s="277">
        <v>4042</v>
      </c>
      <c r="BF312" s="277">
        <v>910</v>
      </c>
      <c r="BG312" s="277">
        <v>101</v>
      </c>
      <c r="BH312" s="277">
        <v>5053</v>
      </c>
      <c r="BI312" s="277">
        <v>4042</v>
      </c>
      <c r="BJ312" s="277">
        <v>910</v>
      </c>
      <c r="BK312" s="277">
        <v>101</v>
      </c>
      <c r="BL312" s="277">
        <v>5053</v>
      </c>
      <c r="BM312" s="277">
        <v>4042</v>
      </c>
      <c r="BN312" s="277">
        <v>910</v>
      </c>
      <c r="BO312" s="277">
        <v>101</v>
      </c>
      <c r="BP312" s="277">
        <v>5053</v>
      </c>
      <c r="BQ312" s="277">
        <v>330274</v>
      </c>
      <c r="BR312" s="277">
        <v>74312</v>
      </c>
      <c r="BS312" s="277">
        <v>8257</v>
      </c>
      <c r="BT312" s="277">
        <v>412843</v>
      </c>
      <c r="BU312" s="277">
        <v>1172225</v>
      </c>
      <c r="BV312" s="277">
        <v>263258</v>
      </c>
      <c r="BW312" s="277">
        <v>29250</v>
      </c>
      <c r="BX312" s="277">
        <v>1464733</v>
      </c>
      <c r="BY312" s="278" t="s">
        <v>540</v>
      </c>
      <c r="BZ312" s="279" t="s">
        <v>1030</v>
      </c>
      <c r="CA312" s="280" t="s">
        <v>1012</v>
      </c>
    </row>
    <row r="313" spans="1:79" ht="12.75">
      <c r="A313" s="169">
        <v>306</v>
      </c>
      <c r="B313" s="172" t="s">
        <v>542</v>
      </c>
      <c r="C313" s="258" t="s">
        <v>543</v>
      </c>
      <c r="D313" s="277">
        <v>29989070</v>
      </c>
      <c r="E313" s="277">
        <v>59548</v>
      </c>
      <c r="F313" s="277">
        <v>0</v>
      </c>
      <c r="G313" s="277">
        <v>132942</v>
      </c>
      <c r="H313" s="277">
        <v>0</v>
      </c>
      <c r="I313" s="277">
        <v>132942</v>
      </c>
      <c r="J313" s="277">
        <v>0</v>
      </c>
      <c r="K313" s="277">
        <v>0</v>
      </c>
      <c r="L313" s="277">
        <v>0</v>
      </c>
      <c r="M313" s="277">
        <v>0</v>
      </c>
      <c r="N313" s="277">
        <v>0</v>
      </c>
      <c r="O313" s="277">
        <v>0</v>
      </c>
      <c r="P313" s="277">
        <v>29915676</v>
      </c>
      <c r="Q313" s="277">
        <v>14957838</v>
      </c>
      <c r="R313" s="277">
        <v>11966270</v>
      </c>
      <c r="S313" s="277">
        <v>2692411</v>
      </c>
      <c r="T313" s="277">
        <v>299157</v>
      </c>
      <c r="U313" s="277">
        <v>29915676</v>
      </c>
      <c r="V313" s="277">
        <v>0</v>
      </c>
      <c r="W313" s="277">
        <v>14957838</v>
      </c>
      <c r="X313" s="277">
        <v>132942</v>
      </c>
      <c r="Y313" s="277">
        <v>132942</v>
      </c>
      <c r="Z313" s="277">
        <v>0</v>
      </c>
      <c r="AA313" s="277">
        <v>0</v>
      </c>
      <c r="AB313" s="277">
        <v>0</v>
      </c>
      <c r="AC313" s="277">
        <v>0</v>
      </c>
      <c r="AD313" s="277">
        <v>0</v>
      </c>
      <c r="AE313" s="277">
        <v>0</v>
      </c>
      <c r="AF313" s="277">
        <v>0</v>
      </c>
      <c r="AG313" s="277">
        <v>0</v>
      </c>
      <c r="AH313" s="277">
        <v>0</v>
      </c>
      <c r="AI313" s="277">
        <v>0</v>
      </c>
      <c r="AJ313" s="277">
        <v>0</v>
      </c>
      <c r="AK313" s="277">
        <v>0</v>
      </c>
      <c r="AL313" s="277">
        <v>0</v>
      </c>
      <c r="AM313" s="277">
        <v>-244713</v>
      </c>
      <c r="AN313" s="277">
        <v>-195770</v>
      </c>
      <c r="AO313" s="277">
        <v>-44048</v>
      </c>
      <c r="AP313" s="277">
        <v>-4894</v>
      </c>
      <c r="AQ313" s="277">
        <v>-489425</v>
      </c>
      <c r="AR313" s="277">
        <v>14713125</v>
      </c>
      <c r="AS313" s="277">
        <v>11903442</v>
      </c>
      <c r="AT313" s="277">
        <v>2648363</v>
      </c>
      <c r="AU313" s="277">
        <v>294263</v>
      </c>
      <c r="AV313" s="277">
        <v>29559193</v>
      </c>
      <c r="AW313" s="277">
        <v>128442</v>
      </c>
      <c r="AX313" s="277">
        <v>28582</v>
      </c>
      <c r="AY313" s="277">
        <v>3176</v>
      </c>
      <c r="AZ313" s="277">
        <v>160200</v>
      </c>
      <c r="BA313" s="277">
        <v>386248</v>
      </c>
      <c r="BB313" s="277">
        <v>86906</v>
      </c>
      <c r="BC313" s="277">
        <v>9656</v>
      </c>
      <c r="BD313" s="277">
        <v>482810</v>
      </c>
      <c r="BE313" s="277">
        <v>752</v>
      </c>
      <c r="BF313" s="277">
        <v>169</v>
      </c>
      <c r="BG313" s="277">
        <v>19</v>
      </c>
      <c r="BH313" s="277">
        <v>940</v>
      </c>
      <c r="BI313" s="277">
        <v>0</v>
      </c>
      <c r="BJ313" s="277">
        <v>0</v>
      </c>
      <c r="BK313" s="277">
        <v>0</v>
      </c>
      <c r="BL313" s="277">
        <v>0</v>
      </c>
      <c r="BM313" s="277">
        <v>163587</v>
      </c>
      <c r="BN313" s="277">
        <v>36807</v>
      </c>
      <c r="BO313" s="277">
        <v>4090</v>
      </c>
      <c r="BP313" s="277">
        <v>204484</v>
      </c>
      <c r="BQ313" s="277">
        <v>208995</v>
      </c>
      <c r="BR313" s="277">
        <v>47024</v>
      </c>
      <c r="BS313" s="277">
        <v>5225</v>
      </c>
      <c r="BT313" s="277">
        <v>261244</v>
      </c>
      <c r="BU313" s="277">
        <v>888024</v>
      </c>
      <c r="BV313" s="277">
        <v>199488</v>
      </c>
      <c r="BW313" s="277">
        <v>22166</v>
      </c>
      <c r="BX313" s="277">
        <v>1109678</v>
      </c>
      <c r="BY313" s="278" t="s">
        <v>542</v>
      </c>
      <c r="BZ313" s="279" t="s">
        <v>1022</v>
      </c>
      <c r="CA313" s="280" t="s">
        <v>1009</v>
      </c>
    </row>
    <row r="314" spans="1:79" ht="12.75">
      <c r="A314" s="169">
        <v>307</v>
      </c>
      <c r="B314" s="172" t="s">
        <v>544</v>
      </c>
      <c r="C314" s="258" t="s">
        <v>545</v>
      </c>
      <c r="D314" s="277">
        <v>16270265</v>
      </c>
      <c r="E314" s="277">
        <v>0</v>
      </c>
      <c r="F314" s="277">
        <v>21369</v>
      </c>
      <c r="G314" s="277">
        <v>107102</v>
      </c>
      <c r="H314" s="277">
        <v>0</v>
      </c>
      <c r="I314" s="277">
        <v>107102</v>
      </c>
      <c r="J314" s="277">
        <v>0</v>
      </c>
      <c r="K314" s="277">
        <v>0</v>
      </c>
      <c r="L314" s="277">
        <v>0</v>
      </c>
      <c r="M314" s="277">
        <v>0</v>
      </c>
      <c r="N314" s="277">
        <v>0</v>
      </c>
      <c r="O314" s="277">
        <v>0</v>
      </c>
      <c r="P314" s="277">
        <v>16141794</v>
      </c>
      <c r="Q314" s="277">
        <v>8070897</v>
      </c>
      <c r="R314" s="277">
        <v>6456718</v>
      </c>
      <c r="S314" s="277">
        <v>1614179</v>
      </c>
      <c r="T314" s="277">
        <v>0</v>
      </c>
      <c r="U314" s="277">
        <v>16141794</v>
      </c>
      <c r="V314" s="277">
        <v>0</v>
      </c>
      <c r="W314" s="277">
        <v>8070897</v>
      </c>
      <c r="X314" s="277">
        <v>107102</v>
      </c>
      <c r="Y314" s="277">
        <v>107102</v>
      </c>
      <c r="Z314" s="277">
        <v>0</v>
      </c>
      <c r="AA314" s="277">
        <v>0</v>
      </c>
      <c r="AB314" s="277">
        <v>0</v>
      </c>
      <c r="AC314" s="277">
        <v>0</v>
      </c>
      <c r="AD314" s="277">
        <v>0</v>
      </c>
      <c r="AE314" s="277">
        <v>0</v>
      </c>
      <c r="AF314" s="277">
        <v>0</v>
      </c>
      <c r="AG314" s="277">
        <v>0</v>
      </c>
      <c r="AH314" s="277">
        <v>0</v>
      </c>
      <c r="AI314" s="277">
        <v>0</v>
      </c>
      <c r="AJ314" s="277">
        <v>0</v>
      </c>
      <c r="AK314" s="277">
        <v>0</v>
      </c>
      <c r="AL314" s="277">
        <v>0</v>
      </c>
      <c r="AM314" s="277">
        <v>-1230769.5</v>
      </c>
      <c r="AN314" s="277">
        <v>-984615.6</v>
      </c>
      <c r="AO314" s="277">
        <v>-246153.9</v>
      </c>
      <c r="AP314" s="277">
        <v>0</v>
      </c>
      <c r="AQ314" s="277">
        <v>-2461539</v>
      </c>
      <c r="AR314" s="277">
        <v>6840128</v>
      </c>
      <c r="AS314" s="277">
        <v>5579204</v>
      </c>
      <c r="AT314" s="277">
        <v>1368025</v>
      </c>
      <c r="AU314" s="277">
        <v>0</v>
      </c>
      <c r="AV314" s="277">
        <v>13787357</v>
      </c>
      <c r="AW314" s="277">
        <v>69680</v>
      </c>
      <c r="AX314" s="277">
        <v>17136</v>
      </c>
      <c r="AY314" s="277">
        <v>0</v>
      </c>
      <c r="AZ314" s="277">
        <v>86816</v>
      </c>
      <c r="BA314" s="277">
        <v>328510</v>
      </c>
      <c r="BB314" s="277">
        <v>82128</v>
      </c>
      <c r="BC314" s="277">
        <v>0</v>
      </c>
      <c r="BD314" s="277">
        <v>410638</v>
      </c>
      <c r="BE314" s="277">
        <v>404</v>
      </c>
      <c r="BF314" s="277">
        <v>101</v>
      </c>
      <c r="BG314" s="277">
        <v>0</v>
      </c>
      <c r="BH314" s="277">
        <v>505</v>
      </c>
      <c r="BI314" s="277">
        <v>12127</v>
      </c>
      <c r="BJ314" s="277">
        <v>3032</v>
      </c>
      <c r="BK314" s="277">
        <v>0</v>
      </c>
      <c r="BL314" s="277">
        <v>15159</v>
      </c>
      <c r="BM314" s="277">
        <v>19029</v>
      </c>
      <c r="BN314" s="277">
        <v>4757</v>
      </c>
      <c r="BO314" s="277">
        <v>0</v>
      </c>
      <c r="BP314" s="277">
        <v>23786</v>
      </c>
      <c r="BQ314" s="277">
        <v>133402</v>
      </c>
      <c r="BR314" s="277">
        <v>33350</v>
      </c>
      <c r="BS314" s="277">
        <v>0</v>
      </c>
      <c r="BT314" s="277">
        <v>166752</v>
      </c>
      <c r="BU314" s="277">
        <v>563152</v>
      </c>
      <c r="BV314" s="277">
        <v>140504</v>
      </c>
      <c r="BW314" s="277">
        <v>0</v>
      </c>
      <c r="BX314" s="277">
        <v>703656</v>
      </c>
      <c r="BY314" s="278" t="s">
        <v>544</v>
      </c>
      <c r="BZ314" s="279" t="s">
        <v>1011</v>
      </c>
      <c r="CA314" s="280" t="s">
        <v>984</v>
      </c>
    </row>
    <row r="315" spans="1:79" ht="12.75">
      <c r="A315" s="169">
        <v>308</v>
      </c>
      <c r="B315" s="172" t="s">
        <v>546</v>
      </c>
      <c r="C315" s="258" t="s">
        <v>547</v>
      </c>
      <c r="D315" s="277">
        <v>32543277</v>
      </c>
      <c r="E315" s="277">
        <v>64473</v>
      </c>
      <c r="F315" s="277">
        <v>0</v>
      </c>
      <c r="G315" s="277">
        <v>164331</v>
      </c>
      <c r="H315" s="277">
        <v>0</v>
      </c>
      <c r="I315" s="277">
        <v>164331</v>
      </c>
      <c r="J315" s="277">
        <v>0</v>
      </c>
      <c r="K315" s="277">
        <v>0</v>
      </c>
      <c r="L315" s="277">
        <v>0</v>
      </c>
      <c r="M315" s="277">
        <v>0</v>
      </c>
      <c r="N315" s="277">
        <v>0</v>
      </c>
      <c r="O315" s="277">
        <v>0</v>
      </c>
      <c r="P315" s="277">
        <v>32443419</v>
      </c>
      <c r="Q315" s="277">
        <v>16221709</v>
      </c>
      <c r="R315" s="277">
        <v>12977368</v>
      </c>
      <c r="S315" s="277">
        <v>3244342</v>
      </c>
      <c r="T315" s="277">
        <v>0</v>
      </c>
      <c r="U315" s="277">
        <v>32443419</v>
      </c>
      <c r="V315" s="277">
        <v>0</v>
      </c>
      <c r="W315" s="277">
        <v>16221709</v>
      </c>
      <c r="X315" s="277">
        <v>164331</v>
      </c>
      <c r="Y315" s="277">
        <v>164331</v>
      </c>
      <c r="Z315" s="277">
        <v>0</v>
      </c>
      <c r="AA315" s="277">
        <v>0</v>
      </c>
      <c r="AB315" s="277">
        <v>0</v>
      </c>
      <c r="AC315" s="277">
        <v>0</v>
      </c>
      <c r="AD315" s="277">
        <v>0</v>
      </c>
      <c r="AE315" s="277">
        <v>0</v>
      </c>
      <c r="AF315" s="277">
        <v>0</v>
      </c>
      <c r="AG315" s="277">
        <v>0</v>
      </c>
      <c r="AH315" s="277">
        <v>0</v>
      </c>
      <c r="AI315" s="277">
        <v>0</v>
      </c>
      <c r="AJ315" s="277">
        <v>0</v>
      </c>
      <c r="AK315" s="277">
        <v>0</v>
      </c>
      <c r="AL315" s="277">
        <v>0</v>
      </c>
      <c r="AM315" s="277">
        <v>792504.5</v>
      </c>
      <c r="AN315" s="277">
        <v>634003.6</v>
      </c>
      <c r="AO315" s="277">
        <v>158500.9</v>
      </c>
      <c r="AP315" s="277">
        <v>0</v>
      </c>
      <c r="AQ315" s="277">
        <v>1585009</v>
      </c>
      <c r="AR315" s="277">
        <v>17014214</v>
      </c>
      <c r="AS315" s="277">
        <v>13775703</v>
      </c>
      <c r="AT315" s="277">
        <v>3402843</v>
      </c>
      <c r="AU315" s="277">
        <v>0</v>
      </c>
      <c r="AV315" s="277">
        <v>34192759</v>
      </c>
      <c r="AW315" s="277">
        <v>139508</v>
      </c>
      <c r="AX315" s="277">
        <v>34441</v>
      </c>
      <c r="AY315" s="277">
        <v>0</v>
      </c>
      <c r="AZ315" s="277">
        <v>173949</v>
      </c>
      <c r="BA315" s="277">
        <v>446728</v>
      </c>
      <c r="BB315" s="277">
        <v>111682</v>
      </c>
      <c r="BC315" s="277">
        <v>0</v>
      </c>
      <c r="BD315" s="277">
        <v>558410</v>
      </c>
      <c r="BE315" s="277">
        <v>0</v>
      </c>
      <c r="BF315" s="277">
        <v>0</v>
      </c>
      <c r="BG315" s="277">
        <v>0</v>
      </c>
      <c r="BH315" s="277">
        <v>0</v>
      </c>
      <c r="BI315" s="277">
        <v>0</v>
      </c>
      <c r="BJ315" s="277">
        <v>0</v>
      </c>
      <c r="BK315" s="277">
        <v>0</v>
      </c>
      <c r="BL315" s="277">
        <v>0</v>
      </c>
      <c r="BM315" s="277">
        <v>4464</v>
      </c>
      <c r="BN315" s="277">
        <v>1116</v>
      </c>
      <c r="BO315" s="277">
        <v>0</v>
      </c>
      <c r="BP315" s="277">
        <v>5580</v>
      </c>
      <c r="BQ315" s="277">
        <v>86814</v>
      </c>
      <c r="BR315" s="277">
        <v>21703</v>
      </c>
      <c r="BS315" s="277">
        <v>0</v>
      </c>
      <c r="BT315" s="277">
        <v>108517</v>
      </c>
      <c r="BU315" s="277">
        <v>677514</v>
      </c>
      <c r="BV315" s="277">
        <v>168942</v>
      </c>
      <c r="BW315" s="277">
        <v>0</v>
      </c>
      <c r="BX315" s="277">
        <v>846456</v>
      </c>
      <c r="BY315" s="278" t="s">
        <v>546</v>
      </c>
      <c r="BZ315" s="279" t="s">
        <v>1028</v>
      </c>
      <c r="CA315" s="280" t="s">
        <v>984</v>
      </c>
    </row>
    <row r="316" spans="1:79" ht="12.75">
      <c r="A316" s="169">
        <v>309</v>
      </c>
      <c r="B316" s="172" t="s">
        <v>548</v>
      </c>
      <c r="C316" s="258" t="s">
        <v>549</v>
      </c>
      <c r="D316" s="277">
        <v>11821596</v>
      </c>
      <c r="E316" s="277">
        <v>53793</v>
      </c>
      <c r="F316" s="277">
        <v>0</v>
      </c>
      <c r="G316" s="277">
        <v>75158</v>
      </c>
      <c r="H316" s="277">
        <v>0</v>
      </c>
      <c r="I316" s="277">
        <v>75158</v>
      </c>
      <c r="J316" s="277">
        <v>0</v>
      </c>
      <c r="K316" s="277">
        <v>0</v>
      </c>
      <c r="L316" s="277">
        <v>0</v>
      </c>
      <c r="M316" s="277">
        <v>0</v>
      </c>
      <c r="N316" s="277">
        <v>0</v>
      </c>
      <c r="O316" s="277">
        <v>0</v>
      </c>
      <c r="P316" s="277">
        <v>11800231</v>
      </c>
      <c r="Q316" s="277">
        <v>5900116</v>
      </c>
      <c r="R316" s="277">
        <v>4720092</v>
      </c>
      <c r="S316" s="277">
        <v>1062021</v>
      </c>
      <c r="T316" s="277">
        <v>118002</v>
      </c>
      <c r="U316" s="277">
        <v>11800231</v>
      </c>
      <c r="V316" s="277">
        <v>0</v>
      </c>
      <c r="W316" s="277">
        <v>5900116</v>
      </c>
      <c r="X316" s="277">
        <v>75158</v>
      </c>
      <c r="Y316" s="277">
        <v>75158</v>
      </c>
      <c r="Z316" s="277">
        <v>0</v>
      </c>
      <c r="AA316" s="277">
        <v>0</v>
      </c>
      <c r="AB316" s="277">
        <v>0</v>
      </c>
      <c r="AC316" s="277">
        <v>0</v>
      </c>
      <c r="AD316" s="277">
        <v>0</v>
      </c>
      <c r="AE316" s="277">
        <v>0</v>
      </c>
      <c r="AF316" s="277">
        <v>0</v>
      </c>
      <c r="AG316" s="277">
        <v>0</v>
      </c>
      <c r="AH316" s="277">
        <v>0</v>
      </c>
      <c r="AI316" s="277">
        <v>0</v>
      </c>
      <c r="AJ316" s="277">
        <v>0</v>
      </c>
      <c r="AK316" s="277">
        <v>0</v>
      </c>
      <c r="AL316" s="277">
        <v>0</v>
      </c>
      <c r="AM316" s="277">
        <v>149779</v>
      </c>
      <c r="AN316" s="277">
        <v>119823.2</v>
      </c>
      <c r="AO316" s="277">
        <v>26960.22</v>
      </c>
      <c r="AP316" s="277">
        <v>2995.58</v>
      </c>
      <c r="AQ316" s="277">
        <v>299558</v>
      </c>
      <c r="AR316" s="277">
        <v>6049895</v>
      </c>
      <c r="AS316" s="277">
        <v>4915073</v>
      </c>
      <c r="AT316" s="277">
        <v>1088981</v>
      </c>
      <c r="AU316" s="277">
        <v>120998</v>
      </c>
      <c r="AV316" s="277">
        <v>12174947</v>
      </c>
      <c r="AW316" s="277">
        <v>50905</v>
      </c>
      <c r="AX316" s="277">
        <v>11274</v>
      </c>
      <c r="AY316" s="277">
        <v>1253</v>
      </c>
      <c r="AZ316" s="277">
        <v>63432</v>
      </c>
      <c r="BA316" s="277">
        <v>253623</v>
      </c>
      <c r="BB316" s="277">
        <v>57065</v>
      </c>
      <c r="BC316" s="277">
        <v>6341</v>
      </c>
      <c r="BD316" s="277">
        <v>317029</v>
      </c>
      <c r="BE316" s="277">
        <v>1213</v>
      </c>
      <c r="BF316" s="277">
        <v>273</v>
      </c>
      <c r="BG316" s="277">
        <v>30</v>
      </c>
      <c r="BH316" s="277">
        <v>1516</v>
      </c>
      <c r="BI316" s="277">
        <v>202</v>
      </c>
      <c r="BJ316" s="277">
        <v>46</v>
      </c>
      <c r="BK316" s="277">
        <v>5</v>
      </c>
      <c r="BL316" s="277">
        <v>253</v>
      </c>
      <c r="BM316" s="277">
        <v>2021</v>
      </c>
      <c r="BN316" s="277">
        <v>455</v>
      </c>
      <c r="BO316" s="277">
        <v>51</v>
      </c>
      <c r="BP316" s="277">
        <v>2527</v>
      </c>
      <c r="BQ316" s="277">
        <v>84892</v>
      </c>
      <c r="BR316" s="277">
        <v>19101</v>
      </c>
      <c r="BS316" s="277">
        <v>2122</v>
      </c>
      <c r="BT316" s="277">
        <v>106115</v>
      </c>
      <c r="BU316" s="277">
        <v>392856</v>
      </c>
      <c r="BV316" s="277">
        <v>88214</v>
      </c>
      <c r="BW316" s="277">
        <v>9802</v>
      </c>
      <c r="BX316" s="277">
        <v>490872</v>
      </c>
      <c r="BY316" s="278" t="s">
        <v>548</v>
      </c>
      <c r="BZ316" s="279" t="s">
        <v>1048</v>
      </c>
      <c r="CA316" s="280" t="s">
        <v>1037</v>
      </c>
    </row>
    <row r="317" spans="1:79" ht="12.75">
      <c r="A317" s="169">
        <v>310</v>
      </c>
      <c r="B317" s="172" t="s">
        <v>550</v>
      </c>
      <c r="C317" s="258" t="s">
        <v>551</v>
      </c>
      <c r="D317" s="277">
        <v>1743236802</v>
      </c>
      <c r="E317" s="277">
        <v>3937633.21</v>
      </c>
      <c r="F317" s="277">
        <v>0</v>
      </c>
      <c r="G317" s="277">
        <v>3154688</v>
      </c>
      <c r="H317" s="277">
        <v>0</v>
      </c>
      <c r="I317" s="277">
        <v>3154688</v>
      </c>
      <c r="J317" s="277">
        <v>0</v>
      </c>
      <c r="K317" s="277">
        <v>0</v>
      </c>
      <c r="L317" s="277">
        <v>0</v>
      </c>
      <c r="M317" s="277">
        <v>0</v>
      </c>
      <c r="N317" s="277">
        <v>0</v>
      </c>
      <c r="O317" s="277">
        <v>0</v>
      </c>
      <c r="P317" s="277">
        <v>1744019748</v>
      </c>
      <c r="Q317" s="277">
        <v>872009874</v>
      </c>
      <c r="R317" s="277">
        <v>523205924</v>
      </c>
      <c r="S317" s="277">
        <v>348803950</v>
      </c>
      <c r="T317" s="277">
        <v>0</v>
      </c>
      <c r="U317" s="277">
        <v>1744019748</v>
      </c>
      <c r="V317" s="277">
        <v>0</v>
      </c>
      <c r="W317" s="277">
        <v>872009874</v>
      </c>
      <c r="X317" s="277">
        <v>3154688</v>
      </c>
      <c r="Y317" s="277">
        <v>3154688</v>
      </c>
      <c r="Z317" s="277">
        <v>0</v>
      </c>
      <c r="AA317" s="277">
        <v>0</v>
      </c>
      <c r="AB317" s="277">
        <v>0</v>
      </c>
      <c r="AC317" s="277">
        <v>0</v>
      </c>
      <c r="AD317" s="277">
        <v>0</v>
      </c>
      <c r="AE317" s="277">
        <v>0</v>
      </c>
      <c r="AF317" s="277">
        <v>0</v>
      </c>
      <c r="AG317" s="277">
        <v>0</v>
      </c>
      <c r="AH317" s="277">
        <v>0</v>
      </c>
      <c r="AI317" s="277">
        <v>0</v>
      </c>
      <c r="AJ317" s="277">
        <v>0</v>
      </c>
      <c r="AK317" s="277">
        <v>0</v>
      </c>
      <c r="AL317" s="277">
        <v>0</v>
      </c>
      <c r="AM317" s="277">
        <v>-15511868</v>
      </c>
      <c r="AN317" s="277">
        <v>-9307120.8</v>
      </c>
      <c r="AO317" s="277">
        <v>-6204747.2</v>
      </c>
      <c r="AP317" s="277">
        <v>0</v>
      </c>
      <c r="AQ317" s="277">
        <v>-31023736</v>
      </c>
      <c r="AR317" s="277">
        <v>856498006</v>
      </c>
      <c r="AS317" s="277">
        <v>517053491</v>
      </c>
      <c r="AT317" s="277">
        <v>342599203</v>
      </c>
      <c r="AU317" s="277">
        <v>0</v>
      </c>
      <c r="AV317" s="277">
        <v>1716150700</v>
      </c>
      <c r="AW317" s="277">
        <v>5587692</v>
      </c>
      <c r="AX317" s="277">
        <v>3702802</v>
      </c>
      <c r="AY317" s="277">
        <v>0</v>
      </c>
      <c r="AZ317" s="277">
        <v>9290494</v>
      </c>
      <c r="BA317" s="277">
        <v>285635</v>
      </c>
      <c r="BB317" s="277">
        <v>190423</v>
      </c>
      <c r="BC317" s="277">
        <v>0</v>
      </c>
      <c r="BD317" s="277">
        <v>476058</v>
      </c>
      <c r="BE317" s="277">
        <v>0</v>
      </c>
      <c r="BF317" s="277">
        <v>0</v>
      </c>
      <c r="BG317" s="277">
        <v>0</v>
      </c>
      <c r="BH317" s="277">
        <v>0</v>
      </c>
      <c r="BI317" s="277">
        <v>0</v>
      </c>
      <c r="BJ317" s="277">
        <v>0</v>
      </c>
      <c r="BK317" s="277">
        <v>0</v>
      </c>
      <c r="BL317" s="277">
        <v>0</v>
      </c>
      <c r="BM317" s="277">
        <v>0</v>
      </c>
      <c r="BN317" s="277">
        <v>0</v>
      </c>
      <c r="BO317" s="277">
        <v>0</v>
      </c>
      <c r="BP317" s="277">
        <v>0</v>
      </c>
      <c r="BQ317" s="277">
        <v>1212739</v>
      </c>
      <c r="BR317" s="277">
        <v>303185</v>
      </c>
      <c r="BS317" s="277">
        <v>0</v>
      </c>
      <c r="BT317" s="277">
        <v>1515924</v>
      </c>
      <c r="BU317" s="277">
        <v>7086066</v>
      </c>
      <c r="BV317" s="277">
        <v>4196410</v>
      </c>
      <c r="BW317" s="277">
        <v>0</v>
      </c>
      <c r="BX317" s="277">
        <v>11282476</v>
      </c>
      <c r="BY317" s="278" t="s">
        <v>550</v>
      </c>
      <c r="BZ317" s="279" t="s">
        <v>995</v>
      </c>
      <c r="CA317" s="279" t="s">
        <v>983</v>
      </c>
    </row>
    <row r="318" spans="1:79" ht="12.75">
      <c r="A318" s="169">
        <v>311</v>
      </c>
      <c r="B318" s="172" t="s">
        <v>552</v>
      </c>
      <c r="C318" s="258" t="s">
        <v>553</v>
      </c>
      <c r="D318" s="277">
        <v>14997509.8</v>
      </c>
      <c r="E318" s="277">
        <v>19529</v>
      </c>
      <c r="F318" s="277">
        <v>0</v>
      </c>
      <c r="G318" s="277">
        <v>108024</v>
      </c>
      <c r="H318" s="277">
        <v>0</v>
      </c>
      <c r="I318" s="277">
        <v>108024</v>
      </c>
      <c r="J318" s="277">
        <v>0</v>
      </c>
      <c r="K318" s="277">
        <v>0</v>
      </c>
      <c r="L318" s="277">
        <v>0</v>
      </c>
      <c r="M318" s="277">
        <v>0</v>
      </c>
      <c r="N318" s="277">
        <v>0</v>
      </c>
      <c r="O318" s="277">
        <v>0</v>
      </c>
      <c r="P318" s="277">
        <v>14909014.8</v>
      </c>
      <c r="Q318" s="277">
        <v>7454507.84</v>
      </c>
      <c r="R318" s="277">
        <v>5963606</v>
      </c>
      <c r="S318" s="277">
        <v>1341811</v>
      </c>
      <c r="T318" s="277">
        <v>149090</v>
      </c>
      <c r="U318" s="277">
        <v>14909015</v>
      </c>
      <c r="V318" s="277">
        <v>0</v>
      </c>
      <c r="W318" s="277">
        <v>7454507.84</v>
      </c>
      <c r="X318" s="277">
        <v>108024</v>
      </c>
      <c r="Y318" s="277">
        <v>108024</v>
      </c>
      <c r="Z318" s="277">
        <v>0</v>
      </c>
      <c r="AA318" s="277">
        <v>0</v>
      </c>
      <c r="AB318" s="277">
        <v>0</v>
      </c>
      <c r="AC318" s="277">
        <v>0</v>
      </c>
      <c r="AD318" s="277">
        <v>0</v>
      </c>
      <c r="AE318" s="277">
        <v>0</v>
      </c>
      <c r="AF318" s="277">
        <v>0</v>
      </c>
      <c r="AG318" s="277">
        <v>0</v>
      </c>
      <c r="AH318" s="277">
        <v>0</v>
      </c>
      <c r="AI318" s="277">
        <v>0</v>
      </c>
      <c r="AJ318" s="277">
        <v>0</v>
      </c>
      <c r="AK318" s="277">
        <v>0</v>
      </c>
      <c r="AL318" s="277">
        <v>0</v>
      </c>
      <c r="AM318" s="277">
        <v>-839806.23</v>
      </c>
      <c r="AN318" s="277">
        <v>-671844.98</v>
      </c>
      <c r="AO318" s="277">
        <v>-151165.12</v>
      </c>
      <c r="AP318" s="277">
        <v>-16796.13</v>
      </c>
      <c r="AQ318" s="277">
        <v>-1679612.5</v>
      </c>
      <c r="AR318" s="277">
        <v>6614702</v>
      </c>
      <c r="AS318" s="277">
        <v>5399785</v>
      </c>
      <c r="AT318" s="277">
        <v>1190646</v>
      </c>
      <c r="AU318" s="277">
        <v>132294</v>
      </c>
      <c r="AV318" s="277">
        <v>13337427</v>
      </c>
      <c r="AW318" s="277">
        <v>64455</v>
      </c>
      <c r="AX318" s="277">
        <v>14244</v>
      </c>
      <c r="AY318" s="277">
        <v>1583</v>
      </c>
      <c r="AZ318" s="277">
        <v>80282</v>
      </c>
      <c r="BA318" s="277">
        <v>304287</v>
      </c>
      <c r="BB318" s="277">
        <v>68465</v>
      </c>
      <c r="BC318" s="277">
        <v>7607</v>
      </c>
      <c r="BD318" s="277">
        <v>380359</v>
      </c>
      <c r="BE318" s="277">
        <v>4042</v>
      </c>
      <c r="BF318" s="277">
        <v>910</v>
      </c>
      <c r="BG318" s="277">
        <v>101</v>
      </c>
      <c r="BH318" s="277">
        <v>5053</v>
      </c>
      <c r="BI318" s="277">
        <v>4042</v>
      </c>
      <c r="BJ318" s="277">
        <v>910</v>
      </c>
      <c r="BK318" s="277">
        <v>101</v>
      </c>
      <c r="BL318" s="277">
        <v>5053</v>
      </c>
      <c r="BM318" s="277">
        <v>4042</v>
      </c>
      <c r="BN318" s="277">
        <v>910</v>
      </c>
      <c r="BO318" s="277">
        <v>101</v>
      </c>
      <c r="BP318" s="277">
        <v>5053</v>
      </c>
      <c r="BQ318" s="277">
        <v>199261</v>
      </c>
      <c r="BR318" s="277">
        <v>44834</v>
      </c>
      <c r="BS318" s="277">
        <v>4982</v>
      </c>
      <c r="BT318" s="277">
        <v>249077</v>
      </c>
      <c r="BU318" s="277">
        <v>580129</v>
      </c>
      <c r="BV318" s="277">
        <v>130273</v>
      </c>
      <c r="BW318" s="277">
        <v>14475</v>
      </c>
      <c r="BX318" s="277">
        <v>724877</v>
      </c>
      <c r="BY318" s="278" t="s">
        <v>930</v>
      </c>
      <c r="BZ318" s="279" t="s">
        <v>1030</v>
      </c>
      <c r="CA318" s="280" t="s">
        <v>1012</v>
      </c>
    </row>
    <row r="319" spans="1:79" ht="12.75">
      <c r="A319" s="169">
        <v>312</v>
      </c>
      <c r="B319" s="172" t="s">
        <v>554</v>
      </c>
      <c r="C319" s="258" t="s">
        <v>555</v>
      </c>
      <c r="D319" s="277">
        <v>84118188</v>
      </c>
      <c r="E319" s="277">
        <v>383400</v>
      </c>
      <c r="F319" s="277">
        <v>0</v>
      </c>
      <c r="G319" s="277">
        <v>387845</v>
      </c>
      <c r="H319" s="277">
        <v>0</v>
      </c>
      <c r="I319" s="277">
        <v>387845</v>
      </c>
      <c r="J319" s="277">
        <v>0</v>
      </c>
      <c r="K319" s="277">
        <v>0</v>
      </c>
      <c r="L319" s="277">
        <v>0</v>
      </c>
      <c r="M319" s="277">
        <v>0</v>
      </c>
      <c r="N319" s="277">
        <v>0</v>
      </c>
      <c r="O319" s="277">
        <v>0</v>
      </c>
      <c r="P319" s="277">
        <v>84113743</v>
      </c>
      <c r="Q319" s="277">
        <v>42056872</v>
      </c>
      <c r="R319" s="277">
        <v>41215734</v>
      </c>
      <c r="S319" s="277">
        <v>0</v>
      </c>
      <c r="T319" s="277">
        <v>841137</v>
      </c>
      <c r="U319" s="277">
        <v>84113743</v>
      </c>
      <c r="V319" s="277">
        <v>0</v>
      </c>
      <c r="W319" s="277">
        <v>42056872</v>
      </c>
      <c r="X319" s="277">
        <v>387845</v>
      </c>
      <c r="Y319" s="277">
        <v>387845</v>
      </c>
      <c r="Z319" s="277">
        <v>0</v>
      </c>
      <c r="AA319" s="277">
        <v>0</v>
      </c>
      <c r="AB319" s="277">
        <v>0</v>
      </c>
      <c r="AC319" s="277">
        <v>0</v>
      </c>
      <c r="AD319" s="277">
        <v>0</v>
      </c>
      <c r="AE319" s="277">
        <v>0</v>
      </c>
      <c r="AF319" s="277">
        <v>0</v>
      </c>
      <c r="AG319" s="277">
        <v>0</v>
      </c>
      <c r="AH319" s="277">
        <v>0</v>
      </c>
      <c r="AI319" s="277">
        <v>0</v>
      </c>
      <c r="AJ319" s="277">
        <v>0</v>
      </c>
      <c r="AK319" s="277">
        <v>0</v>
      </c>
      <c r="AL319" s="277">
        <v>0</v>
      </c>
      <c r="AM319" s="277">
        <v>-278574</v>
      </c>
      <c r="AN319" s="277">
        <v>-273002.52</v>
      </c>
      <c r="AO319" s="277">
        <v>0</v>
      </c>
      <c r="AP319" s="277">
        <v>-5571.48</v>
      </c>
      <c r="AQ319" s="277">
        <v>-557148</v>
      </c>
      <c r="AR319" s="277">
        <v>41778298</v>
      </c>
      <c r="AS319" s="277">
        <v>41330576</v>
      </c>
      <c r="AT319" s="277">
        <v>0</v>
      </c>
      <c r="AU319" s="277">
        <v>835566</v>
      </c>
      <c r="AV319" s="277">
        <v>83944440</v>
      </c>
      <c r="AW319" s="277">
        <v>441652</v>
      </c>
      <c r="AX319" s="277">
        <v>0</v>
      </c>
      <c r="AY319" s="277">
        <v>8929</v>
      </c>
      <c r="AZ319" s="277">
        <v>450581</v>
      </c>
      <c r="BA319" s="277">
        <v>793852</v>
      </c>
      <c r="BB319" s="277">
        <v>0</v>
      </c>
      <c r="BC319" s="277">
        <v>16201</v>
      </c>
      <c r="BD319" s="277">
        <v>810053</v>
      </c>
      <c r="BE319" s="277">
        <v>0</v>
      </c>
      <c r="BF319" s="277">
        <v>0</v>
      </c>
      <c r="BG319" s="277">
        <v>0</v>
      </c>
      <c r="BH319" s="277">
        <v>0</v>
      </c>
      <c r="BI319" s="277">
        <v>0</v>
      </c>
      <c r="BJ319" s="277">
        <v>0</v>
      </c>
      <c r="BK319" s="277">
        <v>0</v>
      </c>
      <c r="BL319" s="277">
        <v>0</v>
      </c>
      <c r="BM319" s="277">
        <v>0</v>
      </c>
      <c r="BN319" s="277">
        <v>0</v>
      </c>
      <c r="BO319" s="277">
        <v>0</v>
      </c>
      <c r="BP319" s="277">
        <v>0</v>
      </c>
      <c r="BQ319" s="277">
        <v>622502</v>
      </c>
      <c r="BR319" s="277">
        <v>0</v>
      </c>
      <c r="BS319" s="277">
        <v>12704</v>
      </c>
      <c r="BT319" s="277">
        <v>635206</v>
      </c>
      <c r="BU319" s="277">
        <v>1858006</v>
      </c>
      <c r="BV319" s="277">
        <v>0</v>
      </c>
      <c r="BW319" s="277">
        <v>37834</v>
      </c>
      <c r="BX319" s="277">
        <v>1895840</v>
      </c>
      <c r="BY319" s="278" t="s">
        <v>554</v>
      </c>
      <c r="BZ319" s="279" t="s">
        <v>996</v>
      </c>
      <c r="CA319" s="280" t="s">
        <v>1010</v>
      </c>
    </row>
    <row r="320" spans="1:79" ht="12.75">
      <c r="A320" s="169">
        <v>313</v>
      </c>
      <c r="B320" s="172" t="s">
        <v>556</v>
      </c>
      <c r="C320" s="258" t="s">
        <v>557</v>
      </c>
      <c r="D320" s="277">
        <v>142672874</v>
      </c>
      <c r="E320" s="277">
        <v>184570</v>
      </c>
      <c r="F320" s="277">
        <v>0</v>
      </c>
      <c r="G320" s="277">
        <v>616399</v>
      </c>
      <c r="H320" s="277">
        <v>0</v>
      </c>
      <c r="I320" s="277">
        <v>616399</v>
      </c>
      <c r="J320" s="277">
        <v>0</v>
      </c>
      <c r="K320" s="277">
        <v>0</v>
      </c>
      <c r="L320" s="277">
        <v>0</v>
      </c>
      <c r="M320" s="277">
        <v>255473</v>
      </c>
      <c r="N320" s="277">
        <v>255473</v>
      </c>
      <c r="O320" s="277">
        <v>0</v>
      </c>
      <c r="P320" s="277">
        <v>141985572</v>
      </c>
      <c r="Q320" s="277">
        <v>70992786</v>
      </c>
      <c r="R320" s="277">
        <v>69572930</v>
      </c>
      <c r="S320" s="277">
        <v>0</v>
      </c>
      <c r="T320" s="277">
        <v>1419856</v>
      </c>
      <c r="U320" s="277">
        <v>141985572</v>
      </c>
      <c r="V320" s="277">
        <v>0</v>
      </c>
      <c r="W320" s="277">
        <v>70992786</v>
      </c>
      <c r="X320" s="277">
        <v>616399</v>
      </c>
      <c r="Y320" s="277">
        <v>616399</v>
      </c>
      <c r="Z320" s="277">
        <v>0</v>
      </c>
      <c r="AA320" s="277">
        <v>0</v>
      </c>
      <c r="AB320" s="277">
        <v>0</v>
      </c>
      <c r="AC320" s="277">
        <v>0</v>
      </c>
      <c r="AD320" s="277">
        <v>255473</v>
      </c>
      <c r="AE320" s="277">
        <v>0</v>
      </c>
      <c r="AF320" s="277">
        <v>255473</v>
      </c>
      <c r="AG320" s="277">
        <v>0</v>
      </c>
      <c r="AH320" s="277">
        <v>0</v>
      </c>
      <c r="AI320" s="277">
        <v>0</v>
      </c>
      <c r="AJ320" s="277">
        <v>0</v>
      </c>
      <c r="AK320" s="277">
        <v>0</v>
      </c>
      <c r="AL320" s="277">
        <v>0</v>
      </c>
      <c r="AM320" s="277">
        <v>-2712683</v>
      </c>
      <c r="AN320" s="277">
        <v>-2658429.3</v>
      </c>
      <c r="AO320" s="277">
        <v>0</v>
      </c>
      <c r="AP320" s="277">
        <v>-54253.66</v>
      </c>
      <c r="AQ320" s="277">
        <v>-5425366</v>
      </c>
      <c r="AR320" s="277">
        <v>68280103</v>
      </c>
      <c r="AS320" s="277">
        <v>67786373</v>
      </c>
      <c r="AT320" s="277">
        <v>0</v>
      </c>
      <c r="AU320" s="277">
        <v>1365602</v>
      </c>
      <c r="AV320" s="277">
        <v>137432078</v>
      </c>
      <c r="AW320" s="277">
        <v>747822</v>
      </c>
      <c r="AX320" s="277">
        <v>0</v>
      </c>
      <c r="AY320" s="277">
        <v>15073</v>
      </c>
      <c r="AZ320" s="277">
        <v>762895</v>
      </c>
      <c r="BA320" s="277">
        <v>2191574</v>
      </c>
      <c r="BB320" s="277">
        <v>0</v>
      </c>
      <c r="BC320" s="277">
        <v>44726</v>
      </c>
      <c r="BD320" s="277">
        <v>2236300</v>
      </c>
      <c r="BE320" s="277">
        <v>0</v>
      </c>
      <c r="BF320" s="277">
        <v>0</v>
      </c>
      <c r="BG320" s="277">
        <v>0</v>
      </c>
      <c r="BH320" s="277">
        <v>0</v>
      </c>
      <c r="BI320" s="277">
        <v>49520</v>
      </c>
      <c r="BJ320" s="277">
        <v>0</v>
      </c>
      <c r="BK320" s="277">
        <v>1011</v>
      </c>
      <c r="BL320" s="277">
        <v>50531</v>
      </c>
      <c r="BM320" s="277">
        <v>89136</v>
      </c>
      <c r="BN320" s="277">
        <v>0</v>
      </c>
      <c r="BO320" s="277">
        <v>1819</v>
      </c>
      <c r="BP320" s="277">
        <v>90955</v>
      </c>
      <c r="BQ320" s="277">
        <v>1067159</v>
      </c>
      <c r="BR320" s="277">
        <v>0</v>
      </c>
      <c r="BS320" s="277">
        <v>21779</v>
      </c>
      <c r="BT320" s="277">
        <v>1088938</v>
      </c>
      <c r="BU320" s="277">
        <v>4145211</v>
      </c>
      <c r="BV320" s="277">
        <v>0</v>
      </c>
      <c r="BW320" s="277">
        <v>84408</v>
      </c>
      <c r="BX320" s="277">
        <v>4229619</v>
      </c>
      <c r="BY320" s="278" t="s">
        <v>556</v>
      </c>
      <c r="BZ320" s="279" t="s">
        <v>1003</v>
      </c>
      <c r="CA320" s="280" t="s">
        <v>1052</v>
      </c>
    </row>
    <row r="321" spans="1:79" ht="12.75">
      <c r="A321" s="169">
        <v>314</v>
      </c>
      <c r="B321" s="172" t="s">
        <v>558</v>
      </c>
      <c r="C321" s="258" t="s">
        <v>559</v>
      </c>
      <c r="D321" s="277">
        <v>52405571.3</v>
      </c>
      <c r="E321" s="277">
        <v>168214.27</v>
      </c>
      <c r="F321" s="277">
        <v>0</v>
      </c>
      <c r="G321" s="277">
        <v>197633</v>
      </c>
      <c r="H321" s="277">
        <v>0</v>
      </c>
      <c r="I321" s="277">
        <v>197633</v>
      </c>
      <c r="J321" s="277">
        <v>0</v>
      </c>
      <c r="K321" s="277">
        <v>0</v>
      </c>
      <c r="L321" s="277">
        <v>0</v>
      </c>
      <c r="M321" s="277">
        <v>0</v>
      </c>
      <c r="N321" s="277">
        <v>0</v>
      </c>
      <c r="O321" s="277">
        <v>0</v>
      </c>
      <c r="P321" s="277">
        <v>52376152.5</v>
      </c>
      <c r="Q321" s="277">
        <v>26188075.5</v>
      </c>
      <c r="R321" s="277">
        <v>20950461</v>
      </c>
      <c r="S321" s="277">
        <v>4713854</v>
      </c>
      <c r="T321" s="277">
        <v>523762</v>
      </c>
      <c r="U321" s="277">
        <v>52376153</v>
      </c>
      <c r="V321" s="277">
        <v>0</v>
      </c>
      <c r="W321" s="277">
        <v>26188075.5</v>
      </c>
      <c r="X321" s="277">
        <v>197633</v>
      </c>
      <c r="Y321" s="277">
        <v>197633</v>
      </c>
      <c r="Z321" s="277">
        <v>0</v>
      </c>
      <c r="AA321" s="277">
        <v>0</v>
      </c>
      <c r="AB321" s="277">
        <v>0</v>
      </c>
      <c r="AC321" s="277">
        <v>0</v>
      </c>
      <c r="AD321" s="277">
        <v>0</v>
      </c>
      <c r="AE321" s="277">
        <v>0</v>
      </c>
      <c r="AF321" s="277">
        <v>0</v>
      </c>
      <c r="AG321" s="277">
        <v>0</v>
      </c>
      <c r="AH321" s="277">
        <v>0</v>
      </c>
      <c r="AI321" s="277">
        <v>0</v>
      </c>
      <c r="AJ321" s="277">
        <v>0</v>
      </c>
      <c r="AK321" s="277">
        <v>0</v>
      </c>
      <c r="AL321" s="277">
        <v>0</v>
      </c>
      <c r="AM321" s="277">
        <v>970829.65</v>
      </c>
      <c r="AN321" s="277">
        <v>776663.72</v>
      </c>
      <c r="AO321" s="277">
        <v>174749.34</v>
      </c>
      <c r="AP321" s="277">
        <v>19416.59</v>
      </c>
      <c r="AQ321" s="277">
        <v>1941659.3</v>
      </c>
      <c r="AR321" s="277">
        <v>27158905</v>
      </c>
      <c r="AS321" s="277">
        <v>21924758</v>
      </c>
      <c r="AT321" s="277">
        <v>4888603</v>
      </c>
      <c r="AU321" s="277">
        <v>543179</v>
      </c>
      <c r="AV321" s="277">
        <v>54515445</v>
      </c>
      <c r="AW321" s="277">
        <v>224502</v>
      </c>
      <c r="AX321" s="277">
        <v>50041</v>
      </c>
      <c r="AY321" s="277">
        <v>5560</v>
      </c>
      <c r="AZ321" s="277">
        <v>280103</v>
      </c>
      <c r="BA321" s="277">
        <v>473568</v>
      </c>
      <c r="BB321" s="277">
        <v>106553</v>
      </c>
      <c r="BC321" s="277">
        <v>11839</v>
      </c>
      <c r="BD321" s="277">
        <v>591960</v>
      </c>
      <c r="BE321" s="277">
        <v>22848</v>
      </c>
      <c r="BF321" s="277">
        <v>5141</v>
      </c>
      <c r="BG321" s="277">
        <v>571</v>
      </c>
      <c r="BH321" s="277">
        <v>28560</v>
      </c>
      <c r="BI321" s="277">
        <v>31625</v>
      </c>
      <c r="BJ321" s="277">
        <v>7116</v>
      </c>
      <c r="BK321" s="277">
        <v>791</v>
      </c>
      <c r="BL321" s="277">
        <v>39532</v>
      </c>
      <c r="BM321" s="277">
        <v>32467</v>
      </c>
      <c r="BN321" s="277">
        <v>7305</v>
      </c>
      <c r="BO321" s="277">
        <v>812</v>
      </c>
      <c r="BP321" s="277">
        <v>40584</v>
      </c>
      <c r="BQ321" s="277">
        <v>278394</v>
      </c>
      <c r="BR321" s="277">
        <v>62639</v>
      </c>
      <c r="BS321" s="277">
        <v>6960</v>
      </c>
      <c r="BT321" s="277">
        <v>347993</v>
      </c>
      <c r="BU321" s="277">
        <v>1063404</v>
      </c>
      <c r="BV321" s="277">
        <v>238795</v>
      </c>
      <c r="BW321" s="277">
        <v>26533</v>
      </c>
      <c r="BX321" s="277">
        <v>1328732</v>
      </c>
      <c r="BY321" s="278" t="s">
        <v>558</v>
      </c>
      <c r="BZ321" s="279" t="s">
        <v>1000</v>
      </c>
      <c r="CA321" s="280" t="s">
        <v>1001</v>
      </c>
    </row>
    <row r="322" spans="1:79" ht="12.75">
      <c r="A322" s="169">
        <v>315</v>
      </c>
      <c r="B322" s="172" t="s">
        <v>560</v>
      </c>
      <c r="C322" s="258" t="s">
        <v>561</v>
      </c>
      <c r="D322" s="277">
        <v>73053443.4</v>
      </c>
      <c r="E322" s="277">
        <v>43274.31</v>
      </c>
      <c r="F322" s="277">
        <v>0</v>
      </c>
      <c r="G322" s="277">
        <v>248540</v>
      </c>
      <c r="H322" s="277">
        <v>0</v>
      </c>
      <c r="I322" s="277">
        <v>248540</v>
      </c>
      <c r="J322" s="277">
        <v>0</v>
      </c>
      <c r="K322" s="277">
        <v>0</v>
      </c>
      <c r="L322" s="277">
        <v>0</v>
      </c>
      <c r="M322" s="277">
        <v>0</v>
      </c>
      <c r="N322" s="277">
        <v>0</v>
      </c>
      <c r="O322" s="277">
        <v>0</v>
      </c>
      <c r="P322" s="277">
        <v>72848177.7</v>
      </c>
      <c r="Q322" s="277">
        <v>36424088.7</v>
      </c>
      <c r="R322" s="277">
        <v>35695607</v>
      </c>
      <c r="S322" s="277">
        <v>0</v>
      </c>
      <c r="T322" s="277">
        <v>728482</v>
      </c>
      <c r="U322" s="277">
        <v>72848178</v>
      </c>
      <c r="V322" s="277">
        <v>0</v>
      </c>
      <c r="W322" s="277">
        <v>36424088.7</v>
      </c>
      <c r="X322" s="277">
        <v>248540</v>
      </c>
      <c r="Y322" s="277">
        <v>248540</v>
      </c>
      <c r="Z322" s="277">
        <v>0</v>
      </c>
      <c r="AA322" s="277">
        <v>0</v>
      </c>
      <c r="AB322" s="277">
        <v>0</v>
      </c>
      <c r="AC322" s="277">
        <v>0</v>
      </c>
      <c r="AD322" s="277">
        <v>0</v>
      </c>
      <c r="AE322" s="277">
        <v>0</v>
      </c>
      <c r="AF322" s="277">
        <v>0</v>
      </c>
      <c r="AG322" s="277">
        <v>0</v>
      </c>
      <c r="AH322" s="277">
        <v>0</v>
      </c>
      <c r="AI322" s="277">
        <v>0</v>
      </c>
      <c r="AJ322" s="277">
        <v>0</v>
      </c>
      <c r="AK322" s="277">
        <v>0</v>
      </c>
      <c r="AL322" s="277">
        <v>0</v>
      </c>
      <c r="AM322" s="277">
        <v>67075.66</v>
      </c>
      <c r="AN322" s="277">
        <v>65734.15</v>
      </c>
      <c r="AO322" s="277">
        <v>0</v>
      </c>
      <c r="AP322" s="277">
        <v>1341.51</v>
      </c>
      <c r="AQ322" s="277">
        <v>134151.32</v>
      </c>
      <c r="AR322" s="277">
        <v>36491164</v>
      </c>
      <c r="AS322" s="277">
        <v>36009881</v>
      </c>
      <c r="AT322" s="277">
        <v>0</v>
      </c>
      <c r="AU322" s="277">
        <v>729824</v>
      </c>
      <c r="AV322" s="277">
        <v>73230869</v>
      </c>
      <c r="AW322" s="277">
        <v>381573</v>
      </c>
      <c r="AX322" s="277">
        <v>0</v>
      </c>
      <c r="AY322" s="277">
        <v>7733</v>
      </c>
      <c r="AZ322" s="277">
        <v>389306</v>
      </c>
      <c r="BA322" s="277">
        <v>417944</v>
      </c>
      <c r="BB322" s="277">
        <v>0</v>
      </c>
      <c r="BC322" s="277">
        <v>8529</v>
      </c>
      <c r="BD322" s="277">
        <v>426473</v>
      </c>
      <c r="BE322" s="277">
        <v>0</v>
      </c>
      <c r="BF322" s="277">
        <v>0</v>
      </c>
      <c r="BG322" s="277">
        <v>0</v>
      </c>
      <c r="BH322" s="277">
        <v>0</v>
      </c>
      <c r="BI322" s="277">
        <v>24760</v>
      </c>
      <c r="BJ322" s="277">
        <v>0</v>
      </c>
      <c r="BK322" s="277">
        <v>505</v>
      </c>
      <c r="BL322" s="277">
        <v>25265</v>
      </c>
      <c r="BM322" s="277">
        <v>47623</v>
      </c>
      <c r="BN322" s="277">
        <v>0</v>
      </c>
      <c r="BO322" s="277">
        <v>972</v>
      </c>
      <c r="BP322" s="277">
        <v>48595</v>
      </c>
      <c r="BQ322" s="277">
        <v>510976</v>
      </c>
      <c r="BR322" s="277">
        <v>0</v>
      </c>
      <c r="BS322" s="277">
        <v>10428</v>
      </c>
      <c r="BT322" s="277">
        <v>521404</v>
      </c>
      <c r="BU322" s="277">
        <v>1382876</v>
      </c>
      <c r="BV322" s="277">
        <v>0</v>
      </c>
      <c r="BW322" s="277">
        <v>28167</v>
      </c>
      <c r="BX322" s="277">
        <v>1411043</v>
      </c>
      <c r="BY322" s="278" t="s">
        <v>931</v>
      </c>
      <c r="BZ322" s="279" t="s">
        <v>1003</v>
      </c>
      <c r="CA322" s="280" t="s">
        <v>1013</v>
      </c>
    </row>
    <row r="323" spans="1:79" ht="12.75">
      <c r="A323" s="169">
        <v>316</v>
      </c>
      <c r="B323" s="172" t="s">
        <v>562</v>
      </c>
      <c r="C323" s="258" t="s">
        <v>563</v>
      </c>
      <c r="D323" s="277">
        <v>67359851</v>
      </c>
      <c r="E323" s="277">
        <v>70362</v>
      </c>
      <c r="F323" s="277">
        <v>0</v>
      </c>
      <c r="G323" s="277">
        <v>339424</v>
      </c>
      <c r="H323" s="277">
        <v>0</v>
      </c>
      <c r="I323" s="277">
        <v>339424</v>
      </c>
      <c r="J323" s="277">
        <v>0</v>
      </c>
      <c r="K323" s="277">
        <v>0</v>
      </c>
      <c r="L323" s="277">
        <v>0</v>
      </c>
      <c r="M323" s="277">
        <v>0</v>
      </c>
      <c r="N323" s="277">
        <v>0</v>
      </c>
      <c r="O323" s="277">
        <v>0</v>
      </c>
      <c r="P323" s="277">
        <v>67090789</v>
      </c>
      <c r="Q323" s="277">
        <v>33545394</v>
      </c>
      <c r="R323" s="277">
        <v>32874487</v>
      </c>
      <c r="S323" s="277">
        <v>0</v>
      </c>
      <c r="T323" s="277">
        <v>670908</v>
      </c>
      <c r="U323" s="277">
        <v>67090789</v>
      </c>
      <c r="V323" s="277">
        <v>0</v>
      </c>
      <c r="W323" s="277">
        <v>33545394</v>
      </c>
      <c r="X323" s="277">
        <v>339424</v>
      </c>
      <c r="Y323" s="277">
        <v>339424</v>
      </c>
      <c r="Z323" s="277">
        <v>0</v>
      </c>
      <c r="AA323" s="277">
        <v>0</v>
      </c>
      <c r="AB323" s="277">
        <v>0</v>
      </c>
      <c r="AC323" s="277">
        <v>0</v>
      </c>
      <c r="AD323" s="277">
        <v>0</v>
      </c>
      <c r="AE323" s="277">
        <v>0</v>
      </c>
      <c r="AF323" s="277">
        <v>0</v>
      </c>
      <c r="AG323" s="277">
        <v>0</v>
      </c>
      <c r="AH323" s="277">
        <v>0</v>
      </c>
      <c r="AI323" s="277">
        <v>0</v>
      </c>
      <c r="AJ323" s="277">
        <v>0</v>
      </c>
      <c r="AK323" s="277">
        <v>0</v>
      </c>
      <c r="AL323" s="277">
        <v>0</v>
      </c>
      <c r="AM323" s="277">
        <v>-840019</v>
      </c>
      <c r="AN323" s="277">
        <v>-823218.62</v>
      </c>
      <c r="AO323" s="277">
        <v>0</v>
      </c>
      <c r="AP323" s="277">
        <v>-16800.38</v>
      </c>
      <c r="AQ323" s="277">
        <v>-1680038</v>
      </c>
      <c r="AR323" s="277">
        <v>32705375</v>
      </c>
      <c r="AS323" s="277">
        <v>32390692</v>
      </c>
      <c r="AT323" s="277">
        <v>0</v>
      </c>
      <c r="AU323" s="277">
        <v>654108</v>
      </c>
      <c r="AV323" s="277">
        <v>65750175</v>
      </c>
      <c r="AW323" s="277">
        <v>352589</v>
      </c>
      <c r="AX323" s="277">
        <v>0</v>
      </c>
      <c r="AY323" s="277">
        <v>7122</v>
      </c>
      <c r="AZ323" s="277">
        <v>359711</v>
      </c>
      <c r="BA323" s="277">
        <v>1457185</v>
      </c>
      <c r="BB323" s="277">
        <v>0</v>
      </c>
      <c r="BC323" s="277">
        <v>29738</v>
      </c>
      <c r="BD323" s="277">
        <v>1486923</v>
      </c>
      <c r="BE323" s="277">
        <v>9904</v>
      </c>
      <c r="BF323" s="277">
        <v>0</v>
      </c>
      <c r="BG323" s="277">
        <v>202</v>
      </c>
      <c r="BH323" s="277">
        <v>10106</v>
      </c>
      <c r="BI323" s="277">
        <v>24760</v>
      </c>
      <c r="BJ323" s="277">
        <v>0</v>
      </c>
      <c r="BK323" s="277">
        <v>505</v>
      </c>
      <c r="BL323" s="277">
        <v>25265</v>
      </c>
      <c r="BM323" s="277">
        <v>45049</v>
      </c>
      <c r="BN323" s="277">
        <v>0</v>
      </c>
      <c r="BO323" s="277">
        <v>919</v>
      </c>
      <c r="BP323" s="277">
        <v>45968</v>
      </c>
      <c r="BQ323" s="277">
        <v>651233</v>
      </c>
      <c r="BR323" s="277">
        <v>0</v>
      </c>
      <c r="BS323" s="277">
        <v>13290</v>
      </c>
      <c r="BT323" s="277">
        <v>664523</v>
      </c>
      <c r="BU323" s="277">
        <v>2540720</v>
      </c>
      <c r="BV323" s="277">
        <v>0</v>
      </c>
      <c r="BW323" s="277">
        <v>51776</v>
      </c>
      <c r="BX323" s="277">
        <v>2592496</v>
      </c>
      <c r="BY323" s="278" t="s">
        <v>562</v>
      </c>
      <c r="BZ323" s="279" t="s">
        <v>996</v>
      </c>
      <c r="CA323" s="280" t="s">
        <v>1047</v>
      </c>
    </row>
    <row r="324" spans="1:79" ht="12.75">
      <c r="A324" s="169">
        <v>317</v>
      </c>
      <c r="B324" s="172" t="s">
        <v>564</v>
      </c>
      <c r="C324" s="258" t="s">
        <v>565</v>
      </c>
      <c r="D324" s="277">
        <v>42993324</v>
      </c>
      <c r="E324" s="277">
        <v>0</v>
      </c>
      <c r="F324" s="277">
        <v>37944</v>
      </c>
      <c r="G324" s="277">
        <v>136562</v>
      </c>
      <c r="H324" s="277">
        <v>0</v>
      </c>
      <c r="I324" s="277">
        <v>136562</v>
      </c>
      <c r="J324" s="277">
        <v>0</v>
      </c>
      <c r="K324" s="277">
        <v>0</v>
      </c>
      <c r="L324" s="277">
        <v>0</v>
      </c>
      <c r="M324" s="277">
        <v>0</v>
      </c>
      <c r="N324" s="277">
        <v>0</v>
      </c>
      <c r="O324" s="277">
        <v>0</v>
      </c>
      <c r="P324" s="277">
        <v>42818818</v>
      </c>
      <c r="Q324" s="277">
        <v>21409409</v>
      </c>
      <c r="R324" s="277">
        <v>17127527</v>
      </c>
      <c r="S324" s="277">
        <v>4281882</v>
      </c>
      <c r="T324" s="277">
        <v>0</v>
      </c>
      <c r="U324" s="277">
        <v>42818818</v>
      </c>
      <c r="V324" s="277">
        <v>0</v>
      </c>
      <c r="W324" s="277">
        <v>21409409</v>
      </c>
      <c r="X324" s="277">
        <v>136562</v>
      </c>
      <c r="Y324" s="277">
        <v>136562</v>
      </c>
      <c r="Z324" s="277">
        <v>0</v>
      </c>
      <c r="AA324" s="277">
        <v>0</v>
      </c>
      <c r="AB324" s="277">
        <v>0</v>
      </c>
      <c r="AC324" s="277">
        <v>0</v>
      </c>
      <c r="AD324" s="277">
        <v>0</v>
      </c>
      <c r="AE324" s="277">
        <v>0</v>
      </c>
      <c r="AF324" s="277">
        <v>0</v>
      </c>
      <c r="AG324" s="277">
        <v>0</v>
      </c>
      <c r="AH324" s="277">
        <v>0</v>
      </c>
      <c r="AI324" s="277">
        <v>0</v>
      </c>
      <c r="AJ324" s="277">
        <v>0</v>
      </c>
      <c r="AK324" s="277">
        <v>0</v>
      </c>
      <c r="AL324" s="277">
        <v>0</v>
      </c>
      <c r="AM324" s="277">
        <v>0</v>
      </c>
      <c r="AN324" s="277">
        <v>0</v>
      </c>
      <c r="AO324" s="277">
        <v>0</v>
      </c>
      <c r="AP324" s="277">
        <v>0</v>
      </c>
      <c r="AQ324" s="277">
        <v>0</v>
      </c>
      <c r="AR324" s="277">
        <v>21409409</v>
      </c>
      <c r="AS324" s="277">
        <v>17264089</v>
      </c>
      <c r="AT324" s="277">
        <v>4281882</v>
      </c>
      <c r="AU324" s="277">
        <v>0</v>
      </c>
      <c r="AV324" s="277">
        <v>42955380</v>
      </c>
      <c r="AW324" s="277">
        <v>183271</v>
      </c>
      <c r="AX324" s="277">
        <v>45455</v>
      </c>
      <c r="AY324" s="277">
        <v>0</v>
      </c>
      <c r="AZ324" s="277">
        <v>228726</v>
      </c>
      <c r="BA324" s="277">
        <v>196810</v>
      </c>
      <c r="BB324" s="277">
        <v>49202</v>
      </c>
      <c r="BC324" s="277">
        <v>0</v>
      </c>
      <c r="BD324" s="277">
        <v>246012</v>
      </c>
      <c r="BE324" s="277">
        <v>0</v>
      </c>
      <c r="BF324" s="277">
        <v>0</v>
      </c>
      <c r="BG324" s="277">
        <v>0</v>
      </c>
      <c r="BH324" s="277">
        <v>0</v>
      </c>
      <c r="BI324" s="277">
        <v>20212</v>
      </c>
      <c r="BJ324" s="277">
        <v>5053</v>
      </c>
      <c r="BK324" s="277">
        <v>0</v>
      </c>
      <c r="BL324" s="277">
        <v>25265</v>
      </c>
      <c r="BM324" s="277">
        <v>59105</v>
      </c>
      <c r="BN324" s="277">
        <v>14776</v>
      </c>
      <c r="BO324" s="277">
        <v>0</v>
      </c>
      <c r="BP324" s="277">
        <v>73881</v>
      </c>
      <c r="BQ324" s="277">
        <v>184550</v>
      </c>
      <c r="BR324" s="277">
        <v>46138</v>
      </c>
      <c r="BS324" s="277">
        <v>0</v>
      </c>
      <c r="BT324" s="277">
        <v>230688</v>
      </c>
      <c r="BU324" s="277">
        <v>643948</v>
      </c>
      <c r="BV324" s="277">
        <v>160624</v>
      </c>
      <c r="BW324" s="277">
        <v>0</v>
      </c>
      <c r="BX324" s="277">
        <v>804572</v>
      </c>
      <c r="BY324" s="278" t="s">
        <v>564</v>
      </c>
      <c r="BZ324" s="279" t="s">
        <v>1040</v>
      </c>
      <c r="CA324" s="280" t="s">
        <v>984</v>
      </c>
    </row>
    <row r="325" spans="1:79" ht="12.75">
      <c r="A325" s="169">
        <v>318</v>
      </c>
      <c r="B325" s="172" t="s">
        <v>566</v>
      </c>
      <c r="C325" s="258" t="s">
        <v>567</v>
      </c>
      <c r="D325" s="277">
        <v>53199571</v>
      </c>
      <c r="E325" s="277">
        <v>26997</v>
      </c>
      <c r="F325" s="277">
        <v>0</v>
      </c>
      <c r="G325" s="277">
        <v>180513</v>
      </c>
      <c r="H325" s="277">
        <v>0</v>
      </c>
      <c r="I325" s="277">
        <v>180513</v>
      </c>
      <c r="J325" s="277">
        <v>0</v>
      </c>
      <c r="K325" s="277">
        <v>0</v>
      </c>
      <c r="L325" s="277">
        <v>0</v>
      </c>
      <c r="M325" s="277">
        <v>0</v>
      </c>
      <c r="N325" s="277">
        <v>0</v>
      </c>
      <c r="O325" s="277">
        <v>0</v>
      </c>
      <c r="P325" s="277">
        <v>53046055</v>
      </c>
      <c r="Q325" s="277">
        <v>26523027</v>
      </c>
      <c r="R325" s="277">
        <v>25992567</v>
      </c>
      <c r="S325" s="277">
        <v>0</v>
      </c>
      <c r="T325" s="277">
        <v>530461</v>
      </c>
      <c r="U325" s="277">
        <v>53046055</v>
      </c>
      <c r="V325" s="277">
        <v>0</v>
      </c>
      <c r="W325" s="277">
        <v>26523027</v>
      </c>
      <c r="X325" s="277">
        <v>180513</v>
      </c>
      <c r="Y325" s="277">
        <v>180513</v>
      </c>
      <c r="Z325" s="277">
        <v>0</v>
      </c>
      <c r="AA325" s="277">
        <v>0</v>
      </c>
      <c r="AB325" s="277">
        <v>0</v>
      </c>
      <c r="AC325" s="277">
        <v>0</v>
      </c>
      <c r="AD325" s="277">
        <v>0</v>
      </c>
      <c r="AE325" s="277">
        <v>0</v>
      </c>
      <c r="AF325" s="277">
        <v>0</v>
      </c>
      <c r="AG325" s="277">
        <v>0</v>
      </c>
      <c r="AH325" s="277">
        <v>0</v>
      </c>
      <c r="AI325" s="277">
        <v>0</v>
      </c>
      <c r="AJ325" s="277">
        <v>0</v>
      </c>
      <c r="AK325" s="277">
        <v>0</v>
      </c>
      <c r="AL325" s="277">
        <v>0</v>
      </c>
      <c r="AM325" s="277">
        <v>1182536.93</v>
      </c>
      <c r="AN325" s="277">
        <v>1158886.19</v>
      </c>
      <c r="AO325" s="277">
        <v>0</v>
      </c>
      <c r="AP325" s="277">
        <v>23650.74</v>
      </c>
      <c r="AQ325" s="277">
        <v>2365073.86</v>
      </c>
      <c r="AR325" s="277">
        <v>27705564</v>
      </c>
      <c r="AS325" s="277">
        <v>27331966</v>
      </c>
      <c r="AT325" s="277">
        <v>0</v>
      </c>
      <c r="AU325" s="277">
        <v>554112</v>
      </c>
      <c r="AV325" s="277">
        <v>55591642</v>
      </c>
      <c r="AW325" s="277">
        <v>277846</v>
      </c>
      <c r="AX325" s="277">
        <v>0</v>
      </c>
      <c r="AY325" s="277">
        <v>5631</v>
      </c>
      <c r="AZ325" s="277">
        <v>283477</v>
      </c>
      <c r="BA325" s="277">
        <v>401561</v>
      </c>
      <c r="BB325" s="277">
        <v>0</v>
      </c>
      <c r="BC325" s="277">
        <v>8195</v>
      </c>
      <c r="BD325" s="277">
        <v>409756</v>
      </c>
      <c r="BE325" s="277">
        <v>6933</v>
      </c>
      <c r="BF325" s="277">
        <v>0</v>
      </c>
      <c r="BG325" s="277">
        <v>141</v>
      </c>
      <c r="BH325" s="277">
        <v>7074</v>
      </c>
      <c r="BI325" s="277">
        <v>0</v>
      </c>
      <c r="BJ325" s="277">
        <v>0</v>
      </c>
      <c r="BK325" s="277">
        <v>0</v>
      </c>
      <c r="BL325" s="277">
        <v>0</v>
      </c>
      <c r="BM325" s="277">
        <v>54320</v>
      </c>
      <c r="BN325" s="277">
        <v>0</v>
      </c>
      <c r="BO325" s="277">
        <v>1109</v>
      </c>
      <c r="BP325" s="277">
        <v>55429</v>
      </c>
      <c r="BQ325" s="277">
        <v>261887</v>
      </c>
      <c r="BR325" s="277">
        <v>0</v>
      </c>
      <c r="BS325" s="277">
        <v>5345</v>
      </c>
      <c r="BT325" s="277">
        <v>267232</v>
      </c>
      <c r="BU325" s="277">
        <v>1002547</v>
      </c>
      <c r="BV325" s="277">
        <v>0</v>
      </c>
      <c r="BW325" s="277">
        <v>20421</v>
      </c>
      <c r="BX325" s="277">
        <v>1022968</v>
      </c>
      <c r="BY325" s="278" t="s">
        <v>932</v>
      </c>
      <c r="BZ325" s="279" t="s">
        <v>1003</v>
      </c>
      <c r="CA325" s="280" t="s">
        <v>1013</v>
      </c>
    </row>
    <row r="326" spans="1:79" ht="12.75">
      <c r="A326" s="169">
        <v>319</v>
      </c>
      <c r="B326" s="172" t="s">
        <v>568</v>
      </c>
      <c r="C326" s="258" t="s">
        <v>569</v>
      </c>
      <c r="D326" s="277">
        <v>74358292.3</v>
      </c>
      <c r="E326" s="277">
        <v>303589</v>
      </c>
      <c r="F326" s="277">
        <v>0</v>
      </c>
      <c r="G326" s="277">
        <v>346243</v>
      </c>
      <c r="H326" s="277">
        <v>0</v>
      </c>
      <c r="I326" s="277">
        <v>346243</v>
      </c>
      <c r="J326" s="277">
        <v>0</v>
      </c>
      <c r="K326" s="277">
        <v>1632</v>
      </c>
      <c r="L326" s="277">
        <v>0</v>
      </c>
      <c r="M326" s="277">
        <v>0</v>
      </c>
      <c r="N326" s="277">
        <v>0</v>
      </c>
      <c r="O326" s="277">
        <v>0</v>
      </c>
      <c r="P326" s="277">
        <v>74314006.3</v>
      </c>
      <c r="Q326" s="277">
        <v>37157003.3</v>
      </c>
      <c r="R326" s="277">
        <v>36413863</v>
      </c>
      <c r="S326" s="277">
        <v>0</v>
      </c>
      <c r="T326" s="277">
        <v>743140</v>
      </c>
      <c r="U326" s="277">
        <v>74314006</v>
      </c>
      <c r="V326" s="277">
        <v>0</v>
      </c>
      <c r="W326" s="277">
        <v>37157003.3</v>
      </c>
      <c r="X326" s="277">
        <v>346243</v>
      </c>
      <c r="Y326" s="277">
        <v>346243</v>
      </c>
      <c r="Z326" s="277">
        <v>1632</v>
      </c>
      <c r="AA326" s="277">
        <v>1632</v>
      </c>
      <c r="AB326" s="277">
        <v>0</v>
      </c>
      <c r="AC326" s="277">
        <v>0</v>
      </c>
      <c r="AD326" s="277">
        <v>0</v>
      </c>
      <c r="AE326" s="277">
        <v>0</v>
      </c>
      <c r="AF326" s="277">
        <v>0</v>
      </c>
      <c r="AG326" s="277">
        <v>0</v>
      </c>
      <c r="AH326" s="277">
        <v>0</v>
      </c>
      <c r="AI326" s="277">
        <v>0</v>
      </c>
      <c r="AJ326" s="277">
        <v>0</v>
      </c>
      <c r="AK326" s="277">
        <v>0</v>
      </c>
      <c r="AL326" s="277">
        <v>0</v>
      </c>
      <c r="AM326" s="277">
        <v>-140662.5</v>
      </c>
      <c r="AN326" s="277">
        <v>-137849.25</v>
      </c>
      <c r="AO326" s="277">
        <v>0</v>
      </c>
      <c r="AP326" s="277">
        <v>-2813.25</v>
      </c>
      <c r="AQ326" s="277">
        <v>-281325</v>
      </c>
      <c r="AR326" s="277">
        <v>37016341</v>
      </c>
      <c r="AS326" s="277">
        <v>36623889</v>
      </c>
      <c r="AT326" s="277">
        <v>0</v>
      </c>
      <c r="AU326" s="277">
        <v>740327</v>
      </c>
      <c r="AV326" s="277">
        <v>74380556</v>
      </c>
      <c r="AW326" s="277">
        <v>390252</v>
      </c>
      <c r="AX326" s="277">
        <v>0</v>
      </c>
      <c r="AY326" s="277">
        <v>7889</v>
      </c>
      <c r="AZ326" s="277">
        <v>398141</v>
      </c>
      <c r="BA326" s="277">
        <v>1203442</v>
      </c>
      <c r="BB326" s="277">
        <v>0</v>
      </c>
      <c r="BC326" s="277">
        <v>24560</v>
      </c>
      <c r="BD326" s="277">
        <v>1228002</v>
      </c>
      <c r="BE326" s="277">
        <v>0</v>
      </c>
      <c r="BF326" s="277">
        <v>0</v>
      </c>
      <c r="BG326" s="277">
        <v>0</v>
      </c>
      <c r="BH326" s="277">
        <v>0</v>
      </c>
      <c r="BI326" s="277">
        <v>0</v>
      </c>
      <c r="BJ326" s="277">
        <v>0</v>
      </c>
      <c r="BK326" s="277">
        <v>0</v>
      </c>
      <c r="BL326" s="277">
        <v>0</v>
      </c>
      <c r="BM326" s="277">
        <v>4952</v>
      </c>
      <c r="BN326" s="277">
        <v>0</v>
      </c>
      <c r="BO326" s="277">
        <v>101</v>
      </c>
      <c r="BP326" s="277">
        <v>5053</v>
      </c>
      <c r="BQ326" s="277">
        <v>495202</v>
      </c>
      <c r="BR326" s="277">
        <v>0</v>
      </c>
      <c r="BS326" s="277">
        <v>10106</v>
      </c>
      <c r="BT326" s="277">
        <v>505308</v>
      </c>
      <c r="BU326" s="277">
        <v>2093848</v>
      </c>
      <c r="BV326" s="277">
        <v>0</v>
      </c>
      <c r="BW326" s="277">
        <v>42656</v>
      </c>
      <c r="BX326" s="277">
        <v>2136504</v>
      </c>
      <c r="BY326" s="278" t="s">
        <v>568</v>
      </c>
      <c r="BZ326" s="279" t="s">
        <v>996</v>
      </c>
      <c r="CA326" s="280" t="s">
        <v>1006</v>
      </c>
    </row>
    <row r="327" spans="1:79" ht="12.75">
      <c r="A327" s="169">
        <v>320</v>
      </c>
      <c r="B327" s="172" t="s">
        <v>570</v>
      </c>
      <c r="C327" s="258" t="s">
        <v>571</v>
      </c>
      <c r="D327" s="277">
        <v>40302543.5</v>
      </c>
      <c r="E327" s="277">
        <v>29041</v>
      </c>
      <c r="F327" s="277">
        <v>0</v>
      </c>
      <c r="G327" s="277">
        <v>139191</v>
      </c>
      <c r="H327" s="277">
        <v>0</v>
      </c>
      <c r="I327" s="277">
        <v>139191</v>
      </c>
      <c r="J327" s="277">
        <v>0</v>
      </c>
      <c r="K327" s="277">
        <v>0</v>
      </c>
      <c r="L327" s="277">
        <v>0</v>
      </c>
      <c r="M327" s="277">
        <v>0</v>
      </c>
      <c r="N327" s="277">
        <v>0</v>
      </c>
      <c r="O327" s="277">
        <v>0</v>
      </c>
      <c r="P327" s="277">
        <v>40192393.5</v>
      </c>
      <c r="Q327" s="277">
        <v>20096197.5</v>
      </c>
      <c r="R327" s="277">
        <v>16076957</v>
      </c>
      <c r="S327" s="277">
        <v>3617315</v>
      </c>
      <c r="T327" s="277">
        <v>401924</v>
      </c>
      <c r="U327" s="277">
        <v>40192393</v>
      </c>
      <c r="V327" s="277">
        <v>0</v>
      </c>
      <c r="W327" s="277">
        <v>20096197.5</v>
      </c>
      <c r="X327" s="277">
        <v>139191</v>
      </c>
      <c r="Y327" s="277">
        <v>139191</v>
      </c>
      <c r="Z327" s="277">
        <v>0</v>
      </c>
      <c r="AA327" s="277">
        <v>0</v>
      </c>
      <c r="AB327" s="277">
        <v>0</v>
      </c>
      <c r="AC327" s="277">
        <v>0</v>
      </c>
      <c r="AD327" s="277">
        <v>0</v>
      </c>
      <c r="AE327" s="277">
        <v>0</v>
      </c>
      <c r="AF327" s="277">
        <v>0</v>
      </c>
      <c r="AG327" s="277">
        <v>0</v>
      </c>
      <c r="AH327" s="277">
        <v>0</v>
      </c>
      <c r="AI327" s="277">
        <v>0</v>
      </c>
      <c r="AJ327" s="277">
        <v>0</v>
      </c>
      <c r="AK327" s="277">
        <v>0</v>
      </c>
      <c r="AL327" s="277">
        <v>0</v>
      </c>
      <c r="AM327" s="277">
        <v>0</v>
      </c>
      <c r="AN327" s="277">
        <v>0</v>
      </c>
      <c r="AO327" s="277">
        <v>0</v>
      </c>
      <c r="AP327" s="277">
        <v>0</v>
      </c>
      <c r="AQ327" s="277">
        <v>0</v>
      </c>
      <c r="AR327" s="277">
        <v>20096197</v>
      </c>
      <c r="AS327" s="277">
        <v>16216148</v>
      </c>
      <c r="AT327" s="277">
        <v>3617315</v>
      </c>
      <c r="AU327" s="277">
        <v>401924</v>
      </c>
      <c r="AV327" s="277">
        <v>40331584</v>
      </c>
      <c r="AW327" s="277">
        <v>172146</v>
      </c>
      <c r="AX327" s="277">
        <v>38400</v>
      </c>
      <c r="AY327" s="277">
        <v>4267</v>
      </c>
      <c r="AZ327" s="277">
        <v>214813</v>
      </c>
      <c r="BA327" s="277">
        <v>342097</v>
      </c>
      <c r="BB327" s="277">
        <v>76972</v>
      </c>
      <c r="BC327" s="277">
        <v>8552</v>
      </c>
      <c r="BD327" s="277">
        <v>427621</v>
      </c>
      <c r="BE327" s="277">
        <v>0</v>
      </c>
      <c r="BF327" s="277">
        <v>0</v>
      </c>
      <c r="BG327" s="277">
        <v>0</v>
      </c>
      <c r="BH327" s="277">
        <v>0</v>
      </c>
      <c r="BI327" s="277">
        <v>0</v>
      </c>
      <c r="BJ327" s="277">
        <v>0</v>
      </c>
      <c r="BK327" s="277">
        <v>0</v>
      </c>
      <c r="BL327" s="277">
        <v>0</v>
      </c>
      <c r="BM327" s="277">
        <v>28099</v>
      </c>
      <c r="BN327" s="277">
        <v>6323</v>
      </c>
      <c r="BO327" s="277">
        <v>703</v>
      </c>
      <c r="BP327" s="277">
        <v>35125</v>
      </c>
      <c r="BQ327" s="277">
        <v>213185</v>
      </c>
      <c r="BR327" s="277">
        <v>47967</v>
      </c>
      <c r="BS327" s="277">
        <v>5330</v>
      </c>
      <c r="BT327" s="277">
        <v>266482</v>
      </c>
      <c r="BU327" s="277">
        <v>755527</v>
      </c>
      <c r="BV327" s="277">
        <v>169662</v>
      </c>
      <c r="BW327" s="277">
        <v>18852</v>
      </c>
      <c r="BX327" s="277">
        <v>944041</v>
      </c>
      <c r="BY327" s="278" t="s">
        <v>570</v>
      </c>
      <c r="BZ327" s="279" t="s">
        <v>1019</v>
      </c>
      <c r="CA327" s="280" t="s">
        <v>1020</v>
      </c>
    </row>
    <row r="328" spans="1:79" ht="12.75">
      <c r="A328" s="169">
        <v>321</v>
      </c>
      <c r="B328" s="172" t="s">
        <v>572</v>
      </c>
      <c r="C328" s="258" t="s">
        <v>573</v>
      </c>
      <c r="D328" s="277">
        <v>29883312</v>
      </c>
      <c r="E328" s="277">
        <v>0</v>
      </c>
      <c r="F328" s="277">
        <v>6061</v>
      </c>
      <c r="G328" s="277">
        <v>132502</v>
      </c>
      <c r="H328" s="277">
        <v>0</v>
      </c>
      <c r="I328" s="277">
        <v>132502</v>
      </c>
      <c r="J328" s="277">
        <v>0</v>
      </c>
      <c r="K328" s="277">
        <v>0</v>
      </c>
      <c r="L328" s="277">
        <v>0</v>
      </c>
      <c r="M328" s="277">
        <v>0</v>
      </c>
      <c r="N328" s="277">
        <v>0</v>
      </c>
      <c r="O328" s="277">
        <v>0</v>
      </c>
      <c r="P328" s="277">
        <v>29744749</v>
      </c>
      <c r="Q328" s="277">
        <v>14872374</v>
      </c>
      <c r="R328" s="277">
        <v>11897900</v>
      </c>
      <c r="S328" s="277">
        <v>2974475</v>
      </c>
      <c r="T328" s="277">
        <v>0</v>
      </c>
      <c r="U328" s="277">
        <v>29744749</v>
      </c>
      <c r="V328" s="277">
        <v>0</v>
      </c>
      <c r="W328" s="277">
        <v>14872374</v>
      </c>
      <c r="X328" s="277">
        <v>132502</v>
      </c>
      <c r="Y328" s="277">
        <v>132502</v>
      </c>
      <c r="Z328" s="277">
        <v>0</v>
      </c>
      <c r="AA328" s="277">
        <v>0</v>
      </c>
      <c r="AB328" s="277">
        <v>0</v>
      </c>
      <c r="AC328" s="277">
        <v>0</v>
      </c>
      <c r="AD328" s="277">
        <v>0</v>
      </c>
      <c r="AE328" s="277">
        <v>0</v>
      </c>
      <c r="AF328" s="277">
        <v>0</v>
      </c>
      <c r="AG328" s="277">
        <v>0</v>
      </c>
      <c r="AH328" s="277">
        <v>0</v>
      </c>
      <c r="AI328" s="277">
        <v>0</v>
      </c>
      <c r="AJ328" s="277">
        <v>0</v>
      </c>
      <c r="AK328" s="277">
        <v>0</v>
      </c>
      <c r="AL328" s="277">
        <v>0</v>
      </c>
      <c r="AM328" s="277">
        <v>68415</v>
      </c>
      <c r="AN328" s="277">
        <v>54732</v>
      </c>
      <c r="AO328" s="277">
        <v>13683</v>
      </c>
      <c r="AP328" s="277">
        <v>0</v>
      </c>
      <c r="AQ328" s="277">
        <v>136830</v>
      </c>
      <c r="AR328" s="277">
        <v>14940789</v>
      </c>
      <c r="AS328" s="277">
        <v>12085134</v>
      </c>
      <c r="AT328" s="277">
        <v>2988158</v>
      </c>
      <c r="AU328" s="277">
        <v>0</v>
      </c>
      <c r="AV328" s="277">
        <v>30014081</v>
      </c>
      <c r="AW328" s="277">
        <v>127711</v>
      </c>
      <c r="AX328" s="277">
        <v>31576</v>
      </c>
      <c r="AY328" s="277">
        <v>0</v>
      </c>
      <c r="AZ328" s="277">
        <v>159287</v>
      </c>
      <c r="BA328" s="277">
        <v>396879</v>
      </c>
      <c r="BB328" s="277">
        <v>99220</v>
      </c>
      <c r="BC328" s="277">
        <v>0</v>
      </c>
      <c r="BD328" s="277">
        <v>496099</v>
      </c>
      <c r="BE328" s="277">
        <v>0</v>
      </c>
      <c r="BF328" s="277">
        <v>0</v>
      </c>
      <c r="BG328" s="277">
        <v>0</v>
      </c>
      <c r="BH328" s="277">
        <v>0</v>
      </c>
      <c r="BI328" s="277">
        <v>9742</v>
      </c>
      <c r="BJ328" s="277">
        <v>2436</v>
      </c>
      <c r="BK328" s="277">
        <v>0</v>
      </c>
      <c r="BL328" s="277">
        <v>12178</v>
      </c>
      <c r="BM328" s="277">
        <v>0</v>
      </c>
      <c r="BN328" s="277">
        <v>0</v>
      </c>
      <c r="BO328" s="277">
        <v>0</v>
      </c>
      <c r="BP328" s="277">
        <v>0</v>
      </c>
      <c r="BQ328" s="277">
        <v>479032</v>
      </c>
      <c r="BR328" s="277">
        <v>119758</v>
      </c>
      <c r="BS328" s="277">
        <v>0</v>
      </c>
      <c r="BT328" s="277">
        <v>598790</v>
      </c>
      <c r="BU328" s="277">
        <v>1013364</v>
      </c>
      <c r="BV328" s="277">
        <v>252990</v>
      </c>
      <c r="BW328" s="277">
        <v>0</v>
      </c>
      <c r="BX328" s="277">
        <v>1266354</v>
      </c>
      <c r="BY328" s="278" t="s">
        <v>572</v>
      </c>
      <c r="BZ328" s="279" t="s">
        <v>982</v>
      </c>
      <c r="CA328" s="280" t="s">
        <v>984</v>
      </c>
    </row>
    <row r="329" spans="1:79" ht="12.75">
      <c r="A329" s="169">
        <v>322</v>
      </c>
      <c r="B329" s="172" t="s">
        <v>574</v>
      </c>
      <c r="C329" s="258" t="s">
        <v>575</v>
      </c>
      <c r="D329" s="277">
        <v>38992284.4</v>
      </c>
      <c r="E329" s="277">
        <v>31316</v>
      </c>
      <c r="F329" s="277">
        <v>0</v>
      </c>
      <c r="G329" s="277">
        <v>188752</v>
      </c>
      <c r="H329" s="277">
        <v>0</v>
      </c>
      <c r="I329" s="277">
        <v>188752</v>
      </c>
      <c r="J329" s="277">
        <v>0</v>
      </c>
      <c r="K329" s="277">
        <v>0</v>
      </c>
      <c r="L329" s="277">
        <v>0</v>
      </c>
      <c r="M329" s="277">
        <v>0</v>
      </c>
      <c r="N329" s="277">
        <v>0</v>
      </c>
      <c r="O329" s="277">
        <v>0</v>
      </c>
      <c r="P329" s="277">
        <v>38834848.4</v>
      </c>
      <c r="Q329" s="277">
        <v>19417425.4</v>
      </c>
      <c r="R329" s="277">
        <v>15533939</v>
      </c>
      <c r="S329" s="277">
        <v>3495136</v>
      </c>
      <c r="T329" s="277">
        <v>388348</v>
      </c>
      <c r="U329" s="277">
        <v>38834848</v>
      </c>
      <c r="V329" s="277">
        <v>0</v>
      </c>
      <c r="W329" s="277">
        <v>19417425.4</v>
      </c>
      <c r="X329" s="277">
        <v>188752</v>
      </c>
      <c r="Y329" s="277">
        <v>188752</v>
      </c>
      <c r="Z329" s="277">
        <v>0</v>
      </c>
      <c r="AA329" s="277">
        <v>0</v>
      </c>
      <c r="AB329" s="277">
        <v>0</v>
      </c>
      <c r="AC329" s="277">
        <v>0</v>
      </c>
      <c r="AD329" s="277">
        <v>0</v>
      </c>
      <c r="AE329" s="277">
        <v>0</v>
      </c>
      <c r="AF329" s="277">
        <v>0</v>
      </c>
      <c r="AG329" s="277">
        <v>0</v>
      </c>
      <c r="AH329" s="277">
        <v>0</v>
      </c>
      <c r="AI329" s="277">
        <v>0</v>
      </c>
      <c r="AJ329" s="277">
        <v>0</v>
      </c>
      <c r="AK329" s="277">
        <v>0</v>
      </c>
      <c r="AL329" s="277">
        <v>0</v>
      </c>
      <c r="AM329" s="277">
        <v>0</v>
      </c>
      <c r="AN329" s="277">
        <v>0</v>
      </c>
      <c r="AO329" s="277">
        <v>0</v>
      </c>
      <c r="AP329" s="277">
        <v>0</v>
      </c>
      <c r="AQ329" s="277">
        <v>0</v>
      </c>
      <c r="AR329" s="277">
        <v>19417425</v>
      </c>
      <c r="AS329" s="277">
        <v>15722691</v>
      </c>
      <c r="AT329" s="277">
        <v>3495136</v>
      </c>
      <c r="AU329" s="277">
        <v>388348</v>
      </c>
      <c r="AV329" s="277">
        <v>39023600</v>
      </c>
      <c r="AW329" s="277">
        <v>166908</v>
      </c>
      <c r="AX329" s="277">
        <v>37103</v>
      </c>
      <c r="AY329" s="277">
        <v>4123</v>
      </c>
      <c r="AZ329" s="277">
        <v>208134</v>
      </c>
      <c r="BA329" s="277">
        <v>577776</v>
      </c>
      <c r="BB329" s="277">
        <v>129999</v>
      </c>
      <c r="BC329" s="277">
        <v>14444</v>
      </c>
      <c r="BD329" s="277">
        <v>722219</v>
      </c>
      <c r="BE329" s="277">
        <v>0</v>
      </c>
      <c r="BF329" s="277">
        <v>0</v>
      </c>
      <c r="BG329" s="277">
        <v>0</v>
      </c>
      <c r="BH329" s="277">
        <v>0</v>
      </c>
      <c r="BI329" s="277">
        <v>0</v>
      </c>
      <c r="BJ329" s="277">
        <v>0</v>
      </c>
      <c r="BK329" s="277">
        <v>0</v>
      </c>
      <c r="BL329" s="277">
        <v>0</v>
      </c>
      <c r="BM329" s="277">
        <v>19888</v>
      </c>
      <c r="BN329" s="277">
        <v>4475</v>
      </c>
      <c r="BO329" s="277">
        <v>497</v>
      </c>
      <c r="BP329" s="277">
        <v>24860</v>
      </c>
      <c r="BQ329" s="277">
        <v>218593</v>
      </c>
      <c r="BR329" s="277">
        <v>49183</v>
      </c>
      <c r="BS329" s="277">
        <v>5465</v>
      </c>
      <c r="BT329" s="277">
        <v>273241</v>
      </c>
      <c r="BU329" s="277">
        <v>983165</v>
      </c>
      <c r="BV329" s="277">
        <v>220760</v>
      </c>
      <c r="BW329" s="277">
        <v>24529</v>
      </c>
      <c r="BX329" s="277">
        <v>1228454</v>
      </c>
      <c r="BY329" s="278" t="s">
        <v>574</v>
      </c>
      <c r="BZ329" s="279" t="s">
        <v>1019</v>
      </c>
      <c r="CA329" s="280" t="s">
        <v>1020</v>
      </c>
    </row>
    <row r="330" spans="1:79" ht="12.75">
      <c r="A330" s="169">
        <v>323</v>
      </c>
      <c r="B330" s="172" t="s">
        <v>576</v>
      </c>
      <c r="C330" s="258" t="s">
        <v>577</v>
      </c>
      <c r="D330" s="277">
        <v>66975516.7</v>
      </c>
      <c r="E330" s="277">
        <v>0</v>
      </c>
      <c r="F330" s="277">
        <v>36389.83</v>
      </c>
      <c r="G330" s="277">
        <v>247286</v>
      </c>
      <c r="H330" s="277">
        <v>5000</v>
      </c>
      <c r="I330" s="277">
        <v>252286</v>
      </c>
      <c r="J330" s="277">
        <v>0</v>
      </c>
      <c r="K330" s="277">
        <v>0</v>
      </c>
      <c r="L330" s="277">
        <v>0</v>
      </c>
      <c r="M330" s="277">
        <v>0</v>
      </c>
      <c r="N330" s="277">
        <v>0</v>
      </c>
      <c r="O330" s="277">
        <v>0</v>
      </c>
      <c r="P330" s="277">
        <v>66686840.9</v>
      </c>
      <c r="Q330" s="277">
        <v>33343420.9</v>
      </c>
      <c r="R330" s="277">
        <v>26674736</v>
      </c>
      <c r="S330" s="277">
        <v>6001816</v>
      </c>
      <c r="T330" s="277">
        <v>666868</v>
      </c>
      <c r="U330" s="277">
        <v>66686841</v>
      </c>
      <c r="V330" s="277">
        <v>0</v>
      </c>
      <c r="W330" s="277">
        <v>33343420.9</v>
      </c>
      <c r="X330" s="277">
        <v>252286</v>
      </c>
      <c r="Y330" s="277">
        <v>252286</v>
      </c>
      <c r="Z330" s="277">
        <v>0</v>
      </c>
      <c r="AA330" s="277">
        <v>0</v>
      </c>
      <c r="AB330" s="277">
        <v>0</v>
      </c>
      <c r="AC330" s="277">
        <v>0</v>
      </c>
      <c r="AD330" s="277">
        <v>0</v>
      </c>
      <c r="AE330" s="277">
        <v>0</v>
      </c>
      <c r="AF330" s="277">
        <v>0</v>
      </c>
      <c r="AG330" s="277">
        <v>0</v>
      </c>
      <c r="AH330" s="277">
        <v>0</v>
      </c>
      <c r="AI330" s="277">
        <v>0</v>
      </c>
      <c r="AJ330" s="277">
        <v>0</v>
      </c>
      <c r="AK330" s="277">
        <v>0</v>
      </c>
      <c r="AL330" s="277">
        <v>0</v>
      </c>
      <c r="AM330" s="277">
        <v>-4416854</v>
      </c>
      <c r="AN330" s="277">
        <v>-3533483.2</v>
      </c>
      <c r="AO330" s="277">
        <v>-795033.72</v>
      </c>
      <c r="AP330" s="277">
        <v>-88337.08</v>
      </c>
      <c r="AQ330" s="277">
        <v>-8833708</v>
      </c>
      <c r="AR330" s="277">
        <v>28926567</v>
      </c>
      <c r="AS330" s="277">
        <v>23393539</v>
      </c>
      <c r="AT330" s="277">
        <v>5206782</v>
      </c>
      <c r="AU330" s="277">
        <v>578531</v>
      </c>
      <c r="AV330" s="277">
        <v>58105419</v>
      </c>
      <c r="AW330" s="277">
        <v>285849</v>
      </c>
      <c r="AX330" s="277">
        <v>63714</v>
      </c>
      <c r="AY330" s="277">
        <v>7079</v>
      </c>
      <c r="AZ330" s="277">
        <v>356642</v>
      </c>
      <c r="BA330" s="277">
        <v>405535</v>
      </c>
      <c r="BB330" s="277">
        <v>91245</v>
      </c>
      <c r="BC330" s="277">
        <v>10138</v>
      </c>
      <c r="BD330" s="277">
        <v>506918</v>
      </c>
      <c r="BE330" s="277">
        <v>42688</v>
      </c>
      <c r="BF330" s="277">
        <v>9605</v>
      </c>
      <c r="BG330" s="277">
        <v>1067</v>
      </c>
      <c r="BH330" s="277">
        <v>53360</v>
      </c>
      <c r="BI330" s="277">
        <v>20212</v>
      </c>
      <c r="BJ330" s="277">
        <v>4548</v>
      </c>
      <c r="BK330" s="277">
        <v>505</v>
      </c>
      <c r="BL330" s="277">
        <v>25265</v>
      </c>
      <c r="BM330" s="277">
        <v>310455</v>
      </c>
      <c r="BN330" s="277">
        <v>69852</v>
      </c>
      <c r="BO330" s="277">
        <v>7761</v>
      </c>
      <c r="BP330" s="277">
        <v>388068</v>
      </c>
      <c r="BQ330" s="277">
        <v>161011</v>
      </c>
      <c r="BR330" s="277">
        <v>36228</v>
      </c>
      <c r="BS330" s="277">
        <v>4025</v>
      </c>
      <c r="BT330" s="277">
        <v>201264</v>
      </c>
      <c r="BU330" s="277">
        <v>1225750</v>
      </c>
      <c r="BV330" s="277">
        <v>275192</v>
      </c>
      <c r="BW330" s="277">
        <v>30575</v>
      </c>
      <c r="BX330" s="277">
        <v>1531517</v>
      </c>
      <c r="BY330" s="278" t="s">
        <v>576</v>
      </c>
      <c r="BZ330" s="279" t="s">
        <v>992</v>
      </c>
      <c r="CA330" s="280" t="s">
        <v>993</v>
      </c>
    </row>
    <row r="331" spans="1:79" ht="12.75">
      <c r="A331" s="169">
        <v>324</v>
      </c>
      <c r="B331" s="172" t="s">
        <v>578</v>
      </c>
      <c r="C331" s="258" t="s">
        <v>579</v>
      </c>
      <c r="D331" s="277">
        <v>25536625.2</v>
      </c>
      <c r="E331" s="277">
        <v>90941</v>
      </c>
      <c r="F331" s="277">
        <v>0</v>
      </c>
      <c r="G331" s="277">
        <v>154288</v>
      </c>
      <c r="H331" s="277">
        <v>0</v>
      </c>
      <c r="I331" s="277">
        <v>154288</v>
      </c>
      <c r="J331" s="277">
        <v>0</v>
      </c>
      <c r="K331" s="277">
        <v>0</v>
      </c>
      <c r="L331" s="277">
        <v>0</v>
      </c>
      <c r="M331" s="277">
        <v>0</v>
      </c>
      <c r="N331" s="277">
        <v>0</v>
      </c>
      <c r="O331" s="277">
        <v>0</v>
      </c>
      <c r="P331" s="277">
        <v>25473278.2</v>
      </c>
      <c r="Q331" s="277">
        <v>12736639.2</v>
      </c>
      <c r="R331" s="277">
        <v>10189311</v>
      </c>
      <c r="S331" s="277">
        <v>2292595</v>
      </c>
      <c r="T331" s="277">
        <v>254733</v>
      </c>
      <c r="U331" s="277">
        <v>25473278</v>
      </c>
      <c r="V331" s="277">
        <v>0</v>
      </c>
      <c r="W331" s="277">
        <v>12736639.2</v>
      </c>
      <c r="X331" s="277">
        <v>154288</v>
      </c>
      <c r="Y331" s="277">
        <v>154288</v>
      </c>
      <c r="Z331" s="277">
        <v>0</v>
      </c>
      <c r="AA331" s="277">
        <v>0</v>
      </c>
      <c r="AB331" s="277">
        <v>0</v>
      </c>
      <c r="AC331" s="277">
        <v>0</v>
      </c>
      <c r="AD331" s="277">
        <v>0</v>
      </c>
      <c r="AE331" s="277">
        <v>0</v>
      </c>
      <c r="AF331" s="277">
        <v>0</v>
      </c>
      <c r="AG331" s="277">
        <v>0</v>
      </c>
      <c r="AH331" s="277">
        <v>0</v>
      </c>
      <c r="AI331" s="277">
        <v>0</v>
      </c>
      <c r="AJ331" s="277">
        <v>0</v>
      </c>
      <c r="AK331" s="277">
        <v>0</v>
      </c>
      <c r="AL331" s="277">
        <v>0</v>
      </c>
      <c r="AM331" s="277">
        <v>11600.17</v>
      </c>
      <c r="AN331" s="277">
        <v>9280.13</v>
      </c>
      <c r="AO331" s="277">
        <v>2088.03</v>
      </c>
      <c r="AP331" s="277">
        <v>232</v>
      </c>
      <c r="AQ331" s="277">
        <v>23200.33</v>
      </c>
      <c r="AR331" s="277">
        <v>12748239</v>
      </c>
      <c r="AS331" s="277">
        <v>10352879</v>
      </c>
      <c r="AT331" s="277">
        <v>2294683</v>
      </c>
      <c r="AU331" s="277">
        <v>254965</v>
      </c>
      <c r="AV331" s="277">
        <v>25650766</v>
      </c>
      <c r="AW331" s="277">
        <v>109805</v>
      </c>
      <c r="AX331" s="277">
        <v>24338</v>
      </c>
      <c r="AY331" s="277">
        <v>2704</v>
      </c>
      <c r="AZ331" s="277">
        <v>136847</v>
      </c>
      <c r="BA331" s="277">
        <v>558261</v>
      </c>
      <c r="BB331" s="277">
        <v>125609</v>
      </c>
      <c r="BC331" s="277">
        <v>13957</v>
      </c>
      <c r="BD331" s="277">
        <v>697827</v>
      </c>
      <c r="BE331" s="277">
        <v>0</v>
      </c>
      <c r="BF331" s="277">
        <v>0</v>
      </c>
      <c r="BG331" s="277">
        <v>0</v>
      </c>
      <c r="BH331" s="277">
        <v>0</v>
      </c>
      <c r="BI331" s="277">
        <v>0</v>
      </c>
      <c r="BJ331" s="277">
        <v>0</v>
      </c>
      <c r="BK331" s="277">
        <v>0</v>
      </c>
      <c r="BL331" s="277">
        <v>0</v>
      </c>
      <c r="BM331" s="277">
        <v>0</v>
      </c>
      <c r="BN331" s="277">
        <v>0</v>
      </c>
      <c r="BO331" s="277">
        <v>0</v>
      </c>
      <c r="BP331" s="277">
        <v>0</v>
      </c>
      <c r="BQ331" s="277">
        <v>296888</v>
      </c>
      <c r="BR331" s="277">
        <v>66800</v>
      </c>
      <c r="BS331" s="277">
        <v>7422</v>
      </c>
      <c r="BT331" s="277">
        <v>371110</v>
      </c>
      <c r="BU331" s="277">
        <v>964954</v>
      </c>
      <c r="BV331" s="277">
        <v>216747</v>
      </c>
      <c r="BW331" s="277">
        <v>24083</v>
      </c>
      <c r="BX331" s="277">
        <v>1205784</v>
      </c>
      <c r="BY331" s="278" t="s">
        <v>578</v>
      </c>
      <c r="BZ331" s="279" t="s">
        <v>1022</v>
      </c>
      <c r="CA331" s="280" t="s">
        <v>1009</v>
      </c>
    </row>
    <row r="332" spans="1:79" ht="12.75">
      <c r="A332" s="169">
        <v>325</v>
      </c>
      <c r="B332" s="172" t="s">
        <v>580</v>
      </c>
      <c r="C332" s="258" t="s">
        <v>581</v>
      </c>
      <c r="D332" s="277">
        <v>28909369.4</v>
      </c>
      <c r="E332" s="277">
        <v>18377.93</v>
      </c>
      <c r="F332" s="277">
        <v>0</v>
      </c>
      <c r="G332" s="277">
        <v>137170</v>
      </c>
      <c r="H332" s="277">
        <v>0</v>
      </c>
      <c r="I332" s="277">
        <v>137170</v>
      </c>
      <c r="J332" s="277">
        <v>0</v>
      </c>
      <c r="K332" s="277">
        <v>0</v>
      </c>
      <c r="L332" s="277">
        <v>0</v>
      </c>
      <c r="M332" s="277">
        <v>0</v>
      </c>
      <c r="N332" s="277">
        <v>0</v>
      </c>
      <c r="O332" s="277">
        <v>0</v>
      </c>
      <c r="P332" s="277">
        <v>28790577.4</v>
      </c>
      <c r="Q332" s="277">
        <v>14395288.4</v>
      </c>
      <c r="R332" s="277">
        <v>11516231</v>
      </c>
      <c r="S332" s="277">
        <v>2591152</v>
      </c>
      <c r="T332" s="277">
        <v>287906</v>
      </c>
      <c r="U332" s="277">
        <v>28790577</v>
      </c>
      <c r="V332" s="277">
        <v>0</v>
      </c>
      <c r="W332" s="277">
        <v>14395288.4</v>
      </c>
      <c r="X332" s="277">
        <v>137170</v>
      </c>
      <c r="Y332" s="277">
        <v>137170</v>
      </c>
      <c r="Z332" s="277">
        <v>0</v>
      </c>
      <c r="AA332" s="277">
        <v>0</v>
      </c>
      <c r="AB332" s="277">
        <v>0</v>
      </c>
      <c r="AC332" s="277">
        <v>0</v>
      </c>
      <c r="AD332" s="277">
        <v>0</v>
      </c>
      <c r="AE332" s="277">
        <v>0</v>
      </c>
      <c r="AF332" s="277">
        <v>0</v>
      </c>
      <c r="AG332" s="277">
        <v>0</v>
      </c>
      <c r="AH332" s="277">
        <v>0</v>
      </c>
      <c r="AI332" s="277">
        <v>0</v>
      </c>
      <c r="AJ332" s="277">
        <v>0</v>
      </c>
      <c r="AK332" s="277">
        <v>0</v>
      </c>
      <c r="AL332" s="277">
        <v>0</v>
      </c>
      <c r="AM332" s="277">
        <v>0</v>
      </c>
      <c r="AN332" s="277">
        <v>0</v>
      </c>
      <c r="AO332" s="277">
        <v>0</v>
      </c>
      <c r="AP332" s="277">
        <v>0</v>
      </c>
      <c r="AQ332" s="277">
        <v>0</v>
      </c>
      <c r="AR332" s="277">
        <v>14395288</v>
      </c>
      <c r="AS332" s="277">
        <v>11653401</v>
      </c>
      <c r="AT332" s="277">
        <v>2591152</v>
      </c>
      <c r="AU332" s="277">
        <v>287906</v>
      </c>
      <c r="AV332" s="277">
        <v>28927747</v>
      </c>
      <c r="AW332" s="277">
        <v>123709</v>
      </c>
      <c r="AX332" s="277">
        <v>27507</v>
      </c>
      <c r="AY332" s="277">
        <v>3056</v>
      </c>
      <c r="AZ332" s="277">
        <v>154272</v>
      </c>
      <c r="BA332" s="277">
        <v>407381</v>
      </c>
      <c r="BB332" s="277">
        <v>91661</v>
      </c>
      <c r="BC332" s="277">
        <v>10185</v>
      </c>
      <c r="BD332" s="277">
        <v>509227</v>
      </c>
      <c r="BE332" s="277">
        <v>0</v>
      </c>
      <c r="BF332" s="277">
        <v>0</v>
      </c>
      <c r="BG332" s="277">
        <v>0</v>
      </c>
      <c r="BH332" s="277">
        <v>0</v>
      </c>
      <c r="BI332" s="277">
        <v>0</v>
      </c>
      <c r="BJ332" s="277">
        <v>0</v>
      </c>
      <c r="BK332" s="277">
        <v>0</v>
      </c>
      <c r="BL332" s="277">
        <v>0</v>
      </c>
      <c r="BM332" s="277">
        <v>31421</v>
      </c>
      <c r="BN332" s="277">
        <v>7070</v>
      </c>
      <c r="BO332" s="277">
        <v>786</v>
      </c>
      <c r="BP332" s="277">
        <v>39277</v>
      </c>
      <c r="BQ332" s="277">
        <v>127338</v>
      </c>
      <c r="BR332" s="277">
        <v>28651</v>
      </c>
      <c r="BS332" s="277">
        <v>3183</v>
      </c>
      <c r="BT332" s="277">
        <v>159172</v>
      </c>
      <c r="BU332" s="277">
        <v>689849</v>
      </c>
      <c r="BV332" s="277">
        <v>154889</v>
      </c>
      <c r="BW332" s="277">
        <v>17210</v>
      </c>
      <c r="BX332" s="277">
        <v>861948</v>
      </c>
      <c r="BY332" s="278" t="s">
        <v>580</v>
      </c>
      <c r="BZ332" s="279" t="s">
        <v>1019</v>
      </c>
      <c r="CA332" s="280" t="s">
        <v>1020</v>
      </c>
    </row>
    <row r="333" spans="1:79" ht="13.5" thickBot="1">
      <c r="A333" s="170">
        <v>326</v>
      </c>
      <c r="B333" s="174" t="s">
        <v>582</v>
      </c>
      <c r="C333" s="260" t="s">
        <v>583</v>
      </c>
      <c r="D333" s="277">
        <v>93988168</v>
      </c>
      <c r="E333" s="277">
        <v>101000</v>
      </c>
      <c r="F333" s="277">
        <v>0</v>
      </c>
      <c r="G333" s="277">
        <v>294970</v>
      </c>
      <c r="H333" s="277">
        <v>0</v>
      </c>
      <c r="I333" s="277">
        <v>294970</v>
      </c>
      <c r="J333" s="277">
        <v>0</v>
      </c>
      <c r="K333" s="277">
        <v>0</v>
      </c>
      <c r="L333" s="277">
        <v>0</v>
      </c>
      <c r="M333" s="277">
        <v>0</v>
      </c>
      <c r="N333" s="277">
        <v>0</v>
      </c>
      <c r="O333" s="277">
        <v>0</v>
      </c>
      <c r="P333" s="277">
        <v>93794198</v>
      </c>
      <c r="Q333" s="277">
        <v>46897099</v>
      </c>
      <c r="R333" s="277">
        <v>45959157</v>
      </c>
      <c r="S333" s="277">
        <v>0</v>
      </c>
      <c r="T333" s="277">
        <v>937942</v>
      </c>
      <c r="U333" s="277">
        <v>93794198</v>
      </c>
      <c r="V333" s="277">
        <v>0</v>
      </c>
      <c r="W333" s="277">
        <v>46897099</v>
      </c>
      <c r="X333" s="277">
        <v>294970</v>
      </c>
      <c r="Y333" s="277">
        <v>294970</v>
      </c>
      <c r="Z333" s="277">
        <v>0</v>
      </c>
      <c r="AA333" s="277">
        <v>0</v>
      </c>
      <c r="AB333" s="277">
        <v>0</v>
      </c>
      <c r="AC333" s="277">
        <v>0</v>
      </c>
      <c r="AD333" s="277">
        <v>0</v>
      </c>
      <c r="AE333" s="277">
        <v>0</v>
      </c>
      <c r="AF333" s="277">
        <v>0</v>
      </c>
      <c r="AG333" s="277">
        <v>0</v>
      </c>
      <c r="AH333" s="277">
        <v>0</v>
      </c>
      <c r="AI333" s="277">
        <v>0</v>
      </c>
      <c r="AJ333" s="277">
        <v>0</v>
      </c>
      <c r="AK333" s="277">
        <v>0</v>
      </c>
      <c r="AL333" s="277">
        <v>0</v>
      </c>
      <c r="AM333" s="277">
        <v>13880</v>
      </c>
      <c r="AN333" s="277">
        <v>13602.4</v>
      </c>
      <c r="AO333" s="277">
        <v>0</v>
      </c>
      <c r="AP333" s="277">
        <v>277.6</v>
      </c>
      <c r="AQ333" s="277">
        <v>27760</v>
      </c>
      <c r="AR333" s="277">
        <v>46910979</v>
      </c>
      <c r="AS333" s="277">
        <v>46267729</v>
      </c>
      <c r="AT333" s="277">
        <v>0</v>
      </c>
      <c r="AU333" s="277">
        <v>938220</v>
      </c>
      <c r="AV333" s="277">
        <v>94116928</v>
      </c>
      <c r="AW333" s="277">
        <v>491020</v>
      </c>
      <c r="AX333" s="277">
        <v>0</v>
      </c>
      <c r="AY333" s="277">
        <v>9957</v>
      </c>
      <c r="AZ333" s="277">
        <v>500977</v>
      </c>
      <c r="BA333" s="277">
        <v>742803</v>
      </c>
      <c r="BB333" s="277">
        <v>0</v>
      </c>
      <c r="BC333" s="277">
        <v>15159</v>
      </c>
      <c r="BD333" s="277">
        <v>757962</v>
      </c>
      <c r="BE333" s="277">
        <v>49520</v>
      </c>
      <c r="BF333" s="277">
        <v>0</v>
      </c>
      <c r="BG333" s="277">
        <v>1011</v>
      </c>
      <c r="BH333" s="277">
        <v>50531</v>
      </c>
      <c r="BI333" s="277">
        <v>123800</v>
      </c>
      <c r="BJ333" s="277">
        <v>0</v>
      </c>
      <c r="BK333" s="277">
        <v>2527</v>
      </c>
      <c r="BL333" s="277">
        <v>126327</v>
      </c>
      <c r="BM333" s="277">
        <v>148560</v>
      </c>
      <c r="BN333" s="277">
        <v>0</v>
      </c>
      <c r="BO333" s="277">
        <v>3032</v>
      </c>
      <c r="BP333" s="277">
        <v>151592</v>
      </c>
      <c r="BQ333" s="277">
        <v>623954</v>
      </c>
      <c r="BR333" s="277">
        <v>0</v>
      </c>
      <c r="BS333" s="277">
        <v>12734</v>
      </c>
      <c r="BT333" s="277">
        <v>636688</v>
      </c>
      <c r="BU333" s="277">
        <v>2179657</v>
      </c>
      <c r="BV333" s="277">
        <v>0</v>
      </c>
      <c r="BW333" s="277">
        <v>44420</v>
      </c>
      <c r="BX333" s="277">
        <v>2224077</v>
      </c>
      <c r="BY333" s="278" t="s">
        <v>933</v>
      </c>
      <c r="BZ333" s="279" t="s">
        <v>1003</v>
      </c>
      <c r="CA333" s="280" t="s">
        <v>1034</v>
      </c>
    </row>
    <row r="334" spans="1:79" ht="13.5" thickBot="1">
      <c r="A334" s="175">
        <v>327</v>
      </c>
      <c r="B334" s="252" t="s">
        <v>873</v>
      </c>
      <c r="C334" s="157" t="s">
        <v>584</v>
      </c>
      <c r="D334" s="295">
        <f>SUM(D8:D333)</f>
        <v>22435144785.450005</v>
      </c>
      <c r="E334" s="295">
        <f aca="true" t="shared" si="0" ref="E334:BP334">SUM(E8:E333)</f>
        <v>82920308.56</v>
      </c>
      <c r="F334" s="295">
        <f t="shared" si="0"/>
        <v>9045578.240000002</v>
      </c>
      <c r="G334" s="295">
        <f t="shared" si="0"/>
        <v>83999996</v>
      </c>
      <c r="H334" s="295">
        <f t="shared" si="0"/>
        <v>99198</v>
      </c>
      <c r="I334" s="295">
        <f t="shared" si="0"/>
        <v>84099194</v>
      </c>
      <c r="J334" s="295">
        <f t="shared" si="0"/>
        <v>10743000</v>
      </c>
      <c r="K334" s="295">
        <f t="shared" si="0"/>
        <v>8986747.5</v>
      </c>
      <c r="L334" s="295">
        <f t="shared" si="0"/>
        <v>10261844</v>
      </c>
      <c r="M334" s="295">
        <f t="shared" si="0"/>
        <v>8680749</v>
      </c>
      <c r="N334" s="295">
        <f t="shared" si="0"/>
        <v>8087962</v>
      </c>
      <c r="O334" s="295">
        <f t="shared" si="0"/>
        <v>592787</v>
      </c>
      <c r="P334" s="295">
        <f t="shared" si="0"/>
        <v>22386247983.950012</v>
      </c>
      <c r="Q334" s="295">
        <f t="shared" si="0"/>
        <v>11193123997.879993</v>
      </c>
      <c r="R334" s="295">
        <f t="shared" si="0"/>
        <v>9067595229.5</v>
      </c>
      <c r="S334" s="295">
        <f t="shared" si="0"/>
        <v>2001298668.3</v>
      </c>
      <c r="T334" s="295">
        <f t="shared" si="0"/>
        <v>124230088</v>
      </c>
      <c r="U334" s="295">
        <f t="shared" si="0"/>
        <v>22386247983.4</v>
      </c>
      <c r="V334" s="295">
        <f t="shared" si="0"/>
        <v>5969159</v>
      </c>
      <c r="W334" s="295">
        <f t="shared" si="0"/>
        <v>11187154839.379993</v>
      </c>
      <c r="X334" s="295">
        <f t="shared" si="0"/>
        <v>84099194</v>
      </c>
      <c r="Y334" s="295">
        <f t="shared" si="0"/>
        <v>84099194</v>
      </c>
      <c r="Z334" s="295">
        <f t="shared" si="0"/>
        <v>8986747.5</v>
      </c>
      <c r="AA334" s="295">
        <f t="shared" si="0"/>
        <v>8986747.5</v>
      </c>
      <c r="AB334" s="295">
        <f t="shared" si="0"/>
        <v>10261844</v>
      </c>
      <c r="AC334" s="295">
        <f t="shared" si="0"/>
        <v>10261844</v>
      </c>
      <c r="AD334" s="295">
        <f t="shared" si="0"/>
        <v>8087962</v>
      </c>
      <c r="AE334" s="295">
        <f t="shared" si="0"/>
        <v>592787</v>
      </c>
      <c r="AF334" s="295">
        <f t="shared" si="0"/>
        <v>8680749</v>
      </c>
      <c r="AG334" s="295">
        <f t="shared" si="0"/>
        <v>5909279</v>
      </c>
      <c r="AH334" s="295">
        <f t="shared" si="0"/>
        <v>50344</v>
      </c>
      <c r="AI334" s="295">
        <f t="shared" si="0"/>
        <v>9536</v>
      </c>
      <c r="AJ334" s="295">
        <f t="shared" si="0"/>
        <v>5969159</v>
      </c>
      <c r="AK334" s="295">
        <f t="shared" si="0"/>
        <v>10743000</v>
      </c>
      <c r="AL334" s="295">
        <f t="shared" si="0"/>
        <v>10743000</v>
      </c>
      <c r="AM334" s="295">
        <f t="shared" si="0"/>
        <v>-259374093.51999995</v>
      </c>
      <c r="AN334" s="295">
        <f t="shared" si="0"/>
        <v>-219837331.46999988</v>
      </c>
      <c r="AO334" s="295">
        <f t="shared" si="0"/>
        <v>-36106046.10000001</v>
      </c>
      <c r="AP334" s="295">
        <f t="shared" si="0"/>
        <v>-3430714.9300000006</v>
      </c>
      <c r="AQ334" s="295">
        <f t="shared" si="0"/>
        <v>-518748186.98999995</v>
      </c>
      <c r="AR334" s="295">
        <f t="shared" si="0"/>
        <v>10927780772.7</v>
      </c>
      <c r="AS334" s="295">
        <f t="shared" si="0"/>
        <v>8975845924.2</v>
      </c>
      <c r="AT334" s="295">
        <f t="shared" si="0"/>
        <v>1965835747.49</v>
      </c>
      <c r="AU334" s="295">
        <f t="shared" si="0"/>
        <v>120808911.06</v>
      </c>
      <c r="AV334" s="295">
        <f t="shared" si="0"/>
        <v>21990271333.5</v>
      </c>
      <c r="AW334" s="295">
        <f t="shared" si="0"/>
        <v>97618724</v>
      </c>
      <c r="AX334" s="295">
        <f t="shared" si="0"/>
        <v>21252036</v>
      </c>
      <c r="AY334" s="295">
        <f t="shared" si="0"/>
        <v>1318893</v>
      </c>
      <c r="AZ334" s="295">
        <f t="shared" si="0"/>
        <v>120189653</v>
      </c>
      <c r="BA334" s="295">
        <f t="shared" si="0"/>
        <v>213984760</v>
      </c>
      <c r="BB334" s="295">
        <f t="shared" si="0"/>
        <v>31041015</v>
      </c>
      <c r="BC334" s="295">
        <f t="shared" si="0"/>
        <v>3461108</v>
      </c>
      <c r="BD334" s="295">
        <f t="shared" si="0"/>
        <v>248486883</v>
      </c>
      <c r="BE334" s="295">
        <f t="shared" si="0"/>
        <v>3488405</v>
      </c>
      <c r="BF334" s="295">
        <f t="shared" si="0"/>
        <v>547167</v>
      </c>
      <c r="BG334" s="295">
        <f t="shared" si="0"/>
        <v>57107</v>
      </c>
      <c r="BH334" s="295">
        <f t="shared" si="0"/>
        <v>4092679</v>
      </c>
      <c r="BI334" s="295">
        <f t="shared" si="0"/>
        <v>8876359</v>
      </c>
      <c r="BJ334" s="295">
        <f t="shared" si="0"/>
        <v>2662676</v>
      </c>
      <c r="BK334" s="295">
        <f t="shared" si="0"/>
        <v>93206</v>
      </c>
      <c r="BL334" s="295">
        <f t="shared" si="0"/>
        <v>11632241</v>
      </c>
      <c r="BM334" s="295">
        <f t="shared" si="0"/>
        <v>20362213</v>
      </c>
      <c r="BN334" s="295">
        <f t="shared" si="0"/>
        <v>5375007</v>
      </c>
      <c r="BO334" s="295">
        <f t="shared" si="0"/>
        <v>252643</v>
      </c>
      <c r="BP334" s="295">
        <f t="shared" si="0"/>
        <v>25989863</v>
      </c>
      <c r="BQ334" s="295">
        <f aca="true" t="shared" si="1" ref="BQ334:BX334">SUM(BQ8:BQ333)</f>
        <v>114660651</v>
      </c>
      <c r="BR334" s="295">
        <f t="shared" si="1"/>
        <v>21207527</v>
      </c>
      <c r="BS334" s="295">
        <f t="shared" si="1"/>
        <v>1625301</v>
      </c>
      <c r="BT334" s="295">
        <f t="shared" si="1"/>
        <v>137493479</v>
      </c>
      <c r="BU334" s="295">
        <f t="shared" si="1"/>
        <v>458991112</v>
      </c>
      <c r="BV334" s="295">
        <f t="shared" si="1"/>
        <v>82085428</v>
      </c>
      <c r="BW334" s="295">
        <f t="shared" si="1"/>
        <v>6808258</v>
      </c>
      <c r="BX334" s="295">
        <f t="shared" si="1"/>
        <v>547884798</v>
      </c>
      <c r="BY334" s="279" t="s">
        <v>1056</v>
      </c>
      <c r="BZ334" s="279" t="s">
        <v>645</v>
      </c>
      <c r="CA334" s="279" t="s">
        <v>1055</v>
      </c>
    </row>
    <row r="335" spans="1:6" ht="12.75">
      <c r="A335" s="155"/>
      <c r="B335" s="155"/>
      <c r="C335" s="155"/>
      <c r="D335" s="233"/>
      <c r="E335" s="156"/>
      <c r="F335" s="156"/>
    </row>
  </sheetData>
  <sheetProtection/>
  <mergeCells count="15">
    <mergeCell ref="AM2:AQ2"/>
    <mergeCell ref="AR2:AV2"/>
    <mergeCell ref="AW2:AZ2"/>
    <mergeCell ref="BQ2:BT2"/>
    <mergeCell ref="BU2:BX2"/>
    <mergeCell ref="BA2:BD2"/>
    <mergeCell ref="BE2:BH2"/>
    <mergeCell ref="BI2:BL2"/>
    <mergeCell ref="BM2:BP2"/>
    <mergeCell ref="AG2:AI2"/>
    <mergeCell ref="X2:Y2"/>
    <mergeCell ref="Z2:AA2"/>
    <mergeCell ref="AD2:AF2"/>
    <mergeCell ref="AB2:AC2"/>
    <mergeCell ref="AK2:A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D3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8.421875" style="57" customWidth="1"/>
    <col min="2" max="2" width="33.140625" style="57" customWidth="1"/>
    <col min="3" max="3" width="8.140625" style="57" bestFit="1" customWidth="1"/>
    <col min="4" max="4" width="11.7109375" style="234" customWidth="1"/>
    <col min="5" max="5" width="13.8515625" style="57" bestFit="1" customWidth="1"/>
    <col min="6" max="6" width="11.7109375" style="57" customWidth="1"/>
    <col min="7" max="7" width="11.7109375" style="0" customWidth="1"/>
    <col min="8" max="9" width="13.8515625" style="0" bestFit="1" customWidth="1"/>
    <col min="10" max="14" width="11.7109375" style="0" customWidth="1"/>
    <col min="15" max="15" width="13.8515625" style="0" bestFit="1" customWidth="1"/>
    <col min="16" max="17" width="11.7109375" style="0" customWidth="1"/>
    <col min="18" max="18" width="13.8515625" style="0" bestFit="1" customWidth="1"/>
    <col min="19" max="56" width="11.7109375" style="0" customWidth="1"/>
    <col min="57" max="57" width="12.7109375" style="0" bestFit="1" customWidth="1"/>
    <col min="58" max="59" width="11.7109375" style="0" customWidth="1"/>
    <col min="60" max="60" width="12.7109375" style="0" bestFit="1" customWidth="1"/>
    <col min="61" max="68" width="11.7109375" style="0" customWidth="1"/>
    <col min="69" max="69" width="12.7109375" style="0" bestFit="1" customWidth="1"/>
    <col min="70" max="74" width="11.7109375" style="0" customWidth="1"/>
    <col min="75" max="75" width="12.7109375" style="0" bestFit="1" customWidth="1"/>
    <col min="76" max="77" width="11.7109375" style="0" customWidth="1"/>
    <col min="78" max="78" width="12.7109375" style="0" bestFit="1" customWidth="1"/>
    <col min="79" max="144" width="11.7109375" style="0" customWidth="1"/>
    <col min="145" max="150" width="11.421875" style="0" customWidth="1"/>
    <col min="151" max="151" width="11.140625" style="0" bestFit="1" customWidth="1"/>
    <col min="152" max="153" width="8.140625" style="0" bestFit="1" customWidth="1"/>
    <col min="154" max="154" width="11.140625" style="0" bestFit="1" customWidth="1"/>
    <col min="155" max="156" width="14.00390625" style="0" bestFit="1" customWidth="1"/>
    <col min="157" max="157" width="11.28125" style="0" bestFit="1" customWidth="1"/>
    <col min="158" max="158" width="14.00390625" style="0" bestFit="1" customWidth="1"/>
    <col min="159" max="160" width="9.28125" style="0" bestFit="1" customWidth="1"/>
  </cols>
  <sheetData>
    <row r="1" spans="1:20" ht="15.75" thickBot="1">
      <c r="A1" s="68"/>
      <c r="B1" s="69"/>
      <c r="C1" s="164"/>
      <c r="D1" s="232"/>
      <c r="E1" s="151"/>
      <c r="F1" s="151"/>
      <c r="T1" s="204"/>
    </row>
    <row r="2" spans="1:159" s="271" customFormat="1" ht="70.5" customHeight="1" thickBot="1">
      <c r="A2" s="152"/>
      <c r="B2" s="70"/>
      <c r="C2" s="248"/>
      <c r="D2" s="293" t="s">
        <v>860</v>
      </c>
      <c r="E2" s="438" t="s">
        <v>872</v>
      </c>
      <c r="F2" s="437"/>
      <c r="G2" s="437"/>
      <c r="H2" s="437"/>
      <c r="I2" s="437" t="s">
        <v>834</v>
      </c>
      <c r="J2" s="437"/>
      <c r="K2" s="437"/>
      <c r="L2" s="437" t="s">
        <v>835</v>
      </c>
      <c r="M2" s="437"/>
      <c r="N2" s="437"/>
      <c r="O2" s="437" t="s">
        <v>836</v>
      </c>
      <c r="P2" s="437"/>
      <c r="Q2" s="437"/>
      <c r="R2" s="437"/>
      <c r="S2" s="437" t="s">
        <v>837</v>
      </c>
      <c r="T2" s="437"/>
      <c r="U2" s="437"/>
      <c r="V2" s="437"/>
      <c r="W2" s="437" t="s">
        <v>838</v>
      </c>
      <c r="X2" s="437"/>
      <c r="Y2" s="437"/>
      <c r="Z2" s="437"/>
      <c r="AA2" s="437" t="s">
        <v>839</v>
      </c>
      <c r="AB2" s="437"/>
      <c r="AC2" s="437"/>
      <c r="AD2" s="437" t="s">
        <v>840</v>
      </c>
      <c r="AE2" s="437"/>
      <c r="AF2" s="437"/>
      <c r="AG2" s="437" t="s">
        <v>841</v>
      </c>
      <c r="AH2" s="437"/>
      <c r="AI2" s="437"/>
      <c r="AJ2" s="437"/>
      <c r="AK2" s="437" t="s">
        <v>842</v>
      </c>
      <c r="AL2" s="437"/>
      <c r="AM2" s="437"/>
      <c r="AN2" s="437"/>
      <c r="AO2" s="437" t="s">
        <v>843</v>
      </c>
      <c r="AP2" s="437"/>
      <c r="AQ2" s="437"/>
      <c r="AR2" s="437"/>
      <c r="AS2" s="437" t="s">
        <v>844</v>
      </c>
      <c r="AT2" s="437"/>
      <c r="AU2" s="437"/>
      <c r="AV2" s="437"/>
      <c r="AW2" s="437" t="s">
        <v>845</v>
      </c>
      <c r="AX2" s="437"/>
      <c r="AY2" s="437"/>
      <c r="AZ2" s="437"/>
      <c r="BA2" s="437" t="s">
        <v>846</v>
      </c>
      <c r="BB2" s="437"/>
      <c r="BC2" s="437"/>
      <c r="BD2" s="437"/>
      <c r="BE2" s="438" t="s">
        <v>861</v>
      </c>
      <c r="BF2" s="437"/>
      <c r="BG2" s="437"/>
      <c r="BH2" s="437"/>
      <c r="BI2" s="438" t="s">
        <v>862</v>
      </c>
      <c r="BJ2" s="437"/>
      <c r="BK2" s="437"/>
      <c r="BL2" s="437"/>
      <c r="BM2" s="438" t="s">
        <v>661</v>
      </c>
      <c r="BN2" s="437"/>
      <c r="BO2" s="437"/>
      <c r="BP2" s="437"/>
      <c r="BQ2" s="437" t="s">
        <v>847</v>
      </c>
      <c r="BR2" s="437"/>
      <c r="BS2" s="437"/>
      <c r="BT2" s="437" t="s">
        <v>848</v>
      </c>
      <c r="BU2" s="437"/>
      <c r="BV2" s="437"/>
      <c r="BW2" s="437" t="s">
        <v>849</v>
      </c>
      <c r="BX2" s="437"/>
      <c r="BY2" s="437"/>
      <c r="BZ2" s="437"/>
      <c r="CA2" s="438" t="s">
        <v>863</v>
      </c>
      <c r="CB2" s="437"/>
      <c r="CC2" s="437"/>
      <c r="CD2" s="437"/>
      <c r="CE2" s="438" t="s">
        <v>864</v>
      </c>
      <c r="CF2" s="437"/>
      <c r="CG2" s="437"/>
      <c r="CH2" s="437"/>
      <c r="CI2" s="438" t="s">
        <v>865</v>
      </c>
      <c r="CJ2" s="438"/>
      <c r="CK2" s="438"/>
      <c r="CL2" s="437" t="s">
        <v>850</v>
      </c>
      <c r="CM2" s="437"/>
      <c r="CN2" s="437"/>
      <c r="CO2" s="437" t="s">
        <v>851</v>
      </c>
      <c r="CP2" s="437"/>
      <c r="CQ2" s="437"/>
      <c r="CR2" s="437"/>
      <c r="CS2" s="438" t="s">
        <v>866</v>
      </c>
      <c r="CT2" s="437"/>
      <c r="CU2" s="437"/>
      <c r="CV2" s="437"/>
      <c r="CW2" s="438" t="s">
        <v>867</v>
      </c>
      <c r="CX2" s="437"/>
      <c r="CY2" s="437"/>
      <c r="CZ2" s="437"/>
      <c r="DA2" s="438" t="s">
        <v>868</v>
      </c>
      <c r="DB2" s="437"/>
      <c r="DC2" s="437"/>
      <c r="DD2" s="437"/>
      <c r="DE2" s="438" t="s">
        <v>869</v>
      </c>
      <c r="DF2" s="437"/>
      <c r="DG2" s="437"/>
      <c r="DH2" s="437"/>
      <c r="DI2" s="438" t="s">
        <v>870</v>
      </c>
      <c r="DJ2" s="437"/>
      <c r="DK2" s="437"/>
      <c r="DL2" s="437"/>
      <c r="DM2" s="438" t="s">
        <v>871</v>
      </c>
      <c r="DN2" s="437"/>
      <c r="DO2" s="437"/>
      <c r="DP2" s="437"/>
      <c r="DQ2" s="437" t="s">
        <v>852</v>
      </c>
      <c r="DR2" s="437"/>
      <c r="DS2" s="437"/>
      <c r="DT2" s="437" t="s">
        <v>853</v>
      </c>
      <c r="DU2" s="437"/>
      <c r="DV2" s="437"/>
      <c r="DW2" s="437" t="s">
        <v>854</v>
      </c>
      <c r="DX2" s="437"/>
      <c r="DY2" s="437"/>
      <c r="DZ2" s="437"/>
      <c r="EA2" s="294" t="s">
        <v>855</v>
      </c>
      <c r="EB2" s="294" t="s">
        <v>856</v>
      </c>
      <c r="EC2" s="437" t="s">
        <v>843</v>
      </c>
      <c r="ED2" s="437"/>
      <c r="EE2" s="437"/>
      <c r="EF2" s="437"/>
      <c r="EG2" s="437" t="s">
        <v>843</v>
      </c>
      <c r="EH2" s="437"/>
      <c r="EI2" s="437"/>
      <c r="EJ2" s="437"/>
      <c r="EK2" s="437" t="s">
        <v>843</v>
      </c>
      <c r="EL2" s="437"/>
      <c r="EM2" s="437"/>
      <c r="EN2" s="437"/>
      <c r="EO2" s="437" t="s">
        <v>857</v>
      </c>
      <c r="EP2" s="437"/>
      <c r="EQ2" s="437"/>
      <c r="ER2" s="437" t="s">
        <v>858</v>
      </c>
      <c r="ES2" s="437"/>
      <c r="ET2" s="437"/>
      <c r="EU2" s="437" t="s">
        <v>857</v>
      </c>
      <c r="EV2" s="437"/>
      <c r="EW2" s="437"/>
      <c r="EX2" s="437"/>
      <c r="EY2" s="437" t="s">
        <v>859</v>
      </c>
      <c r="EZ2" s="437"/>
      <c r="FA2" s="437"/>
      <c r="FB2" s="437"/>
      <c r="FC2" s="255"/>
    </row>
    <row r="3" spans="1:158" ht="14.25" thickBot="1" thickTop="1">
      <c r="A3" s="71">
        <v>1</v>
      </c>
      <c r="B3" s="72">
        <v>2</v>
      </c>
      <c r="C3" s="163">
        <v>3</v>
      </c>
      <c r="D3" s="249">
        <v>4</v>
      </c>
      <c r="E3" s="249">
        <v>5</v>
      </c>
      <c r="F3" s="249">
        <v>6</v>
      </c>
      <c r="G3" s="249">
        <v>7</v>
      </c>
      <c r="H3" s="249">
        <v>8</v>
      </c>
      <c r="I3" s="249">
        <v>9</v>
      </c>
      <c r="J3" s="249">
        <v>10</v>
      </c>
      <c r="K3" s="249">
        <v>11</v>
      </c>
      <c r="L3" s="249">
        <v>12</v>
      </c>
      <c r="M3" s="249">
        <v>13</v>
      </c>
      <c r="N3" s="249">
        <v>14</v>
      </c>
      <c r="O3" s="249">
        <v>15</v>
      </c>
      <c r="P3" s="249">
        <v>16</v>
      </c>
      <c r="Q3" s="249">
        <v>17</v>
      </c>
      <c r="R3" s="249">
        <v>18</v>
      </c>
      <c r="S3" s="249">
        <v>19</v>
      </c>
      <c r="T3" s="249">
        <v>20</v>
      </c>
      <c r="U3" s="249">
        <v>21</v>
      </c>
      <c r="V3" s="249">
        <v>22</v>
      </c>
      <c r="W3" s="249">
        <v>23</v>
      </c>
      <c r="X3" s="249">
        <v>24</v>
      </c>
      <c r="Y3" s="249">
        <v>25</v>
      </c>
      <c r="Z3" s="249">
        <v>26</v>
      </c>
      <c r="AA3" s="249">
        <v>27</v>
      </c>
      <c r="AB3" s="249">
        <v>28</v>
      </c>
      <c r="AC3" s="249">
        <v>29</v>
      </c>
      <c r="AD3" s="249">
        <v>30</v>
      </c>
      <c r="AE3" s="249">
        <v>31</v>
      </c>
      <c r="AF3" s="249">
        <v>32</v>
      </c>
      <c r="AG3" s="249">
        <v>33</v>
      </c>
      <c r="AH3" s="249">
        <v>34</v>
      </c>
      <c r="AI3" s="249">
        <v>35</v>
      </c>
      <c r="AJ3" s="249">
        <v>36</v>
      </c>
      <c r="AK3" s="249">
        <v>37</v>
      </c>
      <c r="AL3" s="249">
        <v>38</v>
      </c>
      <c r="AM3" s="249">
        <v>39</v>
      </c>
      <c r="AN3" s="249">
        <v>40</v>
      </c>
      <c r="AO3" s="249">
        <v>41</v>
      </c>
      <c r="AP3" s="249">
        <v>42</v>
      </c>
      <c r="AQ3" s="249">
        <v>43</v>
      </c>
      <c r="AR3" s="249">
        <v>44</v>
      </c>
      <c r="AS3" s="249">
        <v>45</v>
      </c>
      <c r="AT3" s="249">
        <v>46</v>
      </c>
      <c r="AU3" s="249">
        <v>47</v>
      </c>
      <c r="AV3" s="249">
        <v>48</v>
      </c>
      <c r="AW3" s="249">
        <v>49</v>
      </c>
      <c r="AX3" s="249">
        <v>50</v>
      </c>
      <c r="AY3" s="249">
        <v>51</v>
      </c>
      <c r="AZ3" s="249">
        <v>52</v>
      </c>
      <c r="BA3" s="249">
        <v>53</v>
      </c>
      <c r="BB3" s="249">
        <v>54</v>
      </c>
      <c r="BC3" s="249">
        <v>55</v>
      </c>
      <c r="BD3" s="249">
        <v>56</v>
      </c>
      <c r="BE3" s="249">
        <v>57</v>
      </c>
      <c r="BF3" s="249">
        <v>58</v>
      </c>
      <c r="BG3" s="249">
        <v>59</v>
      </c>
      <c r="BH3" s="249">
        <v>60</v>
      </c>
      <c r="BI3" s="249">
        <v>61</v>
      </c>
      <c r="BJ3" s="249">
        <v>62</v>
      </c>
      <c r="BK3" s="249">
        <v>63</v>
      </c>
      <c r="BL3" s="249">
        <v>64</v>
      </c>
      <c r="BM3" s="249">
        <v>65</v>
      </c>
      <c r="BN3" s="249">
        <v>66</v>
      </c>
      <c r="BO3" s="249">
        <v>67</v>
      </c>
      <c r="BP3" s="249">
        <v>68</v>
      </c>
      <c r="BQ3" s="249">
        <v>69</v>
      </c>
      <c r="BR3" s="249">
        <v>70</v>
      </c>
      <c r="BS3" s="249">
        <v>71</v>
      </c>
      <c r="BT3" s="249">
        <v>72</v>
      </c>
      <c r="BU3" s="249">
        <v>73</v>
      </c>
      <c r="BV3" s="249">
        <v>74</v>
      </c>
      <c r="BW3" s="249">
        <v>75</v>
      </c>
      <c r="BX3" s="249">
        <v>76</v>
      </c>
      <c r="BY3" s="249">
        <v>77</v>
      </c>
      <c r="BZ3" s="249">
        <v>78</v>
      </c>
      <c r="CA3" s="249">
        <v>79</v>
      </c>
      <c r="CB3" s="249">
        <v>80</v>
      </c>
      <c r="CC3" s="249">
        <v>81</v>
      </c>
      <c r="CD3" s="249">
        <v>82</v>
      </c>
      <c r="CE3" s="249">
        <v>83</v>
      </c>
      <c r="CF3" s="249">
        <v>84</v>
      </c>
      <c r="CG3" s="249">
        <v>85</v>
      </c>
      <c r="CH3" s="249">
        <v>86</v>
      </c>
      <c r="CI3" s="249">
        <v>87</v>
      </c>
      <c r="CJ3" s="249">
        <v>88</v>
      </c>
      <c r="CK3" s="249">
        <v>89</v>
      </c>
      <c r="CL3" s="249">
        <v>90</v>
      </c>
      <c r="CM3" s="249">
        <v>91</v>
      </c>
      <c r="CN3" s="249">
        <v>92</v>
      </c>
      <c r="CO3" s="249">
        <v>93</v>
      </c>
      <c r="CP3" s="249">
        <v>94</v>
      </c>
      <c r="CQ3" s="249">
        <v>95</v>
      </c>
      <c r="CR3" s="249">
        <v>96</v>
      </c>
      <c r="CS3" s="249">
        <v>97</v>
      </c>
      <c r="CT3" s="249">
        <v>98</v>
      </c>
      <c r="CU3" s="249">
        <v>99</v>
      </c>
      <c r="CV3" s="249">
        <v>100</v>
      </c>
      <c r="CW3" s="249">
        <v>101</v>
      </c>
      <c r="CX3" s="249">
        <v>102</v>
      </c>
      <c r="CY3" s="249">
        <v>103</v>
      </c>
      <c r="CZ3" s="249">
        <v>104</v>
      </c>
      <c r="DA3" s="249">
        <v>105</v>
      </c>
      <c r="DB3" s="249">
        <v>106</v>
      </c>
      <c r="DC3" s="249">
        <v>107</v>
      </c>
      <c r="DD3" s="249">
        <v>108</v>
      </c>
      <c r="DE3" s="249">
        <v>109</v>
      </c>
      <c r="DF3" s="249">
        <v>110</v>
      </c>
      <c r="DG3" s="249">
        <v>111</v>
      </c>
      <c r="DH3" s="249">
        <v>112</v>
      </c>
      <c r="DI3" s="249">
        <v>113</v>
      </c>
      <c r="DJ3" s="249">
        <v>114</v>
      </c>
      <c r="DK3" s="249">
        <v>115</v>
      </c>
      <c r="DL3" s="249">
        <v>116</v>
      </c>
      <c r="DM3" s="249">
        <v>117</v>
      </c>
      <c r="DN3" s="249">
        <v>118</v>
      </c>
      <c r="DO3" s="249">
        <v>119</v>
      </c>
      <c r="DP3" s="249">
        <v>120</v>
      </c>
      <c r="DQ3" s="249">
        <v>121</v>
      </c>
      <c r="DR3" s="249">
        <v>122</v>
      </c>
      <c r="DS3" s="249">
        <v>123</v>
      </c>
      <c r="DT3" s="249">
        <v>124</v>
      </c>
      <c r="DU3" s="249">
        <v>125</v>
      </c>
      <c r="DV3" s="249">
        <v>126</v>
      </c>
      <c r="DW3" s="249">
        <v>127</v>
      </c>
      <c r="DX3" s="249">
        <v>128</v>
      </c>
      <c r="DY3" s="249">
        <v>129</v>
      </c>
      <c r="DZ3" s="249">
        <v>130</v>
      </c>
      <c r="EA3" s="249">
        <v>131</v>
      </c>
      <c r="EB3" s="249">
        <v>132</v>
      </c>
      <c r="EC3" s="249">
        <v>133</v>
      </c>
      <c r="ED3" s="249">
        <v>134</v>
      </c>
      <c r="EE3" s="249">
        <v>135</v>
      </c>
      <c r="EF3" s="249">
        <v>136</v>
      </c>
      <c r="EG3" s="249">
        <v>137</v>
      </c>
      <c r="EH3" s="249">
        <v>138</v>
      </c>
      <c r="EI3" s="249">
        <v>139</v>
      </c>
      <c r="EJ3" s="249">
        <v>140</v>
      </c>
      <c r="EK3" s="249">
        <v>141</v>
      </c>
      <c r="EL3" s="249">
        <v>142</v>
      </c>
      <c r="EM3" s="249">
        <v>143</v>
      </c>
      <c r="EN3" s="249">
        <v>144</v>
      </c>
      <c r="EO3" s="249">
        <v>145</v>
      </c>
      <c r="EP3" s="249">
        <v>146</v>
      </c>
      <c r="EQ3" s="249">
        <v>147</v>
      </c>
      <c r="ER3" s="249">
        <v>148</v>
      </c>
      <c r="ES3" s="249">
        <v>149</v>
      </c>
      <c r="ET3" s="249">
        <v>150</v>
      </c>
      <c r="EU3" s="249">
        <v>151</v>
      </c>
      <c r="EV3" s="249">
        <v>152</v>
      </c>
      <c r="EW3" s="249">
        <v>153</v>
      </c>
      <c r="EX3" s="249">
        <v>154</v>
      </c>
      <c r="EY3" s="249">
        <v>155</v>
      </c>
      <c r="EZ3" s="249">
        <v>156</v>
      </c>
      <c r="FA3" s="249">
        <v>157</v>
      </c>
      <c r="FB3" s="249">
        <v>158</v>
      </c>
    </row>
    <row r="4" spans="1:33" ht="13.5" thickBot="1">
      <c r="A4" s="73"/>
      <c r="B4" s="74"/>
      <c r="C4" s="165"/>
      <c r="D4" s="238"/>
      <c r="E4" s="239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</row>
    <row r="5" spans="1:159" s="250" customFormat="1" ht="12.75">
      <c r="A5" s="195" t="s">
        <v>703</v>
      </c>
      <c r="B5" s="236" t="s">
        <v>704</v>
      </c>
      <c r="C5" s="236" t="s">
        <v>705</v>
      </c>
      <c r="D5" s="289">
        <v>1</v>
      </c>
      <c r="E5" s="261">
        <v>1</v>
      </c>
      <c r="F5" s="261">
        <v>1</v>
      </c>
      <c r="G5" s="261">
        <v>1</v>
      </c>
      <c r="H5" s="261">
        <v>1</v>
      </c>
      <c r="I5" s="261">
        <v>3</v>
      </c>
      <c r="J5" s="261">
        <v>3</v>
      </c>
      <c r="K5" s="261">
        <v>3</v>
      </c>
      <c r="L5" s="261">
        <v>4</v>
      </c>
      <c r="M5" s="261">
        <v>4</v>
      </c>
      <c r="N5" s="261">
        <v>4</v>
      </c>
      <c r="O5" s="261">
        <v>5</v>
      </c>
      <c r="P5" s="261">
        <v>5</v>
      </c>
      <c r="Q5" s="261">
        <v>5</v>
      </c>
      <c r="R5" s="261">
        <v>5</v>
      </c>
      <c r="S5" s="261">
        <v>6</v>
      </c>
      <c r="T5" s="261">
        <v>6</v>
      </c>
      <c r="U5" s="261">
        <v>6</v>
      </c>
      <c r="V5" s="261">
        <v>6</v>
      </c>
      <c r="W5" s="261">
        <v>7</v>
      </c>
      <c r="X5" s="261">
        <v>7</v>
      </c>
      <c r="Y5" s="261">
        <v>7</v>
      </c>
      <c r="Z5" s="261">
        <v>7</v>
      </c>
      <c r="AA5" s="261">
        <v>8</v>
      </c>
      <c r="AB5" s="261">
        <v>8</v>
      </c>
      <c r="AC5" s="261">
        <v>8</v>
      </c>
      <c r="AD5" s="261">
        <v>9</v>
      </c>
      <c r="AE5" s="261">
        <v>9</v>
      </c>
      <c r="AF5" s="261">
        <v>9</v>
      </c>
      <c r="AG5" s="261">
        <v>10</v>
      </c>
      <c r="AH5" s="261">
        <v>10</v>
      </c>
      <c r="AI5" s="261">
        <v>10</v>
      </c>
      <c r="AJ5" s="261">
        <v>10</v>
      </c>
      <c r="AK5" s="261">
        <v>11</v>
      </c>
      <c r="AL5" s="261">
        <v>11</v>
      </c>
      <c r="AM5" s="261">
        <v>11</v>
      </c>
      <c r="AN5" s="261">
        <v>11</v>
      </c>
      <c r="AO5" s="261">
        <v>12</v>
      </c>
      <c r="AP5" s="261">
        <v>12</v>
      </c>
      <c r="AQ5" s="261">
        <v>12</v>
      </c>
      <c r="AR5" s="261">
        <v>12</v>
      </c>
      <c r="AS5" s="261">
        <v>13</v>
      </c>
      <c r="AT5" s="261">
        <v>13</v>
      </c>
      <c r="AU5" s="261">
        <v>13</v>
      </c>
      <c r="AV5" s="261">
        <v>13</v>
      </c>
      <c r="AW5" s="261">
        <v>14</v>
      </c>
      <c r="AX5" s="261">
        <v>14</v>
      </c>
      <c r="AY5" s="261">
        <v>14</v>
      </c>
      <c r="AZ5" s="261">
        <v>14</v>
      </c>
      <c r="BA5" s="261">
        <v>15</v>
      </c>
      <c r="BB5" s="261">
        <v>15</v>
      </c>
      <c r="BC5" s="261">
        <v>15</v>
      </c>
      <c r="BD5" s="261">
        <v>15</v>
      </c>
      <c r="BE5" s="261">
        <v>16</v>
      </c>
      <c r="BF5" s="261">
        <v>16</v>
      </c>
      <c r="BG5" s="261">
        <v>16</v>
      </c>
      <c r="BH5" s="261">
        <v>16</v>
      </c>
      <c r="BI5" s="261">
        <v>17</v>
      </c>
      <c r="BJ5" s="261">
        <v>17</v>
      </c>
      <c r="BK5" s="261">
        <v>17</v>
      </c>
      <c r="BL5" s="261">
        <v>17</v>
      </c>
      <c r="BM5" s="261">
        <v>18</v>
      </c>
      <c r="BN5" s="261">
        <v>18</v>
      </c>
      <c r="BO5" s="261">
        <v>18</v>
      </c>
      <c r="BP5" s="261">
        <v>18</v>
      </c>
      <c r="BQ5" s="261">
        <v>19</v>
      </c>
      <c r="BR5" s="261">
        <v>19</v>
      </c>
      <c r="BS5" s="261">
        <v>19</v>
      </c>
      <c r="BT5" s="261">
        <v>20</v>
      </c>
      <c r="BU5" s="261">
        <v>20</v>
      </c>
      <c r="BV5" s="261">
        <v>20</v>
      </c>
      <c r="BW5" s="261">
        <v>21</v>
      </c>
      <c r="BX5" s="261">
        <v>21</v>
      </c>
      <c r="BY5" s="261">
        <v>21</v>
      </c>
      <c r="BZ5" s="261">
        <v>21</v>
      </c>
      <c r="CA5" s="261">
        <v>22</v>
      </c>
      <c r="CB5" s="261">
        <v>22</v>
      </c>
      <c r="CC5" s="261">
        <v>22</v>
      </c>
      <c r="CD5" s="261">
        <v>22</v>
      </c>
      <c r="CE5" s="261">
        <v>23</v>
      </c>
      <c r="CF5" s="261">
        <v>23</v>
      </c>
      <c r="CG5" s="261">
        <v>23</v>
      </c>
      <c r="CH5" s="261">
        <v>23</v>
      </c>
      <c r="CI5" s="261">
        <v>24</v>
      </c>
      <c r="CJ5" s="261">
        <v>24</v>
      </c>
      <c r="CK5" s="261">
        <v>24</v>
      </c>
      <c r="CL5" s="261">
        <v>25</v>
      </c>
      <c r="CM5" s="261">
        <v>25</v>
      </c>
      <c r="CN5" s="261">
        <v>25</v>
      </c>
      <c r="CO5" s="261">
        <v>26</v>
      </c>
      <c r="CP5" s="261">
        <v>26</v>
      </c>
      <c r="CQ5" s="261">
        <v>26</v>
      </c>
      <c r="CR5" s="261">
        <v>26</v>
      </c>
      <c r="CS5" s="261">
        <v>27</v>
      </c>
      <c r="CT5" s="261">
        <v>27</v>
      </c>
      <c r="CU5" s="261">
        <v>27</v>
      </c>
      <c r="CV5" s="261">
        <v>27</v>
      </c>
      <c r="CW5" s="261">
        <v>28</v>
      </c>
      <c r="CX5" s="261">
        <v>28</v>
      </c>
      <c r="CY5" s="261">
        <v>28</v>
      </c>
      <c r="CZ5" s="261">
        <v>28</v>
      </c>
      <c r="DA5" s="261">
        <v>29</v>
      </c>
      <c r="DB5" s="261">
        <v>29</v>
      </c>
      <c r="DC5" s="261">
        <v>29</v>
      </c>
      <c r="DD5" s="261">
        <v>29</v>
      </c>
      <c r="DE5" s="261">
        <v>30</v>
      </c>
      <c r="DF5" s="261">
        <v>30</v>
      </c>
      <c r="DG5" s="261">
        <v>30</v>
      </c>
      <c r="DH5" s="261">
        <v>30</v>
      </c>
      <c r="DI5" s="261">
        <v>31</v>
      </c>
      <c r="DJ5" s="261">
        <v>31</v>
      </c>
      <c r="DK5" s="261">
        <v>31</v>
      </c>
      <c r="DL5" s="261">
        <v>31</v>
      </c>
      <c r="DM5" s="261">
        <v>32</v>
      </c>
      <c r="DN5" s="261">
        <v>32</v>
      </c>
      <c r="DO5" s="261">
        <v>32</v>
      </c>
      <c r="DP5" s="261">
        <v>32</v>
      </c>
      <c r="DQ5" s="261">
        <v>33</v>
      </c>
      <c r="DR5" s="261">
        <v>33</v>
      </c>
      <c r="DS5" s="261">
        <v>33</v>
      </c>
      <c r="DT5" s="261">
        <v>34</v>
      </c>
      <c r="DU5" s="261">
        <v>34</v>
      </c>
      <c r="DV5" s="261">
        <v>34</v>
      </c>
      <c r="DW5" s="261">
        <v>35</v>
      </c>
      <c r="DX5" s="261">
        <v>35</v>
      </c>
      <c r="DY5" s="261">
        <v>35</v>
      </c>
      <c r="DZ5" s="261">
        <v>35</v>
      </c>
      <c r="EA5" s="261">
        <v>36</v>
      </c>
      <c r="EB5" s="261">
        <v>37</v>
      </c>
      <c r="EC5" s="261">
        <v>38</v>
      </c>
      <c r="ED5" s="261">
        <v>38</v>
      </c>
      <c r="EE5" s="261">
        <v>38</v>
      </c>
      <c r="EF5" s="261">
        <v>38</v>
      </c>
      <c r="EG5" s="261">
        <v>39</v>
      </c>
      <c r="EH5" s="261">
        <v>39</v>
      </c>
      <c r="EI5" s="261">
        <v>39</v>
      </c>
      <c r="EJ5" s="261">
        <v>39</v>
      </c>
      <c r="EK5" s="261">
        <v>40</v>
      </c>
      <c r="EL5" s="261">
        <v>40</v>
      </c>
      <c r="EM5" s="261">
        <v>40</v>
      </c>
      <c r="EN5" s="261">
        <v>40</v>
      </c>
      <c r="EO5" s="261">
        <v>41</v>
      </c>
      <c r="EP5" s="261">
        <v>41</v>
      </c>
      <c r="EQ5" s="261">
        <v>41</v>
      </c>
      <c r="ER5" s="261">
        <v>42</v>
      </c>
      <c r="ES5" s="261">
        <v>42</v>
      </c>
      <c r="ET5" s="261">
        <v>42</v>
      </c>
      <c r="EU5" s="261">
        <v>43</v>
      </c>
      <c r="EV5" s="261">
        <v>43</v>
      </c>
      <c r="EW5" s="261">
        <v>43</v>
      </c>
      <c r="EX5" s="261">
        <v>43</v>
      </c>
      <c r="EY5" s="261">
        <v>44</v>
      </c>
      <c r="EZ5" s="261">
        <v>44</v>
      </c>
      <c r="FA5" s="261">
        <v>44</v>
      </c>
      <c r="FB5" s="290">
        <v>44</v>
      </c>
      <c r="FC5" s="256"/>
    </row>
    <row r="6" spans="1:159" s="250" customFormat="1" ht="13.5" thickBot="1">
      <c r="A6" s="251"/>
      <c r="B6" s="237"/>
      <c r="C6" s="237"/>
      <c r="D6" s="291">
        <v>1</v>
      </c>
      <c r="E6" s="262">
        <v>2</v>
      </c>
      <c r="F6" s="262">
        <v>3</v>
      </c>
      <c r="G6" s="262">
        <v>4</v>
      </c>
      <c r="H6" s="262">
        <v>5</v>
      </c>
      <c r="I6" s="262">
        <v>2</v>
      </c>
      <c r="J6" s="262">
        <v>3</v>
      </c>
      <c r="K6" s="262">
        <v>4</v>
      </c>
      <c r="L6" s="262">
        <v>2</v>
      </c>
      <c r="M6" s="262">
        <v>3</v>
      </c>
      <c r="N6" s="262">
        <v>4</v>
      </c>
      <c r="O6" s="262">
        <v>2</v>
      </c>
      <c r="P6" s="262">
        <v>3</v>
      </c>
      <c r="Q6" s="262">
        <v>4</v>
      </c>
      <c r="R6" s="262">
        <v>5</v>
      </c>
      <c r="S6" s="262">
        <v>2</v>
      </c>
      <c r="T6" s="262">
        <v>3</v>
      </c>
      <c r="U6" s="262">
        <v>4</v>
      </c>
      <c r="V6" s="262">
        <v>5</v>
      </c>
      <c r="W6" s="262">
        <v>2</v>
      </c>
      <c r="X6" s="262">
        <v>3</v>
      </c>
      <c r="Y6" s="262">
        <v>4</v>
      </c>
      <c r="Z6" s="262">
        <v>5</v>
      </c>
      <c r="AA6" s="262">
        <v>2</v>
      </c>
      <c r="AB6" s="262">
        <v>3</v>
      </c>
      <c r="AC6" s="262">
        <v>4</v>
      </c>
      <c r="AD6" s="262">
        <v>2</v>
      </c>
      <c r="AE6" s="262">
        <v>3</v>
      </c>
      <c r="AF6" s="262">
        <v>4</v>
      </c>
      <c r="AG6" s="262">
        <v>2</v>
      </c>
      <c r="AH6" s="262">
        <v>3</v>
      </c>
      <c r="AI6" s="262">
        <v>4</v>
      </c>
      <c r="AJ6" s="262">
        <v>5</v>
      </c>
      <c r="AK6" s="262">
        <v>2</v>
      </c>
      <c r="AL6" s="262">
        <v>3</v>
      </c>
      <c r="AM6" s="262">
        <v>4</v>
      </c>
      <c r="AN6" s="262">
        <v>5</v>
      </c>
      <c r="AO6" s="262">
        <v>2</v>
      </c>
      <c r="AP6" s="262">
        <v>3</v>
      </c>
      <c r="AQ6" s="262">
        <v>4</v>
      </c>
      <c r="AR6" s="262">
        <v>5</v>
      </c>
      <c r="AS6" s="262">
        <v>2</v>
      </c>
      <c r="AT6" s="262">
        <v>3</v>
      </c>
      <c r="AU6" s="262">
        <v>4</v>
      </c>
      <c r="AV6" s="262">
        <v>5</v>
      </c>
      <c r="AW6" s="262">
        <v>2</v>
      </c>
      <c r="AX6" s="262">
        <v>3</v>
      </c>
      <c r="AY6" s="262">
        <v>4</v>
      </c>
      <c r="AZ6" s="262">
        <v>5</v>
      </c>
      <c r="BA6" s="262">
        <v>2</v>
      </c>
      <c r="BB6" s="262">
        <v>3</v>
      </c>
      <c r="BC6" s="262">
        <v>4</v>
      </c>
      <c r="BD6" s="262">
        <v>5</v>
      </c>
      <c r="BE6" s="262">
        <v>2</v>
      </c>
      <c r="BF6" s="262">
        <v>3</v>
      </c>
      <c r="BG6" s="262">
        <v>4</v>
      </c>
      <c r="BH6" s="262">
        <v>5</v>
      </c>
      <c r="BI6" s="262">
        <v>2</v>
      </c>
      <c r="BJ6" s="262">
        <v>3</v>
      </c>
      <c r="BK6" s="262">
        <v>4</v>
      </c>
      <c r="BL6" s="262">
        <v>5</v>
      </c>
      <c r="BM6" s="262">
        <v>2</v>
      </c>
      <c r="BN6" s="262">
        <v>3</v>
      </c>
      <c r="BO6" s="262">
        <v>4</v>
      </c>
      <c r="BP6" s="262">
        <v>5</v>
      </c>
      <c r="BQ6" s="262">
        <v>2</v>
      </c>
      <c r="BR6" s="262">
        <v>3</v>
      </c>
      <c r="BS6" s="262">
        <v>4</v>
      </c>
      <c r="BT6" s="262">
        <v>2</v>
      </c>
      <c r="BU6" s="262">
        <v>3</v>
      </c>
      <c r="BV6" s="262">
        <v>4</v>
      </c>
      <c r="BW6" s="262">
        <v>2</v>
      </c>
      <c r="BX6" s="262">
        <v>3</v>
      </c>
      <c r="BY6" s="262">
        <v>4</v>
      </c>
      <c r="BZ6" s="262">
        <v>5</v>
      </c>
      <c r="CA6" s="262">
        <v>2</v>
      </c>
      <c r="CB6" s="262">
        <v>3</v>
      </c>
      <c r="CC6" s="262">
        <v>4</v>
      </c>
      <c r="CD6" s="262">
        <v>5</v>
      </c>
      <c r="CE6" s="262">
        <v>2</v>
      </c>
      <c r="CF6" s="262">
        <v>3</v>
      </c>
      <c r="CG6" s="262">
        <v>4</v>
      </c>
      <c r="CH6" s="262">
        <v>5</v>
      </c>
      <c r="CI6" s="262">
        <v>2</v>
      </c>
      <c r="CJ6" s="262">
        <v>3</v>
      </c>
      <c r="CK6" s="262">
        <v>4</v>
      </c>
      <c r="CL6" s="262">
        <v>2</v>
      </c>
      <c r="CM6" s="262">
        <v>3</v>
      </c>
      <c r="CN6" s="262">
        <v>4</v>
      </c>
      <c r="CO6" s="262">
        <v>2</v>
      </c>
      <c r="CP6" s="262">
        <v>3</v>
      </c>
      <c r="CQ6" s="262">
        <v>4</v>
      </c>
      <c r="CR6" s="262">
        <v>5</v>
      </c>
      <c r="CS6" s="262">
        <v>2</v>
      </c>
      <c r="CT6" s="262">
        <v>3</v>
      </c>
      <c r="CU6" s="262">
        <v>4</v>
      </c>
      <c r="CV6" s="262">
        <v>5</v>
      </c>
      <c r="CW6" s="262">
        <v>2</v>
      </c>
      <c r="CX6" s="262">
        <v>3</v>
      </c>
      <c r="CY6" s="262">
        <v>4</v>
      </c>
      <c r="CZ6" s="262">
        <v>5</v>
      </c>
      <c r="DA6" s="262">
        <v>2</v>
      </c>
      <c r="DB6" s="262">
        <v>3</v>
      </c>
      <c r="DC6" s="262">
        <v>4</v>
      </c>
      <c r="DD6" s="262">
        <v>5</v>
      </c>
      <c r="DE6" s="262">
        <v>2</v>
      </c>
      <c r="DF6" s="262">
        <v>3</v>
      </c>
      <c r="DG6" s="262">
        <v>4</v>
      </c>
      <c r="DH6" s="262">
        <v>5</v>
      </c>
      <c r="DI6" s="262">
        <v>2</v>
      </c>
      <c r="DJ6" s="262">
        <v>3</v>
      </c>
      <c r="DK6" s="262">
        <v>4</v>
      </c>
      <c r="DL6" s="262">
        <v>5</v>
      </c>
      <c r="DM6" s="262">
        <v>2</v>
      </c>
      <c r="DN6" s="262">
        <v>3</v>
      </c>
      <c r="DO6" s="262">
        <v>4</v>
      </c>
      <c r="DP6" s="262">
        <v>5</v>
      </c>
      <c r="DQ6" s="262">
        <v>2</v>
      </c>
      <c r="DR6" s="262">
        <v>3</v>
      </c>
      <c r="DS6" s="262">
        <v>4</v>
      </c>
      <c r="DT6" s="262">
        <v>2</v>
      </c>
      <c r="DU6" s="262">
        <v>3</v>
      </c>
      <c r="DV6" s="262">
        <v>4</v>
      </c>
      <c r="DW6" s="262">
        <v>2</v>
      </c>
      <c r="DX6" s="262">
        <v>3</v>
      </c>
      <c r="DY6" s="262">
        <v>4</v>
      </c>
      <c r="DZ6" s="262">
        <v>5</v>
      </c>
      <c r="EA6" s="262">
        <v>4</v>
      </c>
      <c r="EB6" s="262">
        <v>2</v>
      </c>
      <c r="EC6" s="262">
        <v>2</v>
      </c>
      <c r="ED6" s="262">
        <v>3</v>
      </c>
      <c r="EE6" s="262">
        <v>4</v>
      </c>
      <c r="EF6" s="262">
        <v>5</v>
      </c>
      <c r="EG6" s="262">
        <v>2</v>
      </c>
      <c r="EH6" s="262">
        <v>3</v>
      </c>
      <c r="EI6" s="262">
        <v>4</v>
      </c>
      <c r="EJ6" s="262">
        <v>5</v>
      </c>
      <c r="EK6" s="262">
        <v>2</v>
      </c>
      <c r="EL6" s="262">
        <v>3</v>
      </c>
      <c r="EM6" s="262">
        <v>4</v>
      </c>
      <c r="EN6" s="262">
        <v>5</v>
      </c>
      <c r="EO6" s="262">
        <v>2</v>
      </c>
      <c r="EP6" s="262">
        <v>3</v>
      </c>
      <c r="EQ6" s="262">
        <v>4</v>
      </c>
      <c r="ER6" s="262">
        <v>2</v>
      </c>
      <c r="ES6" s="262">
        <v>3</v>
      </c>
      <c r="ET6" s="262">
        <v>4</v>
      </c>
      <c r="EU6" s="262">
        <v>2</v>
      </c>
      <c r="EV6" s="262">
        <v>3</v>
      </c>
      <c r="EW6" s="262">
        <v>4</v>
      </c>
      <c r="EX6" s="262">
        <v>5</v>
      </c>
      <c r="EY6" s="262">
        <v>2</v>
      </c>
      <c r="EZ6" s="262">
        <v>3</v>
      </c>
      <c r="FA6" s="262">
        <v>4</v>
      </c>
      <c r="FB6" s="292">
        <v>5</v>
      </c>
      <c r="FC6" s="256"/>
    </row>
    <row r="7" spans="1:33" ht="13.5" thickBot="1">
      <c r="A7" s="153"/>
      <c r="B7" s="154"/>
      <c r="C7" s="162"/>
      <c r="D7" s="243"/>
      <c r="E7" s="244"/>
      <c r="F7" s="244"/>
      <c r="G7" s="245"/>
      <c r="H7" s="246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</row>
    <row r="8" spans="1:160" ht="12.75">
      <c r="A8" s="169">
        <v>1</v>
      </c>
      <c r="B8" s="171" t="s">
        <v>706</v>
      </c>
      <c r="C8" s="257" t="s">
        <v>707</v>
      </c>
      <c r="D8" s="235">
        <v>41639</v>
      </c>
      <c r="E8" s="357">
        <v>43551336</v>
      </c>
      <c r="F8" s="357">
        <v>0</v>
      </c>
      <c r="G8" s="357">
        <v>0</v>
      </c>
      <c r="H8" s="357">
        <v>43551336</v>
      </c>
      <c r="I8" s="357">
        <v>20512679</v>
      </c>
      <c r="J8" s="357">
        <v>0</v>
      </c>
      <c r="K8" s="357">
        <v>0</v>
      </c>
      <c r="L8" s="357">
        <v>121625</v>
      </c>
      <c r="M8" s="357">
        <v>0</v>
      </c>
      <c r="N8" s="357">
        <v>0</v>
      </c>
      <c r="O8" s="357">
        <v>20634304</v>
      </c>
      <c r="P8" s="357">
        <v>0</v>
      </c>
      <c r="Q8" s="357">
        <v>0</v>
      </c>
      <c r="R8" s="357">
        <v>20634304</v>
      </c>
      <c r="S8" s="357">
        <v>478369.02</v>
      </c>
      <c r="T8" s="357">
        <v>0</v>
      </c>
      <c r="U8" s="357">
        <v>0</v>
      </c>
      <c r="V8" s="357">
        <v>478369.02</v>
      </c>
      <c r="W8" s="357">
        <v>0</v>
      </c>
      <c r="X8" s="357">
        <v>0</v>
      </c>
      <c r="Y8" s="357">
        <v>0</v>
      </c>
      <c r="Z8" s="357">
        <v>0</v>
      </c>
      <c r="AA8" s="357">
        <v>478369.02</v>
      </c>
      <c r="AB8" s="357">
        <v>0</v>
      </c>
      <c r="AC8" s="357">
        <v>0</v>
      </c>
      <c r="AD8" s="357">
        <v>0</v>
      </c>
      <c r="AE8" s="357">
        <v>0</v>
      </c>
      <c r="AF8" s="357">
        <v>0</v>
      </c>
      <c r="AG8" s="357">
        <v>478369.02</v>
      </c>
      <c r="AH8" s="357">
        <v>0</v>
      </c>
      <c r="AI8" s="357">
        <v>0</v>
      </c>
      <c r="AJ8" s="357">
        <v>478369.02</v>
      </c>
      <c r="AK8" s="357">
        <v>478369.02</v>
      </c>
      <c r="AL8" s="357">
        <v>0</v>
      </c>
      <c r="AM8" s="357">
        <v>0</v>
      </c>
      <c r="AN8" s="357">
        <v>478369.02</v>
      </c>
      <c r="AO8" s="357">
        <v>1096203.9</v>
      </c>
      <c r="AP8" s="357">
        <v>0</v>
      </c>
      <c r="AQ8" s="357">
        <v>0</v>
      </c>
      <c r="AR8" s="357">
        <v>1096203.9</v>
      </c>
      <c r="AS8" s="357">
        <v>10962.04</v>
      </c>
      <c r="AT8" s="357">
        <v>0</v>
      </c>
      <c r="AU8" s="357">
        <v>0</v>
      </c>
      <c r="AV8" s="357">
        <v>10962.04</v>
      </c>
      <c r="AW8" s="357">
        <v>395395.89</v>
      </c>
      <c r="AX8" s="357">
        <v>0</v>
      </c>
      <c r="AY8" s="357">
        <v>0</v>
      </c>
      <c r="AZ8" s="357">
        <v>395395.89</v>
      </c>
      <c r="BA8" s="357">
        <v>700808.01</v>
      </c>
      <c r="BB8" s="357">
        <v>0</v>
      </c>
      <c r="BC8" s="357">
        <v>0</v>
      </c>
      <c r="BD8" s="357">
        <v>700808.01</v>
      </c>
      <c r="BE8" s="357">
        <v>1198930.71</v>
      </c>
      <c r="BF8" s="357">
        <v>0</v>
      </c>
      <c r="BG8" s="357">
        <v>0</v>
      </c>
      <c r="BH8" s="357">
        <v>1198930.71</v>
      </c>
      <c r="BI8" s="357">
        <v>64638.13</v>
      </c>
      <c r="BJ8" s="357">
        <v>0</v>
      </c>
      <c r="BK8" s="357">
        <v>0</v>
      </c>
      <c r="BL8" s="357">
        <v>64638.13</v>
      </c>
      <c r="BM8" s="357">
        <v>0</v>
      </c>
      <c r="BN8" s="357">
        <v>0</v>
      </c>
      <c r="BO8" s="357">
        <v>0</v>
      </c>
      <c r="BP8" s="357">
        <v>0</v>
      </c>
      <c r="BQ8" s="357">
        <v>1964376.85</v>
      </c>
      <c r="BR8" s="357">
        <v>0</v>
      </c>
      <c r="BS8" s="357">
        <v>0</v>
      </c>
      <c r="BT8" s="357">
        <v>21924.08</v>
      </c>
      <c r="BU8" s="357">
        <v>0</v>
      </c>
      <c r="BV8" s="357">
        <v>0</v>
      </c>
      <c r="BW8" s="357">
        <v>1986300.93</v>
      </c>
      <c r="BX8" s="357">
        <v>0</v>
      </c>
      <c r="BY8" s="357">
        <v>0</v>
      </c>
      <c r="BZ8" s="357">
        <v>1986300.93</v>
      </c>
      <c r="CA8" s="357">
        <v>2000</v>
      </c>
      <c r="CB8" s="357">
        <v>0</v>
      </c>
      <c r="CC8" s="357">
        <v>0</v>
      </c>
      <c r="CD8" s="357">
        <v>2000</v>
      </c>
      <c r="CE8" s="357">
        <v>465782.89</v>
      </c>
      <c r="CF8" s="357">
        <v>0</v>
      </c>
      <c r="CG8" s="357">
        <v>0</v>
      </c>
      <c r="CH8" s="357">
        <v>465782.89</v>
      </c>
      <c r="CI8" s="357">
        <v>467782.89</v>
      </c>
      <c r="CJ8" s="357">
        <v>0</v>
      </c>
      <c r="CK8" s="357">
        <v>0</v>
      </c>
      <c r="CL8" s="357">
        <v>0</v>
      </c>
      <c r="CM8" s="357">
        <v>0</v>
      </c>
      <c r="CN8" s="357">
        <v>0</v>
      </c>
      <c r="CO8" s="357">
        <v>467782.89</v>
      </c>
      <c r="CP8" s="357">
        <v>0</v>
      </c>
      <c r="CQ8" s="357">
        <v>0</v>
      </c>
      <c r="CR8" s="357">
        <v>467782.89</v>
      </c>
      <c r="CS8" s="357">
        <v>30823.99</v>
      </c>
      <c r="CT8" s="357">
        <v>0</v>
      </c>
      <c r="CU8" s="357">
        <v>0</v>
      </c>
      <c r="CV8" s="357">
        <v>30823.99</v>
      </c>
      <c r="CW8" s="357">
        <v>1884</v>
      </c>
      <c r="CX8" s="357">
        <v>0</v>
      </c>
      <c r="CY8" s="357">
        <v>0</v>
      </c>
      <c r="CZ8" s="357">
        <v>1884</v>
      </c>
      <c r="DA8" s="357">
        <v>0</v>
      </c>
      <c r="DB8" s="357">
        <v>0</v>
      </c>
      <c r="DC8" s="357">
        <v>0</v>
      </c>
      <c r="DD8" s="357">
        <v>0</v>
      </c>
      <c r="DE8" s="357">
        <v>0</v>
      </c>
      <c r="DF8" s="357">
        <v>0</v>
      </c>
      <c r="DG8" s="357">
        <v>0</v>
      </c>
      <c r="DH8" s="357">
        <v>0</v>
      </c>
      <c r="DI8" s="357">
        <v>0</v>
      </c>
      <c r="DJ8" s="357">
        <v>0</v>
      </c>
      <c r="DK8" s="357">
        <v>0</v>
      </c>
      <c r="DL8" s="357">
        <v>0</v>
      </c>
      <c r="DM8" s="357">
        <v>0</v>
      </c>
      <c r="DN8" s="357">
        <v>0</v>
      </c>
      <c r="DO8" s="357">
        <v>0</v>
      </c>
      <c r="DP8" s="357">
        <v>0</v>
      </c>
      <c r="DQ8" s="357">
        <v>32707.99</v>
      </c>
      <c r="DR8" s="357">
        <v>0</v>
      </c>
      <c r="DS8" s="357">
        <v>0</v>
      </c>
      <c r="DT8" s="357">
        <v>0</v>
      </c>
      <c r="DU8" s="357">
        <v>0</v>
      </c>
      <c r="DV8" s="357">
        <v>0</v>
      </c>
      <c r="DW8" s="357">
        <v>32707.99</v>
      </c>
      <c r="DX8" s="357">
        <v>0</v>
      </c>
      <c r="DY8" s="357">
        <v>0</v>
      </c>
      <c r="DZ8" s="357">
        <v>32707.99</v>
      </c>
      <c r="EA8" s="357">
        <v>0</v>
      </c>
      <c r="EB8" s="357">
        <v>0</v>
      </c>
      <c r="EC8" s="357">
        <v>4657.83</v>
      </c>
      <c r="ED8" s="357">
        <v>0</v>
      </c>
      <c r="EE8" s="357">
        <v>0</v>
      </c>
      <c r="EF8" s="357">
        <v>4657.83</v>
      </c>
      <c r="EG8" s="357">
        <v>2000</v>
      </c>
      <c r="EH8" s="357">
        <v>0</v>
      </c>
      <c r="EI8" s="357">
        <v>0</v>
      </c>
      <c r="EJ8" s="357">
        <v>2000</v>
      </c>
      <c r="EK8" s="357">
        <v>249589.45</v>
      </c>
      <c r="EL8" s="357">
        <v>0</v>
      </c>
      <c r="EM8" s="357">
        <v>0</v>
      </c>
      <c r="EN8" s="357">
        <v>249589.45</v>
      </c>
      <c r="EO8" s="357">
        <v>256247.28</v>
      </c>
      <c r="EP8" s="357">
        <v>0</v>
      </c>
      <c r="EQ8" s="357">
        <v>0</v>
      </c>
      <c r="ER8" s="357">
        <v>0</v>
      </c>
      <c r="ES8" s="357">
        <v>0</v>
      </c>
      <c r="ET8" s="357">
        <v>0</v>
      </c>
      <c r="EU8" s="357">
        <v>256247.28</v>
      </c>
      <c r="EV8" s="357">
        <v>0</v>
      </c>
      <c r="EW8" s="357">
        <v>0</v>
      </c>
      <c r="EX8" s="357">
        <v>256247.28</v>
      </c>
      <c r="EY8" s="357">
        <v>17412895.9</v>
      </c>
      <c r="EZ8" s="357">
        <v>0</v>
      </c>
      <c r="FA8" s="357">
        <v>0</v>
      </c>
      <c r="FB8" s="357">
        <v>17412895.9</v>
      </c>
      <c r="FC8" s="277">
        <v>0</v>
      </c>
      <c r="FD8" s="205"/>
    </row>
    <row r="9" spans="1:160" ht="12.75">
      <c r="A9" s="169">
        <v>2</v>
      </c>
      <c r="B9" s="172" t="s">
        <v>708</v>
      </c>
      <c r="C9" s="258" t="s">
        <v>709</v>
      </c>
      <c r="D9" s="235">
        <v>150114</v>
      </c>
      <c r="E9" s="357">
        <v>70031729</v>
      </c>
      <c r="F9" s="357">
        <v>0</v>
      </c>
      <c r="G9" s="357">
        <v>0</v>
      </c>
      <c r="H9" s="357">
        <v>70031729</v>
      </c>
      <c r="I9" s="357">
        <v>32984944</v>
      </c>
      <c r="J9" s="357">
        <v>0</v>
      </c>
      <c r="K9" s="357">
        <v>0</v>
      </c>
      <c r="L9" s="357">
        <v>215855</v>
      </c>
      <c r="M9" s="357">
        <v>0</v>
      </c>
      <c r="N9" s="357">
        <v>0</v>
      </c>
      <c r="O9" s="357">
        <v>33200799</v>
      </c>
      <c r="P9" s="357">
        <v>0</v>
      </c>
      <c r="Q9" s="357">
        <v>0</v>
      </c>
      <c r="R9" s="357">
        <v>33200799</v>
      </c>
      <c r="S9" s="357">
        <v>94174</v>
      </c>
      <c r="T9" s="357">
        <v>0</v>
      </c>
      <c r="U9" s="357">
        <v>0</v>
      </c>
      <c r="V9" s="357">
        <v>94174</v>
      </c>
      <c r="W9" s="357">
        <v>3851</v>
      </c>
      <c r="X9" s="357">
        <v>0</v>
      </c>
      <c r="Y9" s="357">
        <v>0</v>
      </c>
      <c r="Z9" s="357">
        <v>3851</v>
      </c>
      <c r="AA9" s="357">
        <v>90323</v>
      </c>
      <c r="AB9" s="357">
        <v>0</v>
      </c>
      <c r="AC9" s="357">
        <v>0</v>
      </c>
      <c r="AD9" s="357">
        <v>0</v>
      </c>
      <c r="AE9" s="357">
        <v>0</v>
      </c>
      <c r="AF9" s="357">
        <v>0</v>
      </c>
      <c r="AG9" s="357">
        <v>90323</v>
      </c>
      <c r="AH9" s="357">
        <v>0</v>
      </c>
      <c r="AI9" s="357">
        <v>0</v>
      </c>
      <c r="AJ9" s="357">
        <v>90323</v>
      </c>
      <c r="AK9" s="357">
        <v>90323</v>
      </c>
      <c r="AL9" s="357">
        <v>0</v>
      </c>
      <c r="AM9" s="357">
        <v>0</v>
      </c>
      <c r="AN9" s="357">
        <v>90323</v>
      </c>
      <c r="AO9" s="357">
        <v>3131012</v>
      </c>
      <c r="AP9" s="357">
        <v>0</v>
      </c>
      <c r="AQ9" s="357">
        <v>0</v>
      </c>
      <c r="AR9" s="357">
        <v>3131012</v>
      </c>
      <c r="AS9" s="357">
        <v>23550</v>
      </c>
      <c r="AT9" s="357">
        <v>0</v>
      </c>
      <c r="AU9" s="357">
        <v>0</v>
      </c>
      <c r="AV9" s="357">
        <v>23550</v>
      </c>
      <c r="AW9" s="357">
        <v>587364</v>
      </c>
      <c r="AX9" s="357">
        <v>0</v>
      </c>
      <c r="AY9" s="357">
        <v>0</v>
      </c>
      <c r="AZ9" s="357">
        <v>587364</v>
      </c>
      <c r="BA9" s="357">
        <v>2543648</v>
      </c>
      <c r="BB9" s="357">
        <v>0</v>
      </c>
      <c r="BC9" s="357">
        <v>0</v>
      </c>
      <c r="BD9" s="357">
        <v>2543648</v>
      </c>
      <c r="BE9" s="357">
        <v>1416711</v>
      </c>
      <c r="BF9" s="357">
        <v>0</v>
      </c>
      <c r="BG9" s="357">
        <v>0</v>
      </c>
      <c r="BH9" s="357">
        <v>1416711</v>
      </c>
      <c r="BI9" s="357">
        <v>65767</v>
      </c>
      <c r="BJ9" s="357">
        <v>0</v>
      </c>
      <c r="BK9" s="357">
        <v>0</v>
      </c>
      <c r="BL9" s="357">
        <v>65767</v>
      </c>
      <c r="BM9" s="357">
        <v>37370</v>
      </c>
      <c r="BN9" s="357">
        <v>0</v>
      </c>
      <c r="BO9" s="357">
        <v>0</v>
      </c>
      <c r="BP9" s="357">
        <v>37370</v>
      </c>
      <c r="BQ9" s="357">
        <v>4063496</v>
      </c>
      <c r="BR9" s="357">
        <v>0</v>
      </c>
      <c r="BS9" s="357">
        <v>0</v>
      </c>
      <c r="BT9" s="357">
        <v>40185</v>
      </c>
      <c r="BU9" s="357">
        <v>0</v>
      </c>
      <c r="BV9" s="357">
        <v>0</v>
      </c>
      <c r="BW9" s="357">
        <v>4103681</v>
      </c>
      <c r="BX9" s="357">
        <v>0</v>
      </c>
      <c r="BY9" s="357">
        <v>0</v>
      </c>
      <c r="BZ9" s="357">
        <v>4103681</v>
      </c>
      <c r="CA9" s="357">
        <v>0</v>
      </c>
      <c r="CB9" s="357">
        <v>0</v>
      </c>
      <c r="CC9" s="357">
        <v>0</v>
      </c>
      <c r="CD9" s="357">
        <v>0</v>
      </c>
      <c r="CE9" s="357">
        <v>930541</v>
      </c>
      <c r="CF9" s="357">
        <v>0</v>
      </c>
      <c r="CG9" s="357">
        <v>0</v>
      </c>
      <c r="CH9" s="357">
        <v>930541</v>
      </c>
      <c r="CI9" s="357">
        <v>930541</v>
      </c>
      <c r="CJ9" s="357">
        <v>0</v>
      </c>
      <c r="CK9" s="357">
        <v>0</v>
      </c>
      <c r="CL9" s="357">
        <v>0</v>
      </c>
      <c r="CM9" s="357">
        <v>0</v>
      </c>
      <c r="CN9" s="357">
        <v>0</v>
      </c>
      <c r="CO9" s="357">
        <v>930541</v>
      </c>
      <c r="CP9" s="357">
        <v>0</v>
      </c>
      <c r="CQ9" s="357">
        <v>0</v>
      </c>
      <c r="CR9" s="357">
        <v>930541</v>
      </c>
      <c r="CS9" s="357">
        <v>108829</v>
      </c>
      <c r="CT9" s="357">
        <v>0</v>
      </c>
      <c r="CU9" s="357">
        <v>0</v>
      </c>
      <c r="CV9" s="357">
        <v>108829</v>
      </c>
      <c r="CW9" s="357">
        <v>78848</v>
      </c>
      <c r="CX9" s="357">
        <v>0</v>
      </c>
      <c r="CY9" s="357">
        <v>0</v>
      </c>
      <c r="CZ9" s="357">
        <v>78848</v>
      </c>
      <c r="DA9" s="357">
        <v>1205</v>
      </c>
      <c r="DB9" s="357">
        <v>0</v>
      </c>
      <c r="DC9" s="357">
        <v>0</v>
      </c>
      <c r="DD9" s="357">
        <v>1205</v>
      </c>
      <c r="DE9" s="357">
        <v>2097</v>
      </c>
      <c r="DF9" s="357">
        <v>0</v>
      </c>
      <c r="DG9" s="357">
        <v>0</v>
      </c>
      <c r="DH9" s="357">
        <v>2097</v>
      </c>
      <c r="DI9" s="357">
        <v>0</v>
      </c>
      <c r="DJ9" s="357">
        <v>0</v>
      </c>
      <c r="DK9" s="357">
        <v>0</v>
      </c>
      <c r="DL9" s="357">
        <v>0</v>
      </c>
      <c r="DM9" s="357">
        <v>0</v>
      </c>
      <c r="DN9" s="357">
        <v>0</v>
      </c>
      <c r="DO9" s="357">
        <v>0</v>
      </c>
      <c r="DP9" s="357">
        <v>0</v>
      </c>
      <c r="DQ9" s="357">
        <v>190979</v>
      </c>
      <c r="DR9" s="357">
        <v>0</v>
      </c>
      <c r="DS9" s="357">
        <v>0</v>
      </c>
      <c r="DT9" s="357">
        <v>0</v>
      </c>
      <c r="DU9" s="357">
        <v>0</v>
      </c>
      <c r="DV9" s="357">
        <v>0</v>
      </c>
      <c r="DW9" s="357">
        <v>190979</v>
      </c>
      <c r="DX9" s="357">
        <v>0</v>
      </c>
      <c r="DY9" s="357">
        <v>0</v>
      </c>
      <c r="DZ9" s="357">
        <v>190979</v>
      </c>
      <c r="EA9" s="357">
        <v>0</v>
      </c>
      <c r="EB9" s="357">
        <v>0</v>
      </c>
      <c r="EC9" s="357">
        <v>0</v>
      </c>
      <c r="ED9" s="357">
        <v>0</v>
      </c>
      <c r="EE9" s="357">
        <v>0</v>
      </c>
      <c r="EF9" s="357">
        <v>0</v>
      </c>
      <c r="EG9" s="357">
        <v>5000</v>
      </c>
      <c r="EH9" s="357">
        <v>0</v>
      </c>
      <c r="EI9" s="357">
        <v>0</v>
      </c>
      <c r="EJ9" s="357">
        <v>5000</v>
      </c>
      <c r="EK9" s="357">
        <v>633565</v>
      </c>
      <c r="EL9" s="357">
        <v>0</v>
      </c>
      <c r="EM9" s="357">
        <v>0</v>
      </c>
      <c r="EN9" s="357">
        <v>633565</v>
      </c>
      <c r="EO9" s="357">
        <v>638565</v>
      </c>
      <c r="EP9" s="357">
        <v>0</v>
      </c>
      <c r="EQ9" s="357">
        <v>0</v>
      </c>
      <c r="ER9" s="357">
        <v>0</v>
      </c>
      <c r="ES9" s="357">
        <v>0</v>
      </c>
      <c r="ET9" s="357">
        <v>0</v>
      </c>
      <c r="EU9" s="357">
        <v>638565</v>
      </c>
      <c r="EV9" s="357">
        <v>0</v>
      </c>
      <c r="EW9" s="357">
        <v>0</v>
      </c>
      <c r="EX9" s="357">
        <v>638565</v>
      </c>
      <c r="EY9" s="357">
        <v>27246710</v>
      </c>
      <c r="EZ9" s="357">
        <v>0</v>
      </c>
      <c r="FA9" s="357">
        <v>0</v>
      </c>
      <c r="FB9" s="357">
        <v>27246710</v>
      </c>
      <c r="FC9" s="277">
        <v>0</v>
      </c>
      <c r="FD9" s="205"/>
    </row>
    <row r="10" spans="1:160" ht="12.75">
      <c r="A10" s="169">
        <v>3</v>
      </c>
      <c r="B10" s="172" t="s">
        <v>710</v>
      </c>
      <c r="C10" s="258" t="s">
        <v>711</v>
      </c>
      <c r="D10" s="235">
        <v>41547</v>
      </c>
      <c r="E10" s="357">
        <v>78717019</v>
      </c>
      <c r="F10" s="357">
        <v>0</v>
      </c>
      <c r="G10" s="357">
        <v>0</v>
      </c>
      <c r="H10" s="357">
        <v>78717019</v>
      </c>
      <c r="I10" s="357">
        <v>37075716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37075716</v>
      </c>
      <c r="P10" s="357">
        <v>0</v>
      </c>
      <c r="Q10" s="357">
        <v>0</v>
      </c>
      <c r="R10" s="357">
        <v>37075716</v>
      </c>
      <c r="S10" s="357">
        <v>55058</v>
      </c>
      <c r="T10" s="357">
        <v>0</v>
      </c>
      <c r="U10" s="357">
        <v>0</v>
      </c>
      <c r="V10" s="357">
        <v>55058</v>
      </c>
      <c r="W10" s="357">
        <v>12702</v>
      </c>
      <c r="X10" s="357">
        <v>0</v>
      </c>
      <c r="Y10" s="357">
        <v>0</v>
      </c>
      <c r="Z10" s="357">
        <v>12702</v>
      </c>
      <c r="AA10" s="357">
        <v>42356</v>
      </c>
      <c r="AB10" s="357">
        <v>0</v>
      </c>
      <c r="AC10" s="357">
        <v>0</v>
      </c>
      <c r="AD10" s="357">
        <v>0</v>
      </c>
      <c r="AE10" s="357">
        <v>0</v>
      </c>
      <c r="AF10" s="357">
        <v>0</v>
      </c>
      <c r="AG10" s="357">
        <v>42356</v>
      </c>
      <c r="AH10" s="357">
        <v>0</v>
      </c>
      <c r="AI10" s="357">
        <v>0</v>
      </c>
      <c r="AJ10" s="357">
        <v>42356</v>
      </c>
      <c r="AK10" s="357">
        <v>42356</v>
      </c>
      <c r="AL10" s="357">
        <v>0</v>
      </c>
      <c r="AM10" s="357">
        <v>0</v>
      </c>
      <c r="AN10" s="357">
        <v>42356</v>
      </c>
      <c r="AO10" s="357">
        <v>2512743</v>
      </c>
      <c r="AP10" s="357">
        <v>0</v>
      </c>
      <c r="AQ10" s="357">
        <v>0</v>
      </c>
      <c r="AR10" s="357">
        <v>2512743</v>
      </c>
      <c r="AS10" s="357">
        <v>25000</v>
      </c>
      <c r="AT10" s="357">
        <v>0</v>
      </c>
      <c r="AU10" s="357">
        <v>0</v>
      </c>
      <c r="AV10" s="357">
        <v>25000</v>
      </c>
      <c r="AW10" s="357">
        <v>709683</v>
      </c>
      <c r="AX10" s="357">
        <v>0</v>
      </c>
      <c r="AY10" s="357">
        <v>0</v>
      </c>
      <c r="AZ10" s="357">
        <v>709683</v>
      </c>
      <c r="BA10" s="357">
        <v>1803060</v>
      </c>
      <c r="BB10" s="357">
        <v>0</v>
      </c>
      <c r="BC10" s="357">
        <v>0</v>
      </c>
      <c r="BD10" s="357">
        <v>1803060</v>
      </c>
      <c r="BE10" s="357">
        <v>1637983</v>
      </c>
      <c r="BF10" s="357">
        <v>0</v>
      </c>
      <c r="BG10" s="357">
        <v>0</v>
      </c>
      <c r="BH10" s="357">
        <v>1637983</v>
      </c>
      <c r="BI10" s="357">
        <v>40687</v>
      </c>
      <c r="BJ10" s="357">
        <v>0</v>
      </c>
      <c r="BK10" s="357">
        <v>0</v>
      </c>
      <c r="BL10" s="357">
        <v>40687</v>
      </c>
      <c r="BM10" s="357">
        <v>20918</v>
      </c>
      <c r="BN10" s="357">
        <v>0</v>
      </c>
      <c r="BO10" s="357">
        <v>0</v>
      </c>
      <c r="BP10" s="357">
        <v>20918</v>
      </c>
      <c r="BQ10" s="357">
        <v>3502648</v>
      </c>
      <c r="BR10" s="357">
        <v>0</v>
      </c>
      <c r="BS10" s="357">
        <v>0</v>
      </c>
      <c r="BT10" s="357">
        <v>0</v>
      </c>
      <c r="BU10" s="357">
        <v>0</v>
      </c>
      <c r="BV10" s="357">
        <v>0</v>
      </c>
      <c r="BW10" s="357">
        <v>3502648</v>
      </c>
      <c r="BX10" s="357">
        <v>0</v>
      </c>
      <c r="BY10" s="357">
        <v>0</v>
      </c>
      <c r="BZ10" s="357">
        <v>3502648</v>
      </c>
      <c r="CA10" s="357">
        <v>85500</v>
      </c>
      <c r="CB10" s="357">
        <v>0</v>
      </c>
      <c r="CC10" s="357">
        <v>0</v>
      </c>
      <c r="CD10" s="357">
        <v>85500</v>
      </c>
      <c r="CE10" s="357">
        <v>1296726</v>
      </c>
      <c r="CF10" s="357">
        <v>0</v>
      </c>
      <c r="CG10" s="357">
        <v>0</v>
      </c>
      <c r="CH10" s="357">
        <v>1296726</v>
      </c>
      <c r="CI10" s="357">
        <v>1382226</v>
      </c>
      <c r="CJ10" s="357">
        <v>0</v>
      </c>
      <c r="CK10" s="357">
        <v>0</v>
      </c>
      <c r="CL10" s="357">
        <v>0</v>
      </c>
      <c r="CM10" s="357">
        <v>0</v>
      </c>
      <c r="CN10" s="357">
        <v>0</v>
      </c>
      <c r="CO10" s="357">
        <v>1382226</v>
      </c>
      <c r="CP10" s="357">
        <v>0</v>
      </c>
      <c r="CQ10" s="357">
        <v>0</v>
      </c>
      <c r="CR10" s="357">
        <v>1382226</v>
      </c>
      <c r="CS10" s="357">
        <v>45204</v>
      </c>
      <c r="CT10" s="357">
        <v>0</v>
      </c>
      <c r="CU10" s="357">
        <v>0</v>
      </c>
      <c r="CV10" s="357">
        <v>45204</v>
      </c>
      <c r="CW10" s="357">
        <v>65675</v>
      </c>
      <c r="CX10" s="357">
        <v>0</v>
      </c>
      <c r="CY10" s="357">
        <v>0</v>
      </c>
      <c r="CZ10" s="357">
        <v>65675</v>
      </c>
      <c r="DA10" s="357">
        <v>0</v>
      </c>
      <c r="DB10" s="357">
        <v>0</v>
      </c>
      <c r="DC10" s="357">
        <v>0</v>
      </c>
      <c r="DD10" s="357">
        <v>0</v>
      </c>
      <c r="DE10" s="357">
        <v>20918</v>
      </c>
      <c r="DF10" s="357">
        <v>0</v>
      </c>
      <c r="DG10" s="357">
        <v>0</v>
      </c>
      <c r="DH10" s="357">
        <v>20918</v>
      </c>
      <c r="DI10" s="357">
        <v>2083</v>
      </c>
      <c r="DJ10" s="357">
        <v>0</v>
      </c>
      <c r="DK10" s="357">
        <v>0</v>
      </c>
      <c r="DL10" s="357">
        <v>2083</v>
      </c>
      <c r="DM10" s="357">
        <v>0</v>
      </c>
      <c r="DN10" s="357">
        <v>0</v>
      </c>
      <c r="DO10" s="357">
        <v>0</v>
      </c>
      <c r="DP10" s="357">
        <v>0</v>
      </c>
      <c r="DQ10" s="357">
        <v>133880</v>
      </c>
      <c r="DR10" s="357">
        <v>0</v>
      </c>
      <c r="DS10" s="357">
        <v>0</v>
      </c>
      <c r="DT10" s="357">
        <v>0</v>
      </c>
      <c r="DU10" s="357">
        <v>0</v>
      </c>
      <c r="DV10" s="357">
        <v>0</v>
      </c>
      <c r="DW10" s="357">
        <v>133880</v>
      </c>
      <c r="DX10" s="357">
        <v>0</v>
      </c>
      <c r="DY10" s="357">
        <v>0</v>
      </c>
      <c r="DZ10" s="357">
        <v>133880</v>
      </c>
      <c r="EA10" s="357">
        <v>0</v>
      </c>
      <c r="EB10" s="357">
        <v>0</v>
      </c>
      <c r="EC10" s="357">
        <v>0</v>
      </c>
      <c r="ED10" s="357">
        <v>0</v>
      </c>
      <c r="EE10" s="357">
        <v>0</v>
      </c>
      <c r="EF10" s="357">
        <v>0</v>
      </c>
      <c r="EG10" s="357">
        <v>20000</v>
      </c>
      <c r="EH10" s="357">
        <v>0</v>
      </c>
      <c r="EI10" s="357">
        <v>0</v>
      </c>
      <c r="EJ10" s="357">
        <v>20000</v>
      </c>
      <c r="EK10" s="357">
        <v>600000</v>
      </c>
      <c r="EL10" s="357">
        <v>0</v>
      </c>
      <c r="EM10" s="357">
        <v>0</v>
      </c>
      <c r="EN10" s="357">
        <v>600000</v>
      </c>
      <c r="EO10" s="357">
        <v>620000</v>
      </c>
      <c r="EP10" s="357">
        <v>0</v>
      </c>
      <c r="EQ10" s="357">
        <v>0</v>
      </c>
      <c r="ER10" s="357">
        <v>0</v>
      </c>
      <c r="ES10" s="357">
        <v>0</v>
      </c>
      <c r="ET10" s="357">
        <v>0</v>
      </c>
      <c r="EU10" s="357">
        <v>620000</v>
      </c>
      <c r="EV10" s="357">
        <v>0</v>
      </c>
      <c r="EW10" s="357">
        <v>0</v>
      </c>
      <c r="EX10" s="357">
        <v>620000</v>
      </c>
      <c r="EY10" s="357">
        <v>31394606</v>
      </c>
      <c r="EZ10" s="357">
        <v>0</v>
      </c>
      <c r="FA10" s="357">
        <v>0</v>
      </c>
      <c r="FB10" s="357">
        <v>31394606</v>
      </c>
      <c r="FC10" s="277">
        <v>0</v>
      </c>
      <c r="FD10" s="205"/>
    </row>
    <row r="11" spans="1:160" ht="12.75">
      <c r="A11" s="169">
        <v>4</v>
      </c>
      <c r="B11" s="172" t="s">
        <v>712</v>
      </c>
      <c r="C11" s="258" t="s">
        <v>713</v>
      </c>
      <c r="D11" s="235">
        <v>41547</v>
      </c>
      <c r="E11" s="357">
        <v>83696608</v>
      </c>
      <c r="F11" s="357">
        <v>0</v>
      </c>
      <c r="G11" s="357">
        <v>0</v>
      </c>
      <c r="H11" s="357">
        <v>83696608</v>
      </c>
      <c r="I11" s="357">
        <v>39421102</v>
      </c>
      <c r="J11" s="357">
        <v>0</v>
      </c>
      <c r="K11" s="357">
        <v>0</v>
      </c>
      <c r="L11" s="357">
        <v>1185720</v>
      </c>
      <c r="M11" s="357">
        <v>0</v>
      </c>
      <c r="N11" s="357">
        <v>0</v>
      </c>
      <c r="O11" s="357">
        <v>40606822</v>
      </c>
      <c r="P11" s="357">
        <v>0</v>
      </c>
      <c r="Q11" s="357">
        <v>0</v>
      </c>
      <c r="R11" s="357">
        <v>40606822</v>
      </c>
      <c r="S11" s="357">
        <v>29394</v>
      </c>
      <c r="T11" s="357">
        <v>0</v>
      </c>
      <c r="U11" s="357">
        <v>0</v>
      </c>
      <c r="V11" s="357">
        <v>29394</v>
      </c>
      <c r="W11" s="357">
        <v>14925</v>
      </c>
      <c r="X11" s="357">
        <v>0</v>
      </c>
      <c r="Y11" s="357">
        <v>0</v>
      </c>
      <c r="Z11" s="357">
        <v>14925</v>
      </c>
      <c r="AA11" s="357">
        <v>14469</v>
      </c>
      <c r="AB11" s="357">
        <v>0</v>
      </c>
      <c r="AC11" s="357">
        <v>0</v>
      </c>
      <c r="AD11" s="357">
        <v>0</v>
      </c>
      <c r="AE11" s="357">
        <v>0</v>
      </c>
      <c r="AF11" s="357">
        <v>0</v>
      </c>
      <c r="AG11" s="357">
        <v>14469</v>
      </c>
      <c r="AH11" s="357">
        <v>0</v>
      </c>
      <c r="AI11" s="357">
        <v>0</v>
      </c>
      <c r="AJ11" s="357">
        <v>14469</v>
      </c>
      <c r="AK11" s="357">
        <v>14469</v>
      </c>
      <c r="AL11" s="357">
        <v>0</v>
      </c>
      <c r="AM11" s="357">
        <v>0</v>
      </c>
      <c r="AN11" s="357">
        <v>14469</v>
      </c>
      <c r="AO11" s="357">
        <v>3042339.2</v>
      </c>
      <c r="AP11" s="357">
        <v>0</v>
      </c>
      <c r="AQ11" s="357">
        <v>0</v>
      </c>
      <c r="AR11" s="357">
        <v>3042339.2</v>
      </c>
      <c r="AS11" s="357">
        <v>0</v>
      </c>
      <c r="AT11" s="357">
        <v>0</v>
      </c>
      <c r="AU11" s="357">
        <v>0</v>
      </c>
      <c r="AV11" s="357">
        <v>0</v>
      </c>
      <c r="AW11" s="357">
        <v>729164</v>
      </c>
      <c r="AX11" s="357">
        <v>0</v>
      </c>
      <c r="AY11" s="357">
        <v>0</v>
      </c>
      <c r="AZ11" s="357">
        <v>729164</v>
      </c>
      <c r="BA11" s="357">
        <v>2313175.2</v>
      </c>
      <c r="BB11" s="357">
        <v>0</v>
      </c>
      <c r="BC11" s="357">
        <v>0</v>
      </c>
      <c r="BD11" s="357">
        <v>2313175.2</v>
      </c>
      <c r="BE11" s="357">
        <v>2499845.44</v>
      </c>
      <c r="BF11" s="357">
        <v>0</v>
      </c>
      <c r="BG11" s="357">
        <v>0</v>
      </c>
      <c r="BH11" s="357">
        <v>2499845.44</v>
      </c>
      <c r="BI11" s="357">
        <v>81761</v>
      </c>
      <c r="BJ11" s="357">
        <v>0</v>
      </c>
      <c r="BK11" s="357">
        <v>0</v>
      </c>
      <c r="BL11" s="357">
        <v>81761</v>
      </c>
      <c r="BM11" s="357">
        <v>7338</v>
      </c>
      <c r="BN11" s="357">
        <v>0</v>
      </c>
      <c r="BO11" s="357">
        <v>0</v>
      </c>
      <c r="BP11" s="357">
        <v>7338</v>
      </c>
      <c r="BQ11" s="357">
        <v>4902119.64</v>
      </c>
      <c r="BR11" s="357">
        <v>0</v>
      </c>
      <c r="BS11" s="357">
        <v>0</v>
      </c>
      <c r="BT11" s="357">
        <v>0</v>
      </c>
      <c r="BU11" s="357">
        <v>0</v>
      </c>
      <c r="BV11" s="357">
        <v>0</v>
      </c>
      <c r="BW11" s="357">
        <v>4902119.64</v>
      </c>
      <c r="BX11" s="357">
        <v>0</v>
      </c>
      <c r="BY11" s="357">
        <v>0</v>
      </c>
      <c r="BZ11" s="357">
        <v>4902119.64</v>
      </c>
      <c r="CA11" s="357">
        <v>0</v>
      </c>
      <c r="CB11" s="357">
        <v>0</v>
      </c>
      <c r="CC11" s="357">
        <v>0</v>
      </c>
      <c r="CD11" s="357">
        <v>0</v>
      </c>
      <c r="CE11" s="357">
        <v>417624.44</v>
      </c>
      <c r="CF11" s="357">
        <v>0</v>
      </c>
      <c r="CG11" s="357">
        <v>0</v>
      </c>
      <c r="CH11" s="357">
        <v>417624.44</v>
      </c>
      <c r="CI11" s="357">
        <v>417624.44</v>
      </c>
      <c r="CJ11" s="357">
        <v>0</v>
      </c>
      <c r="CK11" s="357">
        <v>0</v>
      </c>
      <c r="CL11" s="357">
        <v>0</v>
      </c>
      <c r="CM11" s="357">
        <v>0</v>
      </c>
      <c r="CN11" s="357">
        <v>0</v>
      </c>
      <c r="CO11" s="357">
        <v>417624.44</v>
      </c>
      <c r="CP11" s="357">
        <v>0</v>
      </c>
      <c r="CQ11" s="357">
        <v>0</v>
      </c>
      <c r="CR11" s="357">
        <v>417624.44</v>
      </c>
      <c r="CS11" s="357">
        <v>96313</v>
      </c>
      <c r="CT11" s="357">
        <v>0</v>
      </c>
      <c r="CU11" s="357">
        <v>0</v>
      </c>
      <c r="CV11" s="357">
        <v>96313</v>
      </c>
      <c r="CW11" s="357">
        <v>13877</v>
      </c>
      <c r="CX11" s="357">
        <v>0</v>
      </c>
      <c r="CY11" s="357">
        <v>0</v>
      </c>
      <c r="CZ11" s="357">
        <v>13877</v>
      </c>
      <c r="DA11" s="357">
        <v>417</v>
      </c>
      <c r="DB11" s="357">
        <v>0</v>
      </c>
      <c r="DC11" s="357">
        <v>0</v>
      </c>
      <c r="DD11" s="357">
        <v>417</v>
      </c>
      <c r="DE11" s="357">
        <v>3910</v>
      </c>
      <c r="DF11" s="357">
        <v>0</v>
      </c>
      <c r="DG11" s="357">
        <v>0</v>
      </c>
      <c r="DH11" s="357">
        <v>3910</v>
      </c>
      <c r="DI11" s="357">
        <v>0</v>
      </c>
      <c r="DJ11" s="357">
        <v>0</v>
      </c>
      <c r="DK11" s="357">
        <v>0</v>
      </c>
      <c r="DL11" s="357">
        <v>0</v>
      </c>
      <c r="DM11" s="357">
        <v>0</v>
      </c>
      <c r="DN11" s="357">
        <v>0</v>
      </c>
      <c r="DO11" s="357">
        <v>0</v>
      </c>
      <c r="DP11" s="357">
        <v>0</v>
      </c>
      <c r="DQ11" s="357">
        <v>114517</v>
      </c>
      <c r="DR11" s="357">
        <v>0</v>
      </c>
      <c r="DS11" s="357">
        <v>0</v>
      </c>
      <c r="DT11" s="357">
        <v>0</v>
      </c>
      <c r="DU11" s="357">
        <v>0</v>
      </c>
      <c r="DV11" s="357">
        <v>0</v>
      </c>
      <c r="DW11" s="357">
        <v>114517</v>
      </c>
      <c r="DX11" s="357">
        <v>0</v>
      </c>
      <c r="DY11" s="357">
        <v>0</v>
      </c>
      <c r="DZ11" s="357">
        <v>114517</v>
      </c>
      <c r="EA11" s="357">
        <v>0</v>
      </c>
      <c r="EB11" s="357">
        <v>0</v>
      </c>
      <c r="EC11" s="357">
        <v>0</v>
      </c>
      <c r="ED11" s="357">
        <v>0</v>
      </c>
      <c r="EE11" s="357">
        <v>0</v>
      </c>
      <c r="EF11" s="357">
        <v>0</v>
      </c>
      <c r="EG11" s="357">
        <v>0</v>
      </c>
      <c r="EH11" s="357">
        <v>0</v>
      </c>
      <c r="EI11" s="357">
        <v>0</v>
      </c>
      <c r="EJ11" s="357">
        <v>0</v>
      </c>
      <c r="EK11" s="357">
        <v>763868.27</v>
      </c>
      <c r="EL11" s="357">
        <v>0</v>
      </c>
      <c r="EM11" s="357">
        <v>0</v>
      </c>
      <c r="EN11" s="357">
        <v>763868.27</v>
      </c>
      <c r="EO11" s="357">
        <v>763868.27</v>
      </c>
      <c r="EP11" s="357">
        <v>0</v>
      </c>
      <c r="EQ11" s="357">
        <v>0</v>
      </c>
      <c r="ER11" s="357">
        <v>0</v>
      </c>
      <c r="ES11" s="357">
        <v>0</v>
      </c>
      <c r="ET11" s="357">
        <v>0</v>
      </c>
      <c r="EU11" s="357">
        <v>763868.27</v>
      </c>
      <c r="EV11" s="357">
        <v>0</v>
      </c>
      <c r="EW11" s="357">
        <v>0</v>
      </c>
      <c r="EX11" s="357">
        <v>763868.27</v>
      </c>
      <c r="EY11" s="357">
        <v>34394223.7</v>
      </c>
      <c r="EZ11" s="357">
        <v>0</v>
      </c>
      <c r="FA11" s="357">
        <v>0</v>
      </c>
      <c r="FB11" s="357">
        <v>34394223.7</v>
      </c>
      <c r="FC11" s="277">
        <v>0</v>
      </c>
      <c r="FD11" s="205"/>
    </row>
    <row r="12" spans="1:160" ht="12.75">
      <c r="A12" s="169">
        <v>5</v>
      </c>
      <c r="B12" s="172" t="s">
        <v>714</v>
      </c>
      <c r="C12" s="258" t="s">
        <v>715</v>
      </c>
      <c r="D12" s="235">
        <v>41550</v>
      </c>
      <c r="E12" s="357">
        <v>77812607</v>
      </c>
      <c r="F12" s="357">
        <v>0</v>
      </c>
      <c r="G12" s="357">
        <v>0</v>
      </c>
      <c r="H12" s="357">
        <v>77812607</v>
      </c>
      <c r="I12" s="357">
        <v>36649738</v>
      </c>
      <c r="J12" s="357">
        <v>0</v>
      </c>
      <c r="K12" s="357">
        <v>0</v>
      </c>
      <c r="L12" s="357">
        <v>464685</v>
      </c>
      <c r="M12" s="357">
        <v>0</v>
      </c>
      <c r="N12" s="357">
        <v>0</v>
      </c>
      <c r="O12" s="357">
        <v>37114423</v>
      </c>
      <c r="P12" s="357">
        <v>0</v>
      </c>
      <c r="Q12" s="357">
        <v>0</v>
      </c>
      <c r="R12" s="357">
        <v>37114423</v>
      </c>
      <c r="S12" s="357">
        <v>61497</v>
      </c>
      <c r="T12" s="357">
        <v>0</v>
      </c>
      <c r="U12" s="357">
        <v>0</v>
      </c>
      <c r="V12" s="357">
        <v>61497</v>
      </c>
      <c r="W12" s="357">
        <v>11243</v>
      </c>
      <c r="X12" s="357">
        <v>0</v>
      </c>
      <c r="Y12" s="357">
        <v>0</v>
      </c>
      <c r="Z12" s="357">
        <v>11243</v>
      </c>
      <c r="AA12" s="357">
        <v>50254</v>
      </c>
      <c r="AB12" s="357">
        <v>0</v>
      </c>
      <c r="AC12" s="357">
        <v>0</v>
      </c>
      <c r="AD12" s="357">
        <v>-11036</v>
      </c>
      <c r="AE12" s="357">
        <v>0</v>
      </c>
      <c r="AF12" s="357">
        <v>0</v>
      </c>
      <c r="AG12" s="357">
        <v>39218</v>
      </c>
      <c r="AH12" s="357">
        <v>0</v>
      </c>
      <c r="AI12" s="357">
        <v>0</v>
      </c>
      <c r="AJ12" s="357">
        <v>39218</v>
      </c>
      <c r="AK12" s="357">
        <v>39218</v>
      </c>
      <c r="AL12" s="357">
        <v>0</v>
      </c>
      <c r="AM12" s="357">
        <v>0</v>
      </c>
      <c r="AN12" s="357">
        <v>39218</v>
      </c>
      <c r="AO12" s="357">
        <v>1747736</v>
      </c>
      <c r="AP12" s="357">
        <v>0</v>
      </c>
      <c r="AQ12" s="357">
        <v>0</v>
      </c>
      <c r="AR12" s="357">
        <v>1747736</v>
      </c>
      <c r="AS12" s="357">
        <v>87461</v>
      </c>
      <c r="AT12" s="357">
        <v>0</v>
      </c>
      <c r="AU12" s="357">
        <v>0</v>
      </c>
      <c r="AV12" s="357">
        <v>87461</v>
      </c>
      <c r="AW12" s="357">
        <v>751406</v>
      </c>
      <c r="AX12" s="357">
        <v>0</v>
      </c>
      <c r="AY12" s="357">
        <v>0</v>
      </c>
      <c r="AZ12" s="357">
        <v>751406</v>
      </c>
      <c r="BA12" s="357">
        <v>996330</v>
      </c>
      <c r="BB12" s="357">
        <v>0</v>
      </c>
      <c r="BC12" s="357">
        <v>0</v>
      </c>
      <c r="BD12" s="357">
        <v>996330</v>
      </c>
      <c r="BE12" s="357">
        <v>1401955</v>
      </c>
      <c r="BF12" s="357">
        <v>0</v>
      </c>
      <c r="BG12" s="357">
        <v>0</v>
      </c>
      <c r="BH12" s="357">
        <v>1401955</v>
      </c>
      <c r="BI12" s="357">
        <v>4319</v>
      </c>
      <c r="BJ12" s="357">
        <v>0</v>
      </c>
      <c r="BK12" s="357">
        <v>0</v>
      </c>
      <c r="BL12" s="357">
        <v>4319</v>
      </c>
      <c r="BM12" s="357">
        <v>14243</v>
      </c>
      <c r="BN12" s="357">
        <v>0</v>
      </c>
      <c r="BO12" s="357">
        <v>0</v>
      </c>
      <c r="BP12" s="357">
        <v>14243</v>
      </c>
      <c r="BQ12" s="357">
        <v>2416847</v>
      </c>
      <c r="BR12" s="357">
        <v>0</v>
      </c>
      <c r="BS12" s="357">
        <v>0</v>
      </c>
      <c r="BT12" s="357">
        <v>35917</v>
      </c>
      <c r="BU12" s="357">
        <v>0</v>
      </c>
      <c r="BV12" s="357">
        <v>0</v>
      </c>
      <c r="BW12" s="357">
        <v>2452764</v>
      </c>
      <c r="BX12" s="357">
        <v>0</v>
      </c>
      <c r="BY12" s="357">
        <v>0</v>
      </c>
      <c r="BZ12" s="357">
        <v>2452764</v>
      </c>
      <c r="CA12" s="357">
        <v>33750</v>
      </c>
      <c r="CB12" s="357">
        <v>0</v>
      </c>
      <c r="CC12" s="357">
        <v>0</v>
      </c>
      <c r="CD12" s="357">
        <v>33750</v>
      </c>
      <c r="CE12" s="357">
        <v>388743</v>
      </c>
      <c r="CF12" s="357">
        <v>0</v>
      </c>
      <c r="CG12" s="357">
        <v>0</v>
      </c>
      <c r="CH12" s="357">
        <v>388743</v>
      </c>
      <c r="CI12" s="357">
        <v>422493</v>
      </c>
      <c r="CJ12" s="357">
        <v>0</v>
      </c>
      <c r="CK12" s="357">
        <v>0</v>
      </c>
      <c r="CL12" s="357">
        <v>-49759</v>
      </c>
      <c r="CM12" s="357">
        <v>0</v>
      </c>
      <c r="CN12" s="357">
        <v>0</v>
      </c>
      <c r="CO12" s="357">
        <v>372734</v>
      </c>
      <c r="CP12" s="357">
        <v>0</v>
      </c>
      <c r="CQ12" s="357">
        <v>0</v>
      </c>
      <c r="CR12" s="357">
        <v>372734</v>
      </c>
      <c r="CS12" s="357">
        <v>138833</v>
      </c>
      <c r="CT12" s="357">
        <v>0</v>
      </c>
      <c r="CU12" s="357">
        <v>0</v>
      </c>
      <c r="CV12" s="357">
        <v>138833</v>
      </c>
      <c r="CW12" s="357">
        <v>49057</v>
      </c>
      <c r="CX12" s="357">
        <v>0</v>
      </c>
      <c r="CY12" s="357">
        <v>0</v>
      </c>
      <c r="CZ12" s="357">
        <v>49057</v>
      </c>
      <c r="DA12" s="357">
        <v>0</v>
      </c>
      <c r="DB12" s="357">
        <v>0</v>
      </c>
      <c r="DC12" s="357">
        <v>0</v>
      </c>
      <c r="DD12" s="357">
        <v>0</v>
      </c>
      <c r="DE12" s="357">
        <v>7700</v>
      </c>
      <c r="DF12" s="357">
        <v>0</v>
      </c>
      <c r="DG12" s="357">
        <v>0</v>
      </c>
      <c r="DH12" s="357">
        <v>7700</v>
      </c>
      <c r="DI12" s="357">
        <v>5628</v>
      </c>
      <c r="DJ12" s="357">
        <v>0</v>
      </c>
      <c r="DK12" s="357">
        <v>0</v>
      </c>
      <c r="DL12" s="357">
        <v>5628</v>
      </c>
      <c r="DM12" s="357">
        <v>0</v>
      </c>
      <c r="DN12" s="357">
        <v>0</v>
      </c>
      <c r="DO12" s="357">
        <v>0</v>
      </c>
      <c r="DP12" s="357">
        <v>0</v>
      </c>
      <c r="DQ12" s="357">
        <v>201218</v>
      </c>
      <c r="DR12" s="357">
        <v>0</v>
      </c>
      <c r="DS12" s="357">
        <v>0</v>
      </c>
      <c r="DT12" s="357">
        <v>4600</v>
      </c>
      <c r="DU12" s="357">
        <v>0</v>
      </c>
      <c r="DV12" s="357">
        <v>0</v>
      </c>
      <c r="DW12" s="357">
        <v>205818</v>
      </c>
      <c r="DX12" s="357">
        <v>0</v>
      </c>
      <c r="DY12" s="357">
        <v>0</v>
      </c>
      <c r="DZ12" s="357">
        <v>205818</v>
      </c>
      <c r="EA12" s="357">
        <v>0</v>
      </c>
      <c r="EB12" s="357">
        <v>0</v>
      </c>
      <c r="EC12" s="357">
        <v>46500</v>
      </c>
      <c r="ED12" s="357">
        <v>0</v>
      </c>
      <c r="EE12" s="357">
        <v>0</v>
      </c>
      <c r="EF12" s="357">
        <v>46500</v>
      </c>
      <c r="EG12" s="357">
        <v>23250</v>
      </c>
      <c r="EH12" s="357">
        <v>0</v>
      </c>
      <c r="EI12" s="357">
        <v>0</v>
      </c>
      <c r="EJ12" s="357">
        <v>23250</v>
      </c>
      <c r="EK12" s="357">
        <v>415000</v>
      </c>
      <c r="EL12" s="357">
        <v>0</v>
      </c>
      <c r="EM12" s="357">
        <v>0</v>
      </c>
      <c r="EN12" s="357">
        <v>415000</v>
      </c>
      <c r="EO12" s="357">
        <v>484750</v>
      </c>
      <c r="EP12" s="357">
        <v>0</v>
      </c>
      <c r="EQ12" s="357">
        <v>0</v>
      </c>
      <c r="ER12" s="357">
        <v>24500</v>
      </c>
      <c r="ES12" s="357">
        <v>0</v>
      </c>
      <c r="ET12" s="357">
        <v>0</v>
      </c>
      <c r="EU12" s="357">
        <v>509250</v>
      </c>
      <c r="EV12" s="357">
        <v>0</v>
      </c>
      <c r="EW12" s="357">
        <v>0</v>
      </c>
      <c r="EX12" s="357">
        <v>509250</v>
      </c>
      <c r="EY12" s="357">
        <v>33534639</v>
      </c>
      <c r="EZ12" s="357">
        <v>0</v>
      </c>
      <c r="FA12" s="357">
        <v>0</v>
      </c>
      <c r="FB12" s="357">
        <v>33534639</v>
      </c>
      <c r="FC12" s="277">
        <v>0</v>
      </c>
      <c r="FD12" s="205"/>
    </row>
    <row r="13" spans="1:160" ht="12.75">
      <c r="A13" s="169">
        <v>6</v>
      </c>
      <c r="B13" s="172" t="s">
        <v>716</v>
      </c>
      <c r="C13" s="258" t="s">
        <v>717</v>
      </c>
      <c r="D13" s="235">
        <v>41654</v>
      </c>
      <c r="E13" s="357">
        <v>114418916</v>
      </c>
      <c r="F13" s="357">
        <v>0</v>
      </c>
      <c r="G13" s="357">
        <v>0</v>
      </c>
      <c r="H13" s="357">
        <v>114418916</v>
      </c>
      <c r="I13" s="357">
        <v>53891309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  <c r="O13" s="357">
        <v>53891309</v>
      </c>
      <c r="P13" s="357">
        <v>0</v>
      </c>
      <c r="Q13" s="357">
        <v>0</v>
      </c>
      <c r="R13" s="357">
        <v>53891309</v>
      </c>
      <c r="S13" s="357">
        <v>60307.58</v>
      </c>
      <c r="T13" s="357">
        <v>0</v>
      </c>
      <c r="U13" s="357">
        <v>0</v>
      </c>
      <c r="V13" s="357">
        <v>60307.58</v>
      </c>
      <c r="W13" s="357">
        <v>22200.92</v>
      </c>
      <c r="X13" s="357">
        <v>0</v>
      </c>
      <c r="Y13" s="357">
        <v>0</v>
      </c>
      <c r="Z13" s="357">
        <v>22200.92</v>
      </c>
      <c r="AA13" s="357">
        <v>38106.66</v>
      </c>
      <c r="AB13" s="357">
        <v>0</v>
      </c>
      <c r="AC13" s="357">
        <v>0</v>
      </c>
      <c r="AD13" s="357">
        <v>0</v>
      </c>
      <c r="AE13" s="357">
        <v>0</v>
      </c>
      <c r="AF13" s="357">
        <v>0</v>
      </c>
      <c r="AG13" s="357">
        <v>38106.66</v>
      </c>
      <c r="AH13" s="357">
        <v>0</v>
      </c>
      <c r="AI13" s="357">
        <v>0</v>
      </c>
      <c r="AJ13" s="357">
        <v>38106.66</v>
      </c>
      <c r="AK13" s="357">
        <v>38106.66</v>
      </c>
      <c r="AL13" s="357">
        <v>0</v>
      </c>
      <c r="AM13" s="357">
        <v>0</v>
      </c>
      <c r="AN13" s="357">
        <v>38106.66</v>
      </c>
      <c r="AO13" s="357">
        <v>2351953.13</v>
      </c>
      <c r="AP13" s="357">
        <v>0</v>
      </c>
      <c r="AQ13" s="357">
        <v>0</v>
      </c>
      <c r="AR13" s="357">
        <v>2351953.13</v>
      </c>
      <c r="AS13" s="357">
        <v>0</v>
      </c>
      <c r="AT13" s="357">
        <v>0</v>
      </c>
      <c r="AU13" s="357">
        <v>0</v>
      </c>
      <c r="AV13" s="357">
        <v>0</v>
      </c>
      <c r="AW13" s="357">
        <v>1085401.43</v>
      </c>
      <c r="AX13" s="357">
        <v>0</v>
      </c>
      <c r="AY13" s="357">
        <v>0</v>
      </c>
      <c r="AZ13" s="357">
        <v>1085401.43</v>
      </c>
      <c r="BA13" s="357">
        <v>1266551.7</v>
      </c>
      <c r="BB13" s="357">
        <v>0</v>
      </c>
      <c r="BC13" s="357">
        <v>0</v>
      </c>
      <c r="BD13" s="357">
        <v>1266551.7</v>
      </c>
      <c r="BE13" s="357">
        <v>2996898.69</v>
      </c>
      <c r="BF13" s="357">
        <v>0</v>
      </c>
      <c r="BG13" s="357">
        <v>0</v>
      </c>
      <c r="BH13" s="357">
        <v>2996898.69</v>
      </c>
      <c r="BI13" s="357">
        <v>97661.61</v>
      </c>
      <c r="BJ13" s="357">
        <v>0</v>
      </c>
      <c r="BK13" s="357">
        <v>0</v>
      </c>
      <c r="BL13" s="357">
        <v>97661.61</v>
      </c>
      <c r="BM13" s="357">
        <v>32157.01</v>
      </c>
      <c r="BN13" s="357">
        <v>0</v>
      </c>
      <c r="BO13" s="357">
        <v>0</v>
      </c>
      <c r="BP13" s="357">
        <v>32157.01</v>
      </c>
      <c r="BQ13" s="357">
        <v>4393269.01</v>
      </c>
      <c r="BR13" s="357">
        <v>0</v>
      </c>
      <c r="BS13" s="357">
        <v>0</v>
      </c>
      <c r="BT13" s="357">
        <v>255000</v>
      </c>
      <c r="BU13" s="357">
        <v>0</v>
      </c>
      <c r="BV13" s="357">
        <v>0</v>
      </c>
      <c r="BW13" s="357">
        <v>4648269.01</v>
      </c>
      <c r="BX13" s="357">
        <v>0</v>
      </c>
      <c r="BY13" s="357">
        <v>0</v>
      </c>
      <c r="BZ13" s="357">
        <v>4648269.01</v>
      </c>
      <c r="CA13" s="357">
        <v>0</v>
      </c>
      <c r="CB13" s="357">
        <v>0</v>
      </c>
      <c r="CC13" s="357">
        <v>0</v>
      </c>
      <c r="CD13" s="357">
        <v>0</v>
      </c>
      <c r="CE13" s="357">
        <v>1676584.42</v>
      </c>
      <c r="CF13" s="357">
        <v>0</v>
      </c>
      <c r="CG13" s="357">
        <v>0</v>
      </c>
      <c r="CH13" s="357">
        <v>1676584.42</v>
      </c>
      <c r="CI13" s="357">
        <v>1676584.42</v>
      </c>
      <c r="CJ13" s="357">
        <v>0</v>
      </c>
      <c r="CK13" s="357">
        <v>0</v>
      </c>
      <c r="CL13" s="357">
        <v>51000</v>
      </c>
      <c r="CM13" s="357">
        <v>0</v>
      </c>
      <c r="CN13" s="357">
        <v>0</v>
      </c>
      <c r="CO13" s="357">
        <v>1727584.42</v>
      </c>
      <c r="CP13" s="357">
        <v>0</v>
      </c>
      <c r="CQ13" s="357">
        <v>0</v>
      </c>
      <c r="CR13" s="357">
        <v>1727584.42</v>
      </c>
      <c r="CS13" s="357">
        <v>171959.2</v>
      </c>
      <c r="CT13" s="357">
        <v>0</v>
      </c>
      <c r="CU13" s="357">
        <v>0</v>
      </c>
      <c r="CV13" s="357">
        <v>171959.2</v>
      </c>
      <c r="CW13" s="357">
        <v>65133.88</v>
      </c>
      <c r="CX13" s="357">
        <v>0</v>
      </c>
      <c r="CY13" s="357">
        <v>0</v>
      </c>
      <c r="CZ13" s="357">
        <v>65133.88</v>
      </c>
      <c r="DA13" s="357">
        <v>14187.37</v>
      </c>
      <c r="DB13" s="357">
        <v>0</v>
      </c>
      <c r="DC13" s="357">
        <v>0</v>
      </c>
      <c r="DD13" s="357">
        <v>14187.37</v>
      </c>
      <c r="DE13" s="357">
        <v>14865.26</v>
      </c>
      <c r="DF13" s="357">
        <v>0</v>
      </c>
      <c r="DG13" s="357">
        <v>0</v>
      </c>
      <c r="DH13" s="357">
        <v>14865.26</v>
      </c>
      <c r="DI13" s="357">
        <v>49911.26</v>
      </c>
      <c r="DJ13" s="357">
        <v>0</v>
      </c>
      <c r="DK13" s="357">
        <v>0</v>
      </c>
      <c r="DL13" s="357">
        <v>49911.26</v>
      </c>
      <c r="DM13" s="357">
        <v>0</v>
      </c>
      <c r="DN13" s="357">
        <v>0</v>
      </c>
      <c r="DO13" s="357">
        <v>0</v>
      </c>
      <c r="DP13" s="357">
        <v>0</v>
      </c>
      <c r="DQ13" s="357">
        <v>316056.97</v>
      </c>
      <c r="DR13" s="357">
        <v>0</v>
      </c>
      <c r="DS13" s="357">
        <v>0</v>
      </c>
      <c r="DT13" s="357">
        <v>0</v>
      </c>
      <c r="DU13" s="357">
        <v>0</v>
      </c>
      <c r="DV13" s="357">
        <v>0</v>
      </c>
      <c r="DW13" s="357">
        <v>316056.97</v>
      </c>
      <c r="DX13" s="357">
        <v>0</v>
      </c>
      <c r="DY13" s="357">
        <v>0</v>
      </c>
      <c r="DZ13" s="357">
        <v>316056.97</v>
      </c>
      <c r="EA13" s="357">
        <v>0</v>
      </c>
      <c r="EB13" s="357">
        <v>0</v>
      </c>
      <c r="EC13" s="357">
        <v>0</v>
      </c>
      <c r="ED13" s="357">
        <v>0</v>
      </c>
      <c r="EE13" s="357">
        <v>0</v>
      </c>
      <c r="EF13" s="357">
        <v>0</v>
      </c>
      <c r="EG13" s="357">
        <v>0</v>
      </c>
      <c r="EH13" s="357">
        <v>0</v>
      </c>
      <c r="EI13" s="357">
        <v>0</v>
      </c>
      <c r="EJ13" s="357">
        <v>0</v>
      </c>
      <c r="EK13" s="357">
        <v>908000</v>
      </c>
      <c r="EL13" s="357">
        <v>0</v>
      </c>
      <c r="EM13" s="357">
        <v>0</v>
      </c>
      <c r="EN13" s="357">
        <v>908000</v>
      </c>
      <c r="EO13" s="357">
        <v>908000</v>
      </c>
      <c r="EP13" s="357">
        <v>0</v>
      </c>
      <c r="EQ13" s="357">
        <v>0</v>
      </c>
      <c r="ER13" s="357">
        <v>0</v>
      </c>
      <c r="ES13" s="357">
        <v>0</v>
      </c>
      <c r="ET13" s="357">
        <v>0</v>
      </c>
      <c r="EU13" s="357">
        <v>908000</v>
      </c>
      <c r="EV13" s="357">
        <v>0</v>
      </c>
      <c r="EW13" s="357">
        <v>0</v>
      </c>
      <c r="EX13" s="357">
        <v>908000</v>
      </c>
      <c r="EY13" s="357">
        <v>46253291.9</v>
      </c>
      <c r="EZ13" s="357">
        <v>0</v>
      </c>
      <c r="FA13" s="357">
        <v>0</v>
      </c>
      <c r="FB13" s="357">
        <v>46253291.9</v>
      </c>
      <c r="FC13" s="277">
        <v>0</v>
      </c>
      <c r="FD13" s="205"/>
    </row>
    <row r="14" spans="1:160" ht="12.75">
      <c r="A14" s="169">
        <v>7</v>
      </c>
      <c r="B14" s="172" t="s">
        <v>718</v>
      </c>
      <c r="C14" s="258" t="s">
        <v>719</v>
      </c>
      <c r="D14" s="235">
        <v>41638</v>
      </c>
      <c r="E14" s="357">
        <v>127385999</v>
      </c>
      <c r="F14" s="357">
        <v>0</v>
      </c>
      <c r="G14" s="357">
        <v>0</v>
      </c>
      <c r="H14" s="357">
        <v>127385999</v>
      </c>
      <c r="I14" s="357">
        <v>59998806</v>
      </c>
      <c r="J14" s="357">
        <v>0</v>
      </c>
      <c r="K14" s="357">
        <v>0</v>
      </c>
      <c r="L14" s="357">
        <v>-3212176</v>
      </c>
      <c r="M14" s="357">
        <v>0</v>
      </c>
      <c r="N14" s="357">
        <v>0</v>
      </c>
      <c r="O14" s="357">
        <v>56786630</v>
      </c>
      <c r="P14" s="357">
        <v>0</v>
      </c>
      <c r="Q14" s="357">
        <v>0</v>
      </c>
      <c r="R14" s="357">
        <v>56786630</v>
      </c>
      <c r="S14" s="357">
        <v>40441.15</v>
      </c>
      <c r="T14" s="357">
        <v>0</v>
      </c>
      <c r="U14" s="357">
        <v>0</v>
      </c>
      <c r="V14" s="357">
        <v>40441.15</v>
      </c>
      <c r="W14" s="357">
        <v>14221</v>
      </c>
      <c r="X14" s="357">
        <v>0</v>
      </c>
      <c r="Y14" s="357">
        <v>0</v>
      </c>
      <c r="Z14" s="357">
        <v>14221</v>
      </c>
      <c r="AA14" s="357">
        <v>26220.15</v>
      </c>
      <c r="AB14" s="357">
        <v>0</v>
      </c>
      <c r="AC14" s="357">
        <v>0</v>
      </c>
      <c r="AD14" s="357">
        <v>0</v>
      </c>
      <c r="AE14" s="357">
        <v>0</v>
      </c>
      <c r="AF14" s="357">
        <v>0</v>
      </c>
      <c r="AG14" s="357">
        <v>26220.15</v>
      </c>
      <c r="AH14" s="357">
        <v>0</v>
      </c>
      <c r="AI14" s="357">
        <v>0</v>
      </c>
      <c r="AJ14" s="357">
        <v>26220.15</v>
      </c>
      <c r="AK14" s="357">
        <v>26220.15</v>
      </c>
      <c r="AL14" s="357">
        <v>0</v>
      </c>
      <c r="AM14" s="357">
        <v>0</v>
      </c>
      <c r="AN14" s="357">
        <v>26220.15</v>
      </c>
      <c r="AO14" s="357">
        <v>2933958</v>
      </c>
      <c r="AP14" s="357">
        <v>0</v>
      </c>
      <c r="AQ14" s="357">
        <v>0</v>
      </c>
      <c r="AR14" s="357">
        <v>2933958</v>
      </c>
      <c r="AS14" s="357">
        <v>0</v>
      </c>
      <c r="AT14" s="357">
        <v>0</v>
      </c>
      <c r="AU14" s="357">
        <v>0</v>
      </c>
      <c r="AV14" s="357">
        <v>0</v>
      </c>
      <c r="AW14" s="357">
        <v>964087</v>
      </c>
      <c r="AX14" s="357">
        <v>0</v>
      </c>
      <c r="AY14" s="357">
        <v>0</v>
      </c>
      <c r="AZ14" s="357">
        <v>964087</v>
      </c>
      <c r="BA14" s="357">
        <v>1969871</v>
      </c>
      <c r="BB14" s="357">
        <v>0</v>
      </c>
      <c r="BC14" s="357">
        <v>0</v>
      </c>
      <c r="BD14" s="357">
        <v>1969871</v>
      </c>
      <c r="BE14" s="357">
        <v>4112220</v>
      </c>
      <c r="BF14" s="357">
        <v>0</v>
      </c>
      <c r="BG14" s="357">
        <v>0</v>
      </c>
      <c r="BH14" s="357">
        <v>4112220</v>
      </c>
      <c r="BI14" s="357">
        <v>28128</v>
      </c>
      <c r="BJ14" s="357">
        <v>0</v>
      </c>
      <c r="BK14" s="357">
        <v>0</v>
      </c>
      <c r="BL14" s="357">
        <v>28128</v>
      </c>
      <c r="BM14" s="357">
        <v>56631</v>
      </c>
      <c r="BN14" s="357">
        <v>0</v>
      </c>
      <c r="BO14" s="357">
        <v>0</v>
      </c>
      <c r="BP14" s="357">
        <v>56631</v>
      </c>
      <c r="BQ14" s="357">
        <v>6166850</v>
      </c>
      <c r="BR14" s="357">
        <v>0</v>
      </c>
      <c r="BS14" s="357">
        <v>0</v>
      </c>
      <c r="BT14" s="357">
        <v>0</v>
      </c>
      <c r="BU14" s="357">
        <v>0</v>
      </c>
      <c r="BV14" s="357">
        <v>0</v>
      </c>
      <c r="BW14" s="357">
        <v>6166850</v>
      </c>
      <c r="BX14" s="357">
        <v>0</v>
      </c>
      <c r="BY14" s="357">
        <v>0</v>
      </c>
      <c r="BZ14" s="357">
        <v>6166850</v>
      </c>
      <c r="CA14" s="357">
        <v>27915</v>
      </c>
      <c r="CB14" s="357">
        <v>0</v>
      </c>
      <c r="CC14" s="357">
        <v>0</v>
      </c>
      <c r="CD14" s="357">
        <v>27915</v>
      </c>
      <c r="CE14" s="357">
        <v>2845030</v>
      </c>
      <c r="CF14" s="357">
        <v>0</v>
      </c>
      <c r="CG14" s="357">
        <v>0</v>
      </c>
      <c r="CH14" s="357">
        <v>2845030</v>
      </c>
      <c r="CI14" s="357">
        <v>2872945</v>
      </c>
      <c r="CJ14" s="357">
        <v>0</v>
      </c>
      <c r="CK14" s="357">
        <v>0</v>
      </c>
      <c r="CL14" s="357">
        <v>0</v>
      </c>
      <c r="CM14" s="357">
        <v>0</v>
      </c>
      <c r="CN14" s="357">
        <v>0</v>
      </c>
      <c r="CO14" s="357">
        <v>2872945</v>
      </c>
      <c r="CP14" s="357">
        <v>0</v>
      </c>
      <c r="CQ14" s="357">
        <v>0</v>
      </c>
      <c r="CR14" s="357">
        <v>2872945</v>
      </c>
      <c r="CS14" s="357">
        <v>138739</v>
      </c>
      <c r="CT14" s="357">
        <v>0</v>
      </c>
      <c r="CU14" s="357">
        <v>0</v>
      </c>
      <c r="CV14" s="357">
        <v>138739</v>
      </c>
      <c r="CW14" s="357">
        <v>131070</v>
      </c>
      <c r="CX14" s="357">
        <v>0</v>
      </c>
      <c r="CY14" s="357">
        <v>0</v>
      </c>
      <c r="CZ14" s="357">
        <v>131070</v>
      </c>
      <c r="DA14" s="357">
        <v>2778</v>
      </c>
      <c r="DB14" s="357">
        <v>0</v>
      </c>
      <c r="DC14" s="357">
        <v>0</v>
      </c>
      <c r="DD14" s="357">
        <v>2778</v>
      </c>
      <c r="DE14" s="357">
        <v>0</v>
      </c>
      <c r="DF14" s="357">
        <v>0</v>
      </c>
      <c r="DG14" s="357">
        <v>0</v>
      </c>
      <c r="DH14" s="357">
        <v>0</v>
      </c>
      <c r="DI14" s="357">
        <v>0</v>
      </c>
      <c r="DJ14" s="357">
        <v>0</v>
      </c>
      <c r="DK14" s="357">
        <v>0</v>
      </c>
      <c r="DL14" s="357">
        <v>0</v>
      </c>
      <c r="DM14" s="357">
        <v>0</v>
      </c>
      <c r="DN14" s="357">
        <v>0</v>
      </c>
      <c r="DO14" s="357">
        <v>0</v>
      </c>
      <c r="DP14" s="357">
        <v>0</v>
      </c>
      <c r="DQ14" s="357">
        <v>272587</v>
      </c>
      <c r="DR14" s="357">
        <v>0</v>
      </c>
      <c r="DS14" s="357">
        <v>0</v>
      </c>
      <c r="DT14" s="357">
        <v>0</v>
      </c>
      <c r="DU14" s="357">
        <v>0</v>
      </c>
      <c r="DV14" s="357">
        <v>0</v>
      </c>
      <c r="DW14" s="357">
        <v>272587</v>
      </c>
      <c r="DX14" s="357">
        <v>0</v>
      </c>
      <c r="DY14" s="357">
        <v>0</v>
      </c>
      <c r="DZ14" s="357">
        <v>272587</v>
      </c>
      <c r="EA14" s="357">
        <v>0</v>
      </c>
      <c r="EB14" s="357">
        <v>0</v>
      </c>
      <c r="EC14" s="357">
        <v>0</v>
      </c>
      <c r="ED14" s="357">
        <v>0</v>
      </c>
      <c r="EE14" s="357">
        <v>0</v>
      </c>
      <c r="EF14" s="357">
        <v>0</v>
      </c>
      <c r="EG14" s="357">
        <v>0</v>
      </c>
      <c r="EH14" s="357">
        <v>0</v>
      </c>
      <c r="EI14" s="357">
        <v>0</v>
      </c>
      <c r="EJ14" s="357">
        <v>0</v>
      </c>
      <c r="EK14" s="357">
        <v>0</v>
      </c>
      <c r="EL14" s="357">
        <v>0</v>
      </c>
      <c r="EM14" s="357">
        <v>0</v>
      </c>
      <c r="EN14" s="357">
        <v>0</v>
      </c>
      <c r="EO14" s="357">
        <v>0</v>
      </c>
      <c r="EP14" s="357">
        <v>0</v>
      </c>
      <c r="EQ14" s="357">
        <v>0</v>
      </c>
      <c r="ER14" s="357">
        <v>0</v>
      </c>
      <c r="ES14" s="357">
        <v>0</v>
      </c>
      <c r="ET14" s="357">
        <v>0</v>
      </c>
      <c r="EU14" s="357">
        <v>0</v>
      </c>
      <c r="EV14" s="357">
        <v>0</v>
      </c>
      <c r="EW14" s="357">
        <v>0</v>
      </c>
      <c r="EX14" s="357">
        <v>0</v>
      </c>
      <c r="EY14" s="357">
        <v>47448027.9</v>
      </c>
      <c r="EZ14" s="357">
        <v>0</v>
      </c>
      <c r="FA14" s="357">
        <v>0</v>
      </c>
      <c r="FB14" s="357">
        <v>47448027.9</v>
      </c>
      <c r="FC14" s="277">
        <v>0</v>
      </c>
      <c r="FD14" s="205"/>
    </row>
    <row r="15" spans="1:160" ht="12.75">
      <c r="A15" s="169">
        <v>8</v>
      </c>
      <c r="B15" s="172" t="s">
        <v>720</v>
      </c>
      <c r="C15" s="258" t="s">
        <v>721</v>
      </c>
      <c r="D15" s="235">
        <v>41639</v>
      </c>
      <c r="E15" s="357">
        <v>60469351</v>
      </c>
      <c r="F15" s="357">
        <v>0</v>
      </c>
      <c r="G15" s="357">
        <v>0</v>
      </c>
      <c r="H15" s="357">
        <v>60469351</v>
      </c>
      <c r="I15" s="357">
        <v>28481064</v>
      </c>
      <c r="J15" s="357">
        <v>0</v>
      </c>
      <c r="K15" s="357">
        <v>0</v>
      </c>
      <c r="L15" s="357">
        <v>-90000</v>
      </c>
      <c r="M15" s="357">
        <v>0</v>
      </c>
      <c r="N15" s="357">
        <v>0</v>
      </c>
      <c r="O15" s="357">
        <v>28391064</v>
      </c>
      <c r="P15" s="357">
        <v>0</v>
      </c>
      <c r="Q15" s="357">
        <v>0</v>
      </c>
      <c r="R15" s="357">
        <v>28391064</v>
      </c>
      <c r="S15" s="357">
        <v>33398.73</v>
      </c>
      <c r="T15" s="357">
        <v>0</v>
      </c>
      <c r="U15" s="357">
        <v>0</v>
      </c>
      <c r="V15" s="357">
        <v>33398.73</v>
      </c>
      <c r="W15" s="357">
        <v>11249.66</v>
      </c>
      <c r="X15" s="357">
        <v>0</v>
      </c>
      <c r="Y15" s="357">
        <v>0</v>
      </c>
      <c r="Z15" s="357">
        <v>11249.66</v>
      </c>
      <c r="AA15" s="357">
        <v>22149.07</v>
      </c>
      <c r="AB15" s="357">
        <v>0</v>
      </c>
      <c r="AC15" s="357">
        <v>0</v>
      </c>
      <c r="AD15" s="357">
        <v>0</v>
      </c>
      <c r="AE15" s="357">
        <v>0</v>
      </c>
      <c r="AF15" s="357">
        <v>0</v>
      </c>
      <c r="AG15" s="357">
        <v>22149.07</v>
      </c>
      <c r="AH15" s="357">
        <v>0</v>
      </c>
      <c r="AI15" s="357">
        <v>0</v>
      </c>
      <c r="AJ15" s="357">
        <v>22149.07</v>
      </c>
      <c r="AK15" s="357">
        <v>22149.07</v>
      </c>
      <c r="AL15" s="357">
        <v>0</v>
      </c>
      <c r="AM15" s="357">
        <v>0</v>
      </c>
      <c r="AN15" s="357">
        <v>22149.07</v>
      </c>
      <c r="AO15" s="357">
        <v>2035937.76</v>
      </c>
      <c r="AP15" s="357">
        <v>0</v>
      </c>
      <c r="AQ15" s="357">
        <v>0</v>
      </c>
      <c r="AR15" s="357">
        <v>2035937.76</v>
      </c>
      <c r="AS15" s="357">
        <v>20359.38</v>
      </c>
      <c r="AT15" s="357">
        <v>0</v>
      </c>
      <c r="AU15" s="357">
        <v>0</v>
      </c>
      <c r="AV15" s="357">
        <v>20359.38</v>
      </c>
      <c r="AW15" s="357">
        <v>531696</v>
      </c>
      <c r="AX15" s="357">
        <v>0</v>
      </c>
      <c r="AY15" s="357">
        <v>0</v>
      </c>
      <c r="AZ15" s="357">
        <v>531696</v>
      </c>
      <c r="BA15" s="357">
        <v>1504241.76</v>
      </c>
      <c r="BB15" s="357">
        <v>0</v>
      </c>
      <c r="BC15" s="357">
        <v>0</v>
      </c>
      <c r="BD15" s="357">
        <v>1504241.76</v>
      </c>
      <c r="BE15" s="357">
        <v>1716723.9</v>
      </c>
      <c r="BF15" s="357">
        <v>0</v>
      </c>
      <c r="BG15" s="357">
        <v>0</v>
      </c>
      <c r="BH15" s="357">
        <v>1716723.9</v>
      </c>
      <c r="BI15" s="357">
        <v>53588.76</v>
      </c>
      <c r="BJ15" s="357">
        <v>0</v>
      </c>
      <c r="BK15" s="357">
        <v>0</v>
      </c>
      <c r="BL15" s="357">
        <v>53588.76</v>
      </c>
      <c r="BM15" s="357">
        <v>94060.29</v>
      </c>
      <c r="BN15" s="357">
        <v>0</v>
      </c>
      <c r="BO15" s="357">
        <v>0</v>
      </c>
      <c r="BP15" s="357">
        <v>94060.29</v>
      </c>
      <c r="BQ15" s="357">
        <v>3368614.71</v>
      </c>
      <c r="BR15" s="357">
        <v>0</v>
      </c>
      <c r="BS15" s="357">
        <v>0</v>
      </c>
      <c r="BT15" s="357">
        <v>0</v>
      </c>
      <c r="BU15" s="357">
        <v>0</v>
      </c>
      <c r="BV15" s="357">
        <v>0</v>
      </c>
      <c r="BW15" s="357">
        <v>3368614.71</v>
      </c>
      <c r="BX15" s="357">
        <v>0</v>
      </c>
      <c r="BY15" s="357">
        <v>0</v>
      </c>
      <c r="BZ15" s="357">
        <v>3368614.71</v>
      </c>
      <c r="CA15" s="357">
        <v>0</v>
      </c>
      <c r="CB15" s="357">
        <v>0</v>
      </c>
      <c r="CC15" s="357">
        <v>0</v>
      </c>
      <c r="CD15" s="357">
        <v>0</v>
      </c>
      <c r="CE15" s="357">
        <v>557566.55</v>
      </c>
      <c r="CF15" s="357">
        <v>0</v>
      </c>
      <c r="CG15" s="357">
        <v>0</v>
      </c>
      <c r="CH15" s="357">
        <v>557566.55</v>
      </c>
      <c r="CI15" s="357">
        <v>557566.55</v>
      </c>
      <c r="CJ15" s="357">
        <v>0</v>
      </c>
      <c r="CK15" s="357">
        <v>0</v>
      </c>
      <c r="CL15" s="357">
        <v>0</v>
      </c>
      <c r="CM15" s="357">
        <v>0</v>
      </c>
      <c r="CN15" s="357">
        <v>0</v>
      </c>
      <c r="CO15" s="357">
        <v>557566.55</v>
      </c>
      <c r="CP15" s="357">
        <v>0</v>
      </c>
      <c r="CQ15" s="357">
        <v>0</v>
      </c>
      <c r="CR15" s="357">
        <v>557566.55</v>
      </c>
      <c r="CS15" s="357">
        <v>43131.64</v>
      </c>
      <c r="CT15" s="357">
        <v>0</v>
      </c>
      <c r="CU15" s="357">
        <v>0</v>
      </c>
      <c r="CV15" s="357">
        <v>43131.64</v>
      </c>
      <c r="CW15" s="357">
        <v>11288.11</v>
      </c>
      <c r="CX15" s="357">
        <v>0</v>
      </c>
      <c r="CY15" s="357">
        <v>0</v>
      </c>
      <c r="CZ15" s="357">
        <v>11288.11</v>
      </c>
      <c r="DA15" s="357">
        <v>7040.84</v>
      </c>
      <c r="DB15" s="357">
        <v>0</v>
      </c>
      <c r="DC15" s="357">
        <v>0</v>
      </c>
      <c r="DD15" s="357">
        <v>7040.84</v>
      </c>
      <c r="DE15" s="357">
        <v>76813.3</v>
      </c>
      <c r="DF15" s="357">
        <v>0</v>
      </c>
      <c r="DG15" s="357">
        <v>0</v>
      </c>
      <c r="DH15" s="357">
        <v>76813.3</v>
      </c>
      <c r="DI15" s="357">
        <v>19709</v>
      </c>
      <c r="DJ15" s="357">
        <v>0</v>
      </c>
      <c r="DK15" s="357">
        <v>0</v>
      </c>
      <c r="DL15" s="357">
        <v>19709</v>
      </c>
      <c r="DM15" s="357">
        <v>0</v>
      </c>
      <c r="DN15" s="357">
        <v>0</v>
      </c>
      <c r="DO15" s="357">
        <v>0</v>
      </c>
      <c r="DP15" s="357">
        <v>0</v>
      </c>
      <c r="DQ15" s="357">
        <v>157982.89</v>
      </c>
      <c r="DR15" s="357">
        <v>0</v>
      </c>
      <c r="DS15" s="357">
        <v>0</v>
      </c>
      <c r="DT15" s="357">
        <v>0</v>
      </c>
      <c r="DU15" s="357">
        <v>0</v>
      </c>
      <c r="DV15" s="357">
        <v>0</v>
      </c>
      <c r="DW15" s="357">
        <v>157982.89</v>
      </c>
      <c r="DX15" s="357">
        <v>0</v>
      </c>
      <c r="DY15" s="357">
        <v>0</v>
      </c>
      <c r="DZ15" s="357">
        <v>157982.89</v>
      </c>
      <c r="EA15" s="357">
        <v>0</v>
      </c>
      <c r="EB15" s="357">
        <v>0</v>
      </c>
      <c r="EC15" s="357">
        <v>0</v>
      </c>
      <c r="ED15" s="357">
        <v>0</v>
      </c>
      <c r="EE15" s="357">
        <v>0</v>
      </c>
      <c r="EF15" s="357">
        <v>0</v>
      </c>
      <c r="EG15" s="357">
        <v>60064.27</v>
      </c>
      <c r="EH15" s="357">
        <v>0</v>
      </c>
      <c r="EI15" s="357">
        <v>0</v>
      </c>
      <c r="EJ15" s="357">
        <v>60064.27</v>
      </c>
      <c r="EK15" s="357">
        <v>150000</v>
      </c>
      <c r="EL15" s="357">
        <v>0</v>
      </c>
      <c r="EM15" s="357">
        <v>0</v>
      </c>
      <c r="EN15" s="357">
        <v>150000</v>
      </c>
      <c r="EO15" s="357">
        <v>210064.27</v>
      </c>
      <c r="EP15" s="357">
        <v>0</v>
      </c>
      <c r="EQ15" s="357">
        <v>0</v>
      </c>
      <c r="ER15" s="357">
        <v>0</v>
      </c>
      <c r="ES15" s="357">
        <v>0</v>
      </c>
      <c r="ET15" s="357">
        <v>0</v>
      </c>
      <c r="EU15" s="357">
        <v>210064.27</v>
      </c>
      <c r="EV15" s="357">
        <v>0</v>
      </c>
      <c r="EW15" s="357">
        <v>0</v>
      </c>
      <c r="EX15" s="357">
        <v>210064.27</v>
      </c>
      <c r="EY15" s="357">
        <v>24074686.5</v>
      </c>
      <c r="EZ15" s="357">
        <v>0</v>
      </c>
      <c r="FA15" s="357">
        <v>0</v>
      </c>
      <c r="FB15" s="357">
        <v>24074686.5</v>
      </c>
      <c r="FC15" s="277">
        <v>0</v>
      </c>
      <c r="FD15" s="205"/>
    </row>
    <row r="16" spans="1:160" ht="12.75">
      <c r="A16" s="169">
        <v>9</v>
      </c>
      <c r="B16" s="172" t="s">
        <v>722</v>
      </c>
      <c r="C16" s="258" t="s">
        <v>723</v>
      </c>
      <c r="D16" s="235">
        <v>41649</v>
      </c>
      <c r="E16" s="357">
        <v>146643757</v>
      </c>
      <c r="F16" s="357">
        <v>0</v>
      </c>
      <c r="G16" s="357">
        <v>0</v>
      </c>
      <c r="H16" s="357">
        <v>146643757</v>
      </c>
      <c r="I16" s="357">
        <v>69069210</v>
      </c>
      <c r="J16" s="357">
        <v>0</v>
      </c>
      <c r="K16" s="357">
        <v>0</v>
      </c>
      <c r="L16" s="357">
        <v>0</v>
      </c>
      <c r="M16" s="357">
        <v>0</v>
      </c>
      <c r="N16" s="357">
        <v>0</v>
      </c>
      <c r="O16" s="357">
        <v>69069210</v>
      </c>
      <c r="P16" s="357">
        <v>0</v>
      </c>
      <c r="Q16" s="357">
        <v>0</v>
      </c>
      <c r="R16" s="357">
        <v>69069210</v>
      </c>
      <c r="S16" s="357">
        <v>659604.99</v>
      </c>
      <c r="T16" s="357">
        <v>0</v>
      </c>
      <c r="U16" s="357">
        <v>0</v>
      </c>
      <c r="V16" s="357">
        <v>659604.99</v>
      </c>
      <c r="W16" s="357">
        <v>6278.72</v>
      </c>
      <c r="X16" s="357">
        <v>0</v>
      </c>
      <c r="Y16" s="357">
        <v>0</v>
      </c>
      <c r="Z16" s="357">
        <v>6278.72</v>
      </c>
      <c r="AA16" s="357">
        <v>653326.27</v>
      </c>
      <c r="AB16" s="357">
        <v>0</v>
      </c>
      <c r="AC16" s="357">
        <v>0</v>
      </c>
      <c r="AD16" s="357">
        <v>0</v>
      </c>
      <c r="AE16" s="357">
        <v>0</v>
      </c>
      <c r="AF16" s="357">
        <v>0</v>
      </c>
      <c r="AG16" s="357">
        <v>653326.27</v>
      </c>
      <c r="AH16" s="357">
        <v>0</v>
      </c>
      <c r="AI16" s="357">
        <v>0</v>
      </c>
      <c r="AJ16" s="357">
        <v>653326.27</v>
      </c>
      <c r="AK16" s="357">
        <v>653326.27</v>
      </c>
      <c r="AL16" s="357">
        <v>0</v>
      </c>
      <c r="AM16" s="357">
        <v>0</v>
      </c>
      <c r="AN16" s="357">
        <v>653326.27</v>
      </c>
      <c r="AO16" s="357">
        <v>2191219.45</v>
      </c>
      <c r="AP16" s="357">
        <v>0</v>
      </c>
      <c r="AQ16" s="357">
        <v>0</v>
      </c>
      <c r="AR16" s="357">
        <v>2191219.45</v>
      </c>
      <c r="AS16" s="357">
        <v>0</v>
      </c>
      <c r="AT16" s="357">
        <v>0</v>
      </c>
      <c r="AU16" s="357">
        <v>0</v>
      </c>
      <c r="AV16" s="357">
        <v>0</v>
      </c>
      <c r="AW16" s="357">
        <v>1360992</v>
      </c>
      <c r="AX16" s="357">
        <v>0</v>
      </c>
      <c r="AY16" s="357">
        <v>0</v>
      </c>
      <c r="AZ16" s="357">
        <v>1360992</v>
      </c>
      <c r="BA16" s="357">
        <v>830227.45</v>
      </c>
      <c r="BB16" s="357">
        <v>0</v>
      </c>
      <c r="BC16" s="357">
        <v>0</v>
      </c>
      <c r="BD16" s="357">
        <v>830227.45</v>
      </c>
      <c r="BE16" s="357">
        <v>2707445.29</v>
      </c>
      <c r="BF16" s="357">
        <v>0</v>
      </c>
      <c r="BG16" s="357">
        <v>0</v>
      </c>
      <c r="BH16" s="357">
        <v>2707445.29</v>
      </c>
      <c r="BI16" s="357">
        <v>29956</v>
      </c>
      <c r="BJ16" s="357">
        <v>0</v>
      </c>
      <c r="BK16" s="357">
        <v>0</v>
      </c>
      <c r="BL16" s="357">
        <v>29956</v>
      </c>
      <c r="BM16" s="357">
        <v>0</v>
      </c>
      <c r="BN16" s="357">
        <v>0</v>
      </c>
      <c r="BO16" s="357">
        <v>0</v>
      </c>
      <c r="BP16" s="357">
        <v>0</v>
      </c>
      <c r="BQ16" s="357">
        <v>3567628.74</v>
      </c>
      <c r="BR16" s="357">
        <v>0</v>
      </c>
      <c r="BS16" s="357">
        <v>0</v>
      </c>
      <c r="BT16" s="357">
        <v>0</v>
      </c>
      <c r="BU16" s="357">
        <v>0</v>
      </c>
      <c r="BV16" s="357">
        <v>0</v>
      </c>
      <c r="BW16" s="357">
        <v>3567628.74</v>
      </c>
      <c r="BX16" s="357">
        <v>0</v>
      </c>
      <c r="BY16" s="357">
        <v>0</v>
      </c>
      <c r="BZ16" s="357">
        <v>3567628.74</v>
      </c>
      <c r="CA16" s="357">
        <v>0</v>
      </c>
      <c r="CB16" s="357">
        <v>0</v>
      </c>
      <c r="CC16" s="357">
        <v>0</v>
      </c>
      <c r="CD16" s="357">
        <v>0</v>
      </c>
      <c r="CE16" s="357">
        <v>3339232.34</v>
      </c>
      <c r="CF16" s="357">
        <v>0</v>
      </c>
      <c r="CG16" s="357">
        <v>0</v>
      </c>
      <c r="CH16" s="357">
        <v>3339232.34</v>
      </c>
      <c r="CI16" s="357">
        <v>3339232.34</v>
      </c>
      <c r="CJ16" s="357">
        <v>0</v>
      </c>
      <c r="CK16" s="357">
        <v>0</v>
      </c>
      <c r="CL16" s="357">
        <v>1100000</v>
      </c>
      <c r="CM16" s="357">
        <v>0</v>
      </c>
      <c r="CN16" s="357">
        <v>0</v>
      </c>
      <c r="CO16" s="357">
        <v>4439232.34</v>
      </c>
      <c r="CP16" s="357">
        <v>0</v>
      </c>
      <c r="CQ16" s="357">
        <v>0</v>
      </c>
      <c r="CR16" s="357">
        <v>4439232.34</v>
      </c>
      <c r="CS16" s="357">
        <v>307246.58</v>
      </c>
      <c r="CT16" s="357">
        <v>0</v>
      </c>
      <c r="CU16" s="357">
        <v>0</v>
      </c>
      <c r="CV16" s="357">
        <v>307246.58</v>
      </c>
      <c r="CW16" s="357">
        <v>27881.1</v>
      </c>
      <c r="CX16" s="357">
        <v>0</v>
      </c>
      <c r="CY16" s="357">
        <v>0</v>
      </c>
      <c r="CZ16" s="357">
        <v>27881.1</v>
      </c>
      <c r="DA16" s="357">
        <v>7488.9</v>
      </c>
      <c r="DB16" s="357">
        <v>0</v>
      </c>
      <c r="DC16" s="357">
        <v>0</v>
      </c>
      <c r="DD16" s="357">
        <v>7488.9</v>
      </c>
      <c r="DE16" s="357">
        <v>0</v>
      </c>
      <c r="DF16" s="357">
        <v>0</v>
      </c>
      <c r="DG16" s="357">
        <v>0</v>
      </c>
      <c r="DH16" s="357">
        <v>0</v>
      </c>
      <c r="DI16" s="357">
        <v>0</v>
      </c>
      <c r="DJ16" s="357">
        <v>0</v>
      </c>
      <c r="DK16" s="357">
        <v>0</v>
      </c>
      <c r="DL16" s="357">
        <v>0</v>
      </c>
      <c r="DM16" s="357">
        <v>0</v>
      </c>
      <c r="DN16" s="357">
        <v>0</v>
      </c>
      <c r="DO16" s="357">
        <v>0</v>
      </c>
      <c r="DP16" s="357">
        <v>0</v>
      </c>
      <c r="DQ16" s="357">
        <v>342616.58</v>
      </c>
      <c r="DR16" s="357">
        <v>0</v>
      </c>
      <c r="DS16" s="357">
        <v>0</v>
      </c>
      <c r="DT16" s="357">
        <v>0</v>
      </c>
      <c r="DU16" s="357">
        <v>0</v>
      </c>
      <c r="DV16" s="357">
        <v>0</v>
      </c>
      <c r="DW16" s="357">
        <v>342616.58</v>
      </c>
      <c r="DX16" s="357">
        <v>0</v>
      </c>
      <c r="DY16" s="357">
        <v>0</v>
      </c>
      <c r="DZ16" s="357">
        <v>342616.58</v>
      </c>
      <c r="EA16" s="357">
        <v>0</v>
      </c>
      <c r="EB16" s="357">
        <v>0</v>
      </c>
      <c r="EC16" s="357">
        <v>83437.64</v>
      </c>
      <c r="ED16" s="357">
        <v>0</v>
      </c>
      <c r="EE16" s="357">
        <v>0</v>
      </c>
      <c r="EF16" s="357">
        <v>83437.64</v>
      </c>
      <c r="EG16" s="357">
        <v>128314.24</v>
      </c>
      <c r="EH16" s="357">
        <v>0</v>
      </c>
      <c r="EI16" s="357">
        <v>0</v>
      </c>
      <c r="EJ16" s="357">
        <v>128314.24</v>
      </c>
      <c r="EK16" s="357">
        <v>1405000</v>
      </c>
      <c r="EL16" s="357">
        <v>0</v>
      </c>
      <c r="EM16" s="357">
        <v>0</v>
      </c>
      <c r="EN16" s="357">
        <v>1405000</v>
      </c>
      <c r="EO16" s="357">
        <v>1616751.88</v>
      </c>
      <c r="EP16" s="357">
        <v>0</v>
      </c>
      <c r="EQ16" s="357">
        <v>0</v>
      </c>
      <c r="ER16" s="357">
        <v>0</v>
      </c>
      <c r="ES16" s="357">
        <v>0</v>
      </c>
      <c r="ET16" s="357">
        <v>0</v>
      </c>
      <c r="EU16" s="357">
        <v>1616751.88</v>
      </c>
      <c r="EV16" s="357">
        <v>0</v>
      </c>
      <c r="EW16" s="357">
        <v>0</v>
      </c>
      <c r="EX16" s="357">
        <v>1616751.88</v>
      </c>
      <c r="EY16" s="357">
        <v>58449654.2</v>
      </c>
      <c r="EZ16" s="357">
        <v>0</v>
      </c>
      <c r="FA16" s="357">
        <v>0</v>
      </c>
      <c r="FB16" s="357">
        <v>58449654.2</v>
      </c>
      <c r="FC16" s="277">
        <v>0</v>
      </c>
      <c r="FD16" s="205"/>
    </row>
    <row r="17" spans="1:160" ht="12.75">
      <c r="A17" s="169">
        <v>10</v>
      </c>
      <c r="B17" s="172" t="s">
        <v>724</v>
      </c>
      <c r="C17" s="258" t="s">
        <v>725</v>
      </c>
      <c r="D17" s="235">
        <v>41639</v>
      </c>
      <c r="E17" s="357">
        <v>282424256</v>
      </c>
      <c r="F17" s="357">
        <v>0</v>
      </c>
      <c r="G17" s="357">
        <v>0</v>
      </c>
      <c r="H17" s="357">
        <v>282424256</v>
      </c>
      <c r="I17" s="357">
        <v>133021825</v>
      </c>
      <c r="J17" s="357">
        <v>0</v>
      </c>
      <c r="K17" s="357">
        <v>0</v>
      </c>
      <c r="L17" s="357">
        <v>0</v>
      </c>
      <c r="M17" s="357">
        <v>0</v>
      </c>
      <c r="N17" s="357">
        <v>0</v>
      </c>
      <c r="O17" s="357">
        <v>133021825</v>
      </c>
      <c r="P17" s="357">
        <v>0</v>
      </c>
      <c r="Q17" s="357">
        <v>0</v>
      </c>
      <c r="R17" s="357">
        <v>133021825</v>
      </c>
      <c r="S17" s="357">
        <v>232675</v>
      </c>
      <c r="T17" s="357">
        <v>0</v>
      </c>
      <c r="U17" s="357">
        <v>0</v>
      </c>
      <c r="V17" s="357">
        <v>232675</v>
      </c>
      <c r="W17" s="357">
        <v>2024</v>
      </c>
      <c r="X17" s="357">
        <v>0</v>
      </c>
      <c r="Y17" s="357">
        <v>0</v>
      </c>
      <c r="Z17" s="357">
        <v>2024</v>
      </c>
      <c r="AA17" s="357">
        <v>230651</v>
      </c>
      <c r="AB17" s="357">
        <v>0</v>
      </c>
      <c r="AC17" s="357">
        <v>0</v>
      </c>
      <c r="AD17" s="357">
        <v>0</v>
      </c>
      <c r="AE17" s="357">
        <v>0</v>
      </c>
      <c r="AF17" s="357">
        <v>0</v>
      </c>
      <c r="AG17" s="357">
        <v>230651</v>
      </c>
      <c r="AH17" s="357">
        <v>0</v>
      </c>
      <c r="AI17" s="357">
        <v>0</v>
      </c>
      <c r="AJ17" s="357">
        <v>230651</v>
      </c>
      <c r="AK17" s="357">
        <v>230651</v>
      </c>
      <c r="AL17" s="357">
        <v>0</v>
      </c>
      <c r="AM17" s="357">
        <v>0</v>
      </c>
      <c r="AN17" s="357">
        <v>230651</v>
      </c>
      <c r="AO17" s="357">
        <v>3326162</v>
      </c>
      <c r="AP17" s="357">
        <v>0</v>
      </c>
      <c r="AQ17" s="357">
        <v>0</v>
      </c>
      <c r="AR17" s="357">
        <v>3326162</v>
      </c>
      <c r="AS17" s="357">
        <v>0</v>
      </c>
      <c r="AT17" s="357">
        <v>0</v>
      </c>
      <c r="AU17" s="357">
        <v>0</v>
      </c>
      <c r="AV17" s="357">
        <v>0</v>
      </c>
      <c r="AW17" s="357">
        <v>2494610</v>
      </c>
      <c r="AX17" s="357">
        <v>0</v>
      </c>
      <c r="AY17" s="357">
        <v>0</v>
      </c>
      <c r="AZ17" s="357">
        <v>2494610</v>
      </c>
      <c r="BA17" s="357">
        <v>831552</v>
      </c>
      <c r="BB17" s="357">
        <v>0</v>
      </c>
      <c r="BC17" s="357">
        <v>0</v>
      </c>
      <c r="BD17" s="357">
        <v>831552</v>
      </c>
      <c r="BE17" s="357">
        <v>10279402</v>
      </c>
      <c r="BF17" s="357">
        <v>0</v>
      </c>
      <c r="BG17" s="357">
        <v>0</v>
      </c>
      <c r="BH17" s="357">
        <v>10279402</v>
      </c>
      <c r="BI17" s="357">
        <v>227446</v>
      </c>
      <c r="BJ17" s="357">
        <v>0</v>
      </c>
      <c r="BK17" s="357">
        <v>0</v>
      </c>
      <c r="BL17" s="357">
        <v>227446</v>
      </c>
      <c r="BM17" s="357">
        <v>0</v>
      </c>
      <c r="BN17" s="357">
        <v>0</v>
      </c>
      <c r="BO17" s="357">
        <v>0</v>
      </c>
      <c r="BP17" s="357">
        <v>0</v>
      </c>
      <c r="BQ17" s="357">
        <v>11338400</v>
      </c>
      <c r="BR17" s="357">
        <v>0</v>
      </c>
      <c r="BS17" s="357">
        <v>0</v>
      </c>
      <c r="BT17" s="357">
        <v>0</v>
      </c>
      <c r="BU17" s="357">
        <v>0</v>
      </c>
      <c r="BV17" s="357">
        <v>0</v>
      </c>
      <c r="BW17" s="357">
        <v>11338400</v>
      </c>
      <c r="BX17" s="357">
        <v>0</v>
      </c>
      <c r="BY17" s="357">
        <v>0</v>
      </c>
      <c r="BZ17" s="357">
        <v>11338400</v>
      </c>
      <c r="CA17" s="357">
        <v>20000</v>
      </c>
      <c r="CB17" s="357">
        <v>0</v>
      </c>
      <c r="CC17" s="357">
        <v>0</v>
      </c>
      <c r="CD17" s="357">
        <v>20000</v>
      </c>
      <c r="CE17" s="357">
        <v>1383556</v>
      </c>
      <c r="CF17" s="357">
        <v>0</v>
      </c>
      <c r="CG17" s="357">
        <v>0</v>
      </c>
      <c r="CH17" s="357">
        <v>1383556</v>
      </c>
      <c r="CI17" s="357">
        <v>1403556</v>
      </c>
      <c r="CJ17" s="357">
        <v>0</v>
      </c>
      <c r="CK17" s="357">
        <v>0</v>
      </c>
      <c r="CL17" s="357">
        <v>0</v>
      </c>
      <c r="CM17" s="357">
        <v>0</v>
      </c>
      <c r="CN17" s="357">
        <v>0</v>
      </c>
      <c r="CO17" s="357">
        <v>1403556</v>
      </c>
      <c r="CP17" s="357">
        <v>0</v>
      </c>
      <c r="CQ17" s="357">
        <v>0</v>
      </c>
      <c r="CR17" s="357">
        <v>1403556</v>
      </c>
      <c r="CS17" s="357">
        <v>805325</v>
      </c>
      <c r="CT17" s="357">
        <v>0</v>
      </c>
      <c r="CU17" s="357">
        <v>0</v>
      </c>
      <c r="CV17" s="357">
        <v>805325</v>
      </c>
      <c r="CW17" s="357">
        <v>102018</v>
      </c>
      <c r="CX17" s="357">
        <v>0</v>
      </c>
      <c r="CY17" s="357">
        <v>0</v>
      </c>
      <c r="CZ17" s="357">
        <v>102018</v>
      </c>
      <c r="DA17" s="357">
        <v>0</v>
      </c>
      <c r="DB17" s="357">
        <v>0</v>
      </c>
      <c r="DC17" s="357">
        <v>0</v>
      </c>
      <c r="DD17" s="357">
        <v>0</v>
      </c>
      <c r="DE17" s="357">
        <v>0</v>
      </c>
      <c r="DF17" s="357">
        <v>0</v>
      </c>
      <c r="DG17" s="357">
        <v>0</v>
      </c>
      <c r="DH17" s="357">
        <v>0</v>
      </c>
      <c r="DI17" s="357">
        <v>0</v>
      </c>
      <c r="DJ17" s="357">
        <v>0</v>
      </c>
      <c r="DK17" s="357">
        <v>0</v>
      </c>
      <c r="DL17" s="357">
        <v>0</v>
      </c>
      <c r="DM17" s="357">
        <v>0</v>
      </c>
      <c r="DN17" s="357">
        <v>0</v>
      </c>
      <c r="DO17" s="357">
        <v>0</v>
      </c>
      <c r="DP17" s="357">
        <v>0</v>
      </c>
      <c r="DQ17" s="357">
        <v>907343</v>
      </c>
      <c r="DR17" s="357">
        <v>0</v>
      </c>
      <c r="DS17" s="357">
        <v>0</v>
      </c>
      <c r="DT17" s="357">
        <v>0</v>
      </c>
      <c r="DU17" s="357">
        <v>0</v>
      </c>
      <c r="DV17" s="357">
        <v>0</v>
      </c>
      <c r="DW17" s="357">
        <v>907343</v>
      </c>
      <c r="DX17" s="357">
        <v>0</v>
      </c>
      <c r="DY17" s="357">
        <v>0</v>
      </c>
      <c r="DZ17" s="357">
        <v>907343</v>
      </c>
      <c r="EA17" s="357">
        <v>0</v>
      </c>
      <c r="EB17" s="357">
        <v>0</v>
      </c>
      <c r="EC17" s="357">
        <v>0</v>
      </c>
      <c r="ED17" s="357">
        <v>0</v>
      </c>
      <c r="EE17" s="357">
        <v>0</v>
      </c>
      <c r="EF17" s="357">
        <v>0</v>
      </c>
      <c r="EG17" s="357">
        <v>1200000</v>
      </c>
      <c r="EH17" s="357">
        <v>0</v>
      </c>
      <c r="EI17" s="357">
        <v>0</v>
      </c>
      <c r="EJ17" s="357">
        <v>1200000</v>
      </c>
      <c r="EK17" s="357">
        <v>2500000</v>
      </c>
      <c r="EL17" s="357">
        <v>0</v>
      </c>
      <c r="EM17" s="357">
        <v>0</v>
      </c>
      <c r="EN17" s="357">
        <v>2500000</v>
      </c>
      <c r="EO17" s="357">
        <v>3700000</v>
      </c>
      <c r="EP17" s="357">
        <v>0</v>
      </c>
      <c r="EQ17" s="357">
        <v>0</v>
      </c>
      <c r="ER17" s="357">
        <v>0</v>
      </c>
      <c r="ES17" s="357">
        <v>0</v>
      </c>
      <c r="ET17" s="357">
        <v>0</v>
      </c>
      <c r="EU17" s="357">
        <v>3700000</v>
      </c>
      <c r="EV17" s="357">
        <v>0</v>
      </c>
      <c r="EW17" s="357">
        <v>0</v>
      </c>
      <c r="EX17" s="357">
        <v>3700000</v>
      </c>
      <c r="EY17" s="357">
        <v>115441875</v>
      </c>
      <c r="EZ17" s="357">
        <v>0</v>
      </c>
      <c r="FA17" s="357">
        <v>0</v>
      </c>
      <c r="FB17" s="357">
        <v>115441875</v>
      </c>
      <c r="FC17" s="277">
        <v>0</v>
      </c>
      <c r="FD17" s="205"/>
    </row>
    <row r="18" spans="1:160" ht="12.75">
      <c r="A18" s="169">
        <v>11</v>
      </c>
      <c r="B18" s="172" t="s">
        <v>726</v>
      </c>
      <c r="C18" s="258" t="s">
        <v>727</v>
      </c>
      <c r="D18" s="235">
        <v>41647</v>
      </c>
      <c r="E18" s="357">
        <v>135627457</v>
      </c>
      <c r="F18" s="357">
        <v>0</v>
      </c>
      <c r="G18" s="357">
        <v>1000000</v>
      </c>
      <c r="H18" s="357">
        <v>136627457</v>
      </c>
      <c r="I18" s="357">
        <v>63880532</v>
      </c>
      <c r="J18" s="357">
        <v>0</v>
      </c>
      <c r="K18" s="357">
        <v>471000</v>
      </c>
      <c r="L18" s="357">
        <v>0</v>
      </c>
      <c r="M18" s="357">
        <v>0</v>
      </c>
      <c r="N18" s="357">
        <v>0</v>
      </c>
      <c r="O18" s="357">
        <v>63880532</v>
      </c>
      <c r="P18" s="357">
        <v>0</v>
      </c>
      <c r="Q18" s="357">
        <v>471000</v>
      </c>
      <c r="R18" s="357">
        <v>64351532</v>
      </c>
      <c r="S18" s="357">
        <v>64998.46</v>
      </c>
      <c r="T18" s="357">
        <v>0</v>
      </c>
      <c r="U18" s="357">
        <v>0</v>
      </c>
      <c r="V18" s="357">
        <v>64998.46</v>
      </c>
      <c r="W18" s="357">
        <v>24193.57</v>
      </c>
      <c r="X18" s="357">
        <v>0</v>
      </c>
      <c r="Y18" s="357">
        <v>0</v>
      </c>
      <c r="Z18" s="357">
        <v>24193.57</v>
      </c>
      <c r="AA18" s="357">
        <v>40804.89</v>
      </c>
      <c r="AB18" s="357">
        <v>0</v>
      </c>
      <c r="AC18" s="357">
        <v>0</v>
      </c>
      <c r="AD18" s="357">
        <v>0</v>
      </c>
      <c r="AE18" s="357">
        <v>0</v>
      </c>
      <c r="AF18" s="357">
        <v>0</v>
      </c>
      <c r="AG18" s="357">
        <v>40804.89</v>
      </c>
      <c r="AH18" s="357">
        <v>0</v>
      </c>
      <c r="AI18" s="357">
        <v>0</v>
      </c>
      <c r="AJ18" s="357">
        <v>40804.89</v>
      </c>
      <c r="AK18" s="357">
        <v>40804.89</v>
      </c>
      <c r="AL18" s="357">
        <v>0</v>
      </c>
      <c r="AM18" s="357">
        <v>0</v>
      </c>
      <c r="AN18" s="357">
        <v>40804.89</v>
      </c>
      <c r="AO18" s="357">
        <v>4458333.41</v>
      </c>
      <c r="AP18" s="357">
        <v>0</v>
      </c>
      <c r="AQ18" s="357">
        <v>0</v>
      </c>
      <c r="AR18" s="357">
        <v>4458333.41</v>
      </c>
      <c r="AS18" s="357">
        <v>0</v>
      </c>
      <c r="AT18" s="357">
        <v>0</v>
      </c>
      <c r="AU18" s="357">
        <v>0</v>
      </c>
      <c r="AV18" s="357">
        <v>0</v>
      </c>
      <c r="AW18" s="357">
        <v>1215973.83</v>
      </c>
      <c r="AX18" s="357">
        <v>0</v>
      </c>
      <c r="AY18" s="357">
        <v>11022</v>
      </c>
      <c r="AZ18" s="357">
        <v>1226995.83</v>
      </c>
      <c r="BA18" s="357">
        <v>3242359.58</v>
      </c>
      <c r="BB18" s="357">
        <v>0</v>
      </c>
      <c r="BC18" s="357">
        <v>-11022</v>
      </c>
      <c r="BD18" s="357">
        <v>3231337.58</v>
      </c>
      <c r="BE18" s="357">
        <v>4242663</v>
      </c>
      <c r="BF18" s="357">
        <v>0</v>
      </c>
      <c r="BG18" s="357">
        <v>0</v>
      </c>
      <c r="BH18" s="357">
        <v>4242663</v>
      </c>
      <c r="BI18" s="357">
        <v>54822.68</v>
      </c>
      <c r="BJ18" s="357">
        <v>0</v>
      </c>
      <c r="BK18" s="357">
        <v>0</v>
      </c>
      <c r="BL18" s="357">
        <v>54822.68</v>
      </c>
      <c r="BM18" s="357">
        <v>7153.15</v>
      </c>
      <c r="BN18" s="357">
        <v>0</v>
      </c>
      <c r="BO18" s="357">
        <v>0</v>
      </c>
      <c r="BP18" s="357">
        <v>7153.15</v>
      </c>
      <c r="BQ18" s="357">
        <v>7546998.41</v>
      </c>
      <c r="BR18" s="357">
        <v>0</v>
      </c>
      <c r="BS18" s="357">
        <v>-11022</v>
      </c>
      <c r="BT18" s="357">
        <v>0</v>
      </c>
      <c r="BU18" s="357">
        <v>0</v>
      </c>
      <c r="BV18" s="357">
        <v>0</v>
      </c>
      <c r="BW18" s="357">
        <v>7546998.41</v>
      </c>
      <c r="BX18" s="357">
        <v>0</v>
      </c>
      <c r="BY18" s="357">
        <v>-11022</v>
      </c>
      <c r="BZ18" s="357">
        <v>7535976.41</v>
      </c>
      <c r="CA18" s="357">
        <v>0</v>
      </c>
      <c r="CB18" s="357">
        <v>0</v>
      </c>
      <c r="CC18" s="357">
        <v>0</v>
      </c>
      <c r="CD18" s="357">
        <v>0</v>
      </c>
      <c r="CE18" s="357">
        <v>1667851.81</v>
      </c>
      <c r="CF18" s="357">
        <v>0</v>
      </c>
      <c r="CG18" s="357">
        <v>0</v>
      </c>
      <c r="CH18" s="357">
        <v>1667851.81</v>
      </c>
      <c r="CI18" s="357">
        <v>1667851.81</v>
      </c>
      <c r="CJ18" s="357">
        <v>0</v>
      </c>
      <c r="CK18" s="357">
        <v>0</v>
      </c>
      <c r="CL18" s="357">
        <v>395760</v>
      </c>
      <c r="CM18" s="357">
        <v>0</v>
      </c>
      <c r="CN18" s="357">
        <v>0</v>
      </c>
      <c r="CO18" s="357">
        <v>2063611.81</v>
      </c>
      <c r="CP18" s="357">
        <v>0</v>
      </c>
      <c r="CQ18" s="357">
        <v>0</v>
      </c>
      <c r="CR18" s="357">
        <v>2063611.81</v>
      </c>
      <c r="CS18" s="357">
        <v>121167.58</v>
      </c>
      <c r="CT18" s="357">
        <v>0</v>
      </c>
      <c r="CU18" s="357">
        <v>0</v>
      </c>
      <c r="CV18" s="357">
        <v>121167.58</v>
      </c>
      <c r="CW18" s="357">
        <v>942</v>
      </c>
      <c r="CX18" s="357">
        <v>0</v>
      </c>
      <c r="CY18" s="357">
        <v>0</v>
      </c>
      <c r="CZ18" s="357">
        <v>942</v>
      </c>
      <c r="DA18" s="357">
        <v>0</v>
      </c>
      <c r="DB18" s="357">
        <v>0</v>
      </c>
      <c r="DC18" s="357">
        <v>0</v>
      </c>
      <c r="DD18" s="357">
        <v>0</v>
      </c>
      <c r="DE18" s="357">
        <v>2590.75</v>
      </c>
      <c r="DF18" s="357">
        <v>0</v>
      </c>
      <c r="DG18" s="357">
        <v>0</v>
      </c>
      <c r="DH18" s="357">
        <v>2590.75</v>
      </c>
      <c r="DI18" s="357">
        <v>0</v>
      </c>
      <c r="DJ18" s="357">
        <v>0</v>
      </c>
      <c r="DK18" s="357">
        <v>0</v>
      </c>
      <c r="DL18" s="357">
        <v>0</v>
      </c>
      <c r="DM18" s="357">
        <v>0</v>
      </c>
      <c r="DN18" s="357">
        <v>0</v>
      </c>
      <c r="DO18" s="357">
        <v>0</v>
      </c>
      <c r="DP18" s="357">
        <v>0</v>
      </c>
      <c r="DQ18" s="357">
        <v>124700.33</v>
      </c>
      <c r="DR18" s="357">
        <v>0</v>
      </c>
      <c r="DS18" s="357">
        <v>0</v>
      </c>
      <c r="DT18" s="357">
        <v>0</v>
      </c>
      <c r="DU18" s="357">
        <v>0</v>
      </c>
      <c r="DV18" s="357">
        <v>0</v>
      </c>
      <c r="DW18" s="357">
        <v>124700.33</v>
      </c>
      <c r="DX18" s="357">
        <v>0</v>
      </c>
      <c r="DY18" s="357">
        <v>0</v>
      </c>
      <c r="DZ18" s="357">
        <v>124700.33</v>
      </c>
      <c r="EA18" s="357">
        <v>0</v>
      </c>
      <c r="EB18" s="357">
        <v>0</v>
      </c>
      <c r="EC18" s="357">
        <v>0</v>
      </c>
      <c r="ED18" s="357">
        <v>0</v>
      </c>
      <c r="EE18" s="357">
        <v>0</v>
      </c>
      <c r="EF18" s="357">
        <v>0</v>
      </c>
      <c r="EG18" s="357">
        <v>42900</v>
      </c>
      <c r="EH18" s="357">
        <v>0</v>
      </c>
      <c r="EI18" s="357">
        <v>0</v>
      </c>
      <c r="EJ18" s="357">
        <v>42900</v>
      </c>
      <c r="EK18" s="357">
        <v>737896</v>
      </c>
      <c r="EL18" s="357">
        <v>0</v>
      </c>
      <c r="EM18" s="357">
        <v>0</v>
      </c>
      <c r="EN18" s="357">
        <v>737896</v>
      </c>
      <c r="EO18" s="357">
        <v>780796</v>
      </c>
      <c r="EP18" s="357">
        <v>0</v>
      </c>
      <c r="EQ18" s="357">
        <v>0</v>
      </c>
      <c r="ER18" s="357">
        <v>0</v>
      </c>
      <c r="ES18" s="357">
        <v>0</v>
      </c>
      <c r="ET18" s="357">
        <v>0</v>
      </c>
      <c r="EU18" s="357">
        <v>780796</v>
      </c>
      <c r="EV18" s="357">
        <v>0</v>
      </c>
      <c r="EW18" s="357">
        <v>0</v>
      </c>
      <c r="EX18" s="357">
        <v>780796</v>
      </c>
      <c r="EY18" s="357">
        <v>53323620.6</v>
      </c>
      <c r="EZ18" s="357">
        <v>0</v>
      </c>
      <c r="FA18" s="357">
        <v>482022</v>
      </c>
      <c r="FB18" s="357">
        <v>53805642.6</v>
      </c>
      <c r="FC18" s="277">
        <v>0</v>
      </c>
      <c r="FD18" s="205"/>
    </row>
    <row r="19" spans="1:160" ht="12.75">
      <c r="A19" s="169">
        <v>12</v>
      </c>
      <c r="B19" s="172" t="s">
        <v>728</v>
      </c>
      <c r="C19" s="258" t="s">
        <v>729</v>
      </c>
      <c r="D19" s="235">
        <v>41639</v>
      </c>
      <c r="E19" s="357">
        <v>58518472</v>
      </c>
      <c r="F19" s="357">
        <v>0</v>
      </c>
      <c r="G19" s="357">
        <v>0</v>
      </c>
      <c r="H19" s="357">
        <v>58518472</v>
      </c>
      <c r="I19" s="357">
        <v>27562200</v>
      </c>
      <c r="J19" s="357">
        <v>0</v>
      </c>
      <c r="K19" s="357">
        <v>0</v>
      </c>
      <c r="L19" s="357">
        <v>0</v>
      </c>
      <c r="M19" s="357">
        <v>0</v>
      </c>
      <c r="N19" s="357">
        <v>0</v>
      </c>
      <c r="O19" s="357">
        <v>27562200</v>
      </c>
      <c r="P19" s="357">
        <v>0</v>
      </c>
      <c r="Q19" s="357">
        <v>0</v>
      </c>
      <c r="R19" s="357">
        <v>27562200</v>
      </c>
      <c r="S19" s="357">
        <v>94396</v>
      </c>
      <c r="T19" s="357">
        <v>0</v>
      </c>
      <c r="U19" s="357">
        <v>0</v>
      </c>
      <c r="V19" s="357">
        <v>94396</v>
      </c>
      <c r="W19" s="357">
        <v>529</v>
      </c>
      <c r="X19" s="357">
        <v>0</v>
      </c>
      <c r="Y19" s="357">
        <v>0</v>
      </c>
      <c r="Z19" s="357">
        <v>529</v>
      </c>
      <c r="AA19" s="357">
        <v>93867</v>
      </c>
      <c r="AB19" s="357">
        <v>0</v>
      </c>
      <c r="AC19" s="357">
        <v>0</v>
      </c>
      <c r="AD19" s="357">
        <v>0</v>
      </c>
      <c r="AE19" s="357">
        <v>0</v>
      </c>
      <c r="AF19" s="357">
        <v>0</v>
      </c>
      <c r="AG19" s="357">
        <v>93867</v>
      </c>
      <c r="AH19" s="357">
        <v>0</v>
      </c>
      <c r="AI19" s="357">
        <v>0</v>
      </c>
      <c r="AJ19" s="357">
        <v>93867</v>
      </c>
      <c r="AK19" s="357">
        <v>93867</v>
      </c>
      <c r="AL19" s="357">
        <v>0</v>
      </c>
      <c r="AM19" s="357">
        <v>0</v>
      </c>
      <c r="AN19" s="357">
        <v>93867</v>
      </c>
      <c r="AO19" s="357">
        <v>1282964</v>
      </c>
      <c r="AP19" s="357">
        <v>0</v>
      </c>
      <c r="AQ19" s="357">
        <v>0</v>
      </c>
      <c r="AR19" s="357">
        <v>1282964</v>
      </c>
      <c r="AS19" s="357">
        <v>0</v>
      </c>
      <c r="AT19" s="357">
        <v>0</v>
      </c>
      <c r="AU19" s="357">
        <v>0</v>
      </c>
      <c r="AV19" s="357">
        <v>0</v>
      </c>
      <c r="AW19" s="357">
        <v>558148</v>
      </c>
      <c r="AX19" s="357">
        <v>0</v>
      </c>
      <c r="AY19" s="357">
        <v>0</v>
      </c>
      <c r="AZ19" s="357">
        <v>558148</v>
      </c>
      <c r="BA19" s="357">
        <v>724816</v>
      </c>
      <c r="BB19" s="357">
        <v>0</v>
      </c>
      <c r="BC19" s="357">
        <v>0</v>
      </c>
      <c r="BD19" s="357">
        <v>724816</v>
      </c>
      <c r="BE19" s="357">
        <v>1210659</v>
      </c>
      <c r="BF19" s="357">
        <v>0</v>
      </c>
      <c r="BG19" s="357">
        <v>0</v>
      </c>
      <c r="BH19" s="357">
        <v>1210659</v>
      </c>
      <c r="BI19" s="357">
        <v>91110</v>
      </c>
      <c r="BJ19" s="357">
        <v>0</v>
      </c>
      <c r="BK19" s="357">
        <v>0</v>
      </c>
      <c r="BL19" s="357">
        <v>91110</v>
      </c>
      <c r="BM19" s="357">
        <v>203</v>
      </c>
      <c r="BN19" s="357">
        <v>0</v>
      </c>
      <c r="BO19" s="357">
        <v>0</v>
      </c>
      <c r="BP19" s="357">
        <v>203</v>
      </c>
      <c r="BQ19" s="357">
        <v>2026788</v>
      </c>
      <c r="BR19" s="357">
        <v>0</v>
      </c>
      <c r="BS19" s="357">
        <v>0</v>
      </c>
      <c r="BT19" s="357">
        <v>0</v>
      </c>
      <c r="BU19" s="357">
        <v>0</v>
      </c>
      <c r="BV19" s="357">
        <v>0</v>
      </c>
      <c r="BW19" s="357">
        <v>2026788</v>
      </c>
      <c r="BX19" s="357">
        <v>0</v>
      </c>
      <c r="BY19" s="357">
        <v>0</v>
      </c>
      <c r="BZ19" s="357">
        <v>2026788</v>
      </c>
      <c r="CA19" s="357">
        <v>815</v>
      </c>
      <c r="CB19" s="357">
        <v>0</v>
      </c>
      <c r="CC19" s="357">
        <v>0</v>
      </c>
      <c r="CD19" s="357">
        <v>815</v>
      </c>
      <c r="CE19" s="357">
        <v>632952</v>
      </c>
      <c r="CF19" s="357">
        <v>0</v>
      </c>
      <c r="CG19" s="357">
        <v>0</v>
      </c>
      <c r="CH19" s="357">
        <v>632952</v>
      </c>
      <c r="CI19" s="357">
        <v>633767</v>
      </c>
      <c r="CJ19" s="357">
        <v>0</v>
      </c>
      <c r="CK19" s="357">
        <v>0</v>
      </c>
      <c r="CL19" s="357">
        <v>0</v>
      </c>
      <c r="CM19" s="357">
        <v>0</v>
      </c>
      <c r="CN19" s="357">
        <v>0</v>
      </c>
      <c r="CO19" s="357">
        <v>633767</v>
      </c>
      <c r="CP19" s="357">
        <v>0</v>
      </c>
      <c r="CQ19" s="357">
        <v>0</v>
      </c>
      <c r="CR19" s="357">
        <v>633767</v>
      </c>
      <c r="CS19" s="357">
        <v>30458</v>
      </c>
      <c r="CT19" s="357">
        <v>0</v>
      </c>
      <c r="CU19" s="357">
        <v>0</v>
      </c>
      <c r="CV19" s="357">
        <v>30458</v>
      </c>
      <c r="CW19" s="357">
        <v>67491</v>
      </c>
      <c r="CX19" s="357">
        <v>0</v>
      </c>
      <c r="CY19" s="357">
        <v>0</v>
      </c>
      <c r="CZ19" s="357">
        <v>67491</v>
      </c>
      <c r="DA19" s="357">
        <v>10493</v>
      </c>
      <c r="DB19" s="357">
        <v>0</v>
      </c>
      <c r="DC19" s="357">
        <v>0</v>
      </c>
      <c r="DD19" s="357">
        <v>10493</v>
      </c>
      <c r="DE19" s="357">
        <v>0</v>
      </c>
      <c r="DF19" s="357">
        <v>0</v>
      </c>
      <c r="DG19" s="357">
        <v>0</v>
      </c>
      <c r="DH19" s="357">
        <v>0</v>
      </c>
      <c r="DI19" s="357">
        <v>0</v>
      </c>
      <c r="DJ19" s="357">
        <v>0</v>
      </c>
      <c r="DK19" s="357">
        <v>0</v>
      </c>
      <c r="DL19" s="357">
        <v>0</v>
      </c>
      <c r="DM19" s="357">
        <v>0</v>
      </c>
      <c r="DN19" s="357">
        <v>0</v>
      </c>
      <c r="DO19" s="357">
        <v>0</v>
      </c>
      <c r="DP19" s="357">
        <v>0</v>
      </c>
      <c r="DQ19" s="357">
        <v>108442</v>
      </c>
      <c r="DR19" s="357">
        <v>0</v>
      </c>
      <c r="DS19" s="357">
        <v>0</v>
      </c>
      <c r="DT19" s="357">
        <v>0</v>
      </c>
      <c r="DU19" s="357">
        <v>0</v>
      </c>
      <c r="DV19" s="357">
        <v>0</v>
      </c>
      <c r="DW19" s="357">
        <v>108442</v>
      </c>
      <c r="DX19" s="357">
        <v>0</v>
      </c>
      <c r="DY19" s="357">
        <v>0</v>
      </c>
      <c r="DZ19" s="357">
        <v>108442</v>
      </c>
      <c r="EA19" s="357">
        <v>0</v>
      </c>
      <c r="EB19" s="357">
        <v>0</v>
      </c>
      <c r="EC19" s="357">
        <v>0</v>
      </c>
      <c r="ED19" s="357">
        <v>0</v>
      </c>
      <c r="EE19" s="357">
        <v>0</v>
      </c>
      <c r="EF19" s="357">
        <v>0</v>
      </c>
      <c r="EG19" s="357">
        <v>60723</v>
      </c>
      <c r="EH19" s="357">
        <v>0</v>
      </c>
      <c r="EI19" s="357">
        <v>0</v>
      </c>
      <c r="EJ19" s="357">
        <v>60723</v>
      </c>
      <c r="EK19" s="357">
        <v>334000</v>
      </c>
      <c r="EL19" s="357">
        <v>0</v>
      </c>
      <c r="EM19" s="357">
        <v>0</v>
      </c>
      <c r="EN19" s="357">
        <v>334000</v>
      </c>
      <c r="EO19" s="357">
        <v>394723</v>
      </c>
      <c r="EP19" s="357">
        <v>0</v>
      </c>
      <c r="EQ19" s="357">
        <v>0</v>
      </c>
      <c r="ER19" s="357">
        <v>0</v>
      </c>
      <c r="ES19" s="357">
        <v>0</v>
      </c>
      <c r="ET19" s="357">
        <v>0</v>
      </c>
      <c r="EU19" s="357">
        <v>394723</v>
      </c>
      <c r="EV19" s="357">
        <v>0</v>
      </c>
      <c r="EW19" s="357">
        <v>0</v>
      </c>
      <c r="EX19" s="357">
        <v>394723</v>
      </c>
      <c r="EY19" s="357">
        <v>24304613</v>
      </c>
      <c r="EZ19" s="357">
        <v>0</v>
      </c>
      <c r="FA19" s="357">
        <v>0</v>
      </c>
      <c r="FB19" s="357">
        <v>24304613</v>
      </c>
      <c r="FC19" s="277">
        <v>0</v>
      </c>
      <c r="FD19" s="205"/>
    </row>
    <row r="20" spans="1:160" ht="12.75">
      <c r="A20" s="169">
        <v>13</v>
      </c>
      <c r="B20" s="172" t="s">
        <v>730</v>
      </c>
      <c r="C20" s="258" t="s">
        <v>731</v>
      </c>
      <c r="D20" s="235">
        <v>41661</v>
      </c>
      <c r="E20" s="357">
        <v>187744294</v>
      </c>
      <c r="F20" s="357">
        <v>0</v>
      </c>
      <c r="G20" s="357">
        <v>0</v>
      </c>
      <c r="H20" s="357">
        <v>187744294</v>
      </c>
      <c r="I20" s="357">
        <v>88427562</v>
      </c>
      <c r="J20" s="357">
        <v>0</v>
      </c>
      <c r="K20" s="357">
        <v>0</v>
      </c>
      <c r="L20" s="357">
        <v>-3434399</v>
      </c>
      <c r="M20" s="357">
        <v>0</v>
      </c>
      <c r="N20" s="357">
        <v>0</v>
      </c>
      <c r="O20" s="357">
        <v>84993163</v>
      </c>
      <c r="P20" s="357">
        <v>0</v>
      </c>
      <c r="Q20" s="357">
        <v>0</v>
      </c>
      <c r="R20" s="357">
        <v>84993163</v>
      </c>
      <c r="S20" s="357">
        <v>52575.25</v>
      </c>
      <c r="T20" s="357">
        <v>0</v>
      </c>
      <c r="U20" s="357">
        <v>0</v>
      </c>
      <c r="V20" s="357">
        <v>52575.25</v>
      </c>
      <c r="W20" s="357">
        <v>72950.83</v>
      </c>
      <c r="X20" s="357">
        <v>0</v>
      </c>
      <c r="Y20" s="357">
        <v>0</v>
      </c>
      <c r="Z20" s="357">
        <v>72950.83</v>
      </c>
      <c r="AA20" s="357">
        <v>-20375.58</v>
      </c>
      <c r="AB20" s="357">
        <v>0</v>
      </c>
      <c r="AC20" s="357">
        <v>0</v>
      </c>
      <c r="AD20" s="357">
        <v>0</v>
      </c>
      <c r="AE20" s="357">
        <v>0</v>
      </c>
      <c r="AF20" s="357">
        <v>0</v>
      </c>
      <c r="AG20" s="357">
        <v>-20375.58</v>
      </c>
      <c r="AH20" s="357">
        <v>0</v>
      </c>
      <c r="AI20" s="357">
        <v>0</v>
      </c>
      <c r="AJ20" s="357">
        <v>-20375.58</v>
      </c>
      <c r="AK20" s="357">
        <v>-20375.58</v>
      </c>
      <c r="AL20" s="357">
        <v>0</v>
      </c>
      <c r="AM20" s="357">
        <v>0</v>
      </c>
      <c r="AN20" s="357">
        <v>-20375.58</v>
      </c>
      <c r="AO20" s="357">
        <v>2252809.79</v>
      </c>
      <c r="AP20" s="357">
        <v>0</v>
      </c>
      <c r="AQ20" s="357">
        <v>0</v>
      </c>
      <c r="AR20" s="357">
        <v>2252809.79</v>
      </c>
      <c r="AS20" s="357">
        <v>20000</v>
      </c>
      <c r="AT20" s="357">
        <v>0</v>
      </c>
      <c r="AU20" s="357">
        <v>0</v>
      </c>
      <c r="AV20" s="357">
        <v>20000</v>
      </c>
      <c r="AW20" s="357">
        <v>1858785.79</v>
      </c>
      <c r="AX20" s="357">
        <v>0</v>
      </c>
      <c r="AY20" s="357">
        <v>0</v>
      </c>
      <c r="AZ20" s="357">
        <v>1858785.79</v>
      </c>
      <c r="BA20" s="357">
        <v>394024</v>
      </c>
      <c r="BB20" s="357">
        <v>0</v>
      </c>
      <c r="BC20" s="357">
        <v>0</v>
      </c>
      <c r="BD20" s="357">
        <v>394024</v>
      </c>
      <c r="BE20" s="357">
        <v>3365561.31</v>
      </c>
      <c r="BF20" s="357">
        <v>0</v>
      </c>
      <c r="BG20" s="357">
        <v>0</v>
      </c>
      <c r="BH20" s="357">
        <v>3365561.31</v>
      </c>
      <c r="BI20" s="357">
        <v>29498.4</v>
      </c>
      <c r="BJ20" s="357">
        <v>0</v>
      </c>
      <c r="BK20" s="357">
        <v>0</v>
      </c>
      <c r="BL20" s="357">
        <v>29498.4</v>
      </c>
      <c r="BM20" s="357">
        <v>3398.1</v>
      </c>
      <c r="BN20" s="357">
        <v>0</v>
      </c>
      <c r="BO20" s="357">
        <v>0</v>
      </c>
      <c r="BP20" s="357">
        <v>3398.1</v>
      </c>
      <c r="BQ20" s="357">
        <v>3792481.81</v>
      </c>
      <c r="BR20" s="357">
        <v>0</v>
      </c>
      <c r="BS20" s="357">
        <v>0</v>
      </c>
      <c r="BT20" s="357">
        <v>0</v>
      </c>
      <c r="BU20" s="357">
        <v>0</v>
      </c>
      <c r="BV20" s="357">
        <v>0</v>
      </c>
      <c r="BW20" s="357">
        <v>3792481.81</v>
      </c>
      <c r="BX20" s="357">
        <v>0</v>
      </c>
      <c r="BY20" s="357">
        <v>0</v>
      </c>
      <c r="BZ20" s="357">
        <v>3792481.81</v>
      </c>
      <c r="CA20" s="357">
        <v>20000</v>
      </c>
      <c r="CB20" s="357">
        <v>0</v>
      </c>
      <c r="CC20" s="357">
        <v>0</v>
      </c>
      <c r="CD20" s="357">
        <v>20000</v>
      </c>
      <c r="CE20" s="357">
        <v>1323155</v>
      </c>
      <c r="CF20" s="357">
        <v>0</v>
      </c>
      <c r="CG20" s="357">
        <v>0</v>
      </c>
      <c r="CH20" s="357">
        <v>1323155</v>
      </c>
      <c r="CI20" s="357">
        <v>1343155</v>
      </c>
      <c r="CJ20" s="357">
        <v>0</v>
      </c>
      <c r="CK20" s="357">
        <v>0</v>
      </c>
      <c r="CL20" s="357">
        <v>200000</v>
      </c>
      <c r="CM20" s="357">
        <v>0</v>
      </c>
      <c r="CN20" s="357">
        <v>0</v>
      </c>
      <c r="CO20" s="357">
        <v>1543155</v>
      </c>
      <c r="CP20" s="357">
        <v>0</v>
      </c>
      <c r="CQ20" s="357">
        <v>0</v>
      </c>
      <c r="CR20" s="357">
        <v>1543155</v>
      </c>
      <c r="CS20" s="357">
        <v>7643.32</v>
      </c>
      <c r="CT20" s="357">
        <v>0</v>
      </c>
      <c r="CU20" s="357">
        <v>0</v>
      </c>
      <c r="CV20" s="357">
        <v>7643.32</v>
      </c>
      <c r="CW20" s="357">
        <v>26137.28</v>
      </c>
      <c r="CX20" s="357">
        <v>0</v>
      </c>
      <c r="CY20" s="357">
        <v>0</v>
      </c>
      <c r="CZ20" s="357">
        <v>26137.28</v>
      </c>
      <c r="DA20" s="357">
        <v>0</v>
      </c>
      <c r="DB20" s="357">
        <v>0</v>
      </c>
      <c r="DC20" s="357">
        <v>0</v>
      </c>
      <c r="DD20" s="357">
        <v>0</v>
      </c>
      <c r="DE20" s="357">
        <v>0</v>
      </c>
      <c r="DF20" s="357">
        <v>0</v>
      </c>
      <c r="DG20" s="357">
        <v>0</v>
      </c>
      <c r="DH20" s="357">
        <v>0</v>
      </c>
      <c r="DI20" s="357">
        <v>0</v>
      </c>
      <c r="DJ20" s="357">
        <v>0</v>
      </c>
      <c r="DK20" s="357">
        <v>0</v>
      </c>
      <c r="DL20" s="357">
        <v>0</v>
      </c>
      <c r="DM20" s="357">
        <v>0</v>
      </c>
      <c r="DN20" s="357">
        <v>0</v>
      </c>
      <c r="DO20" s="357">
        <v>0</v>
      </c>
      <c r="DP20" s="357">
        <v>0</v>
      </c>
      <c r="DQ20" s="357">
        <v>33780.6</v>
      </c>
      <c r="DR20" s="357">
        <v>0</v>
      </c>
      <c r="DS20" s="357">
        <v>0</v>
      </c>
      <c r="DT20" s="357">
        <v>3000</v>
      </c>
      <c r="DU20" s="357">
        <v>0</v>
      </c>
      <c r="DV20" s="357">
        <v>0</v>
      </c>
      <c r="DW20" s="357">
        <v>36780.6</v>
      </c>
      <c r="DX20" s="357">
        <v>0</v>
      </c>
      <c r="DY20" s="357">
        <v>0</v>
      </c>
      <c r="DZ20" s="357">
        <v>36780.6</v>
      </c>
      <c r="EA20" s="357">
        <v>0</v>
      </c>
      <c r="EB20" s="357">
        <v>0</v>
      </c>
      <c r="EC20" s="357">
        <v>0</v>
      </c>
      <c r="ED20" s="357">
        <v>0</v>
      </c>
      <c r="EE20" s="357">
        <v>0</v>
      </c>
      <c r="EF20" s="357">
        <v>0</v>
      </c>
      <c r="EG20" s="357">
        <v>380000</v>
      </c>
      <c r="EH20" s="357">
        <v>0</v>
      </c>
      <c r="EI20" s="357">
        <v>0</v>
      </c>
      <c r="EJ20" s="357">
        <v>380000</v>
      </c>
      <c r="EK20" s="357">
        <v>1046000</v>
      </c>
      <c r="EL20" s="357">
        <v>0</v>
      </c>
      <c r="EM20" s="357">
        <v>0</v>
      </c>
      <c r="EN20" s="357">
        <v>1046000</v>
      </c>
      <c r="EO20" s="357">
        <v>1426000</v>
      </c>
      <c r="EP20" s="357">
        <v>0</v>
      </c>
      <c r="EQ20" s="357">
        <v>0</v>
      </c>
      <c r="ER20" s="357">
        <v>74000</v>
      </c>
      <c r="ES20" s="357">
        <v>0</v>
      </c>
      <c r="ET20" s="357">
        <v>0</v>
      </c>
      <c r="EU20" s="357">
        <v>1500000</v>
      </c>
      <c r="EV20" s="357">
        <v>0</v>
      </c>
      <c r="EW20" s="357">
        <v>0</v>
      </c>
      <c r="EX20" s="357">
        <v>1500000</v>
      </c>
      <c r="EY20" s="357">
        <v>78141121.2</v>
      </c>
      <c r="EZ20" s="357">
        <v>0</v>
      </c>
      <c r="FA20" s="357">
        <v>0</v>
      </c>
      <c r="FB20" s="357">
        <v>78141121.2</v>
      </c>
      <c r="FC20" s="277">
        <v>0</v>
      </c>
      <c r="FD20" s="205"/>
    </row>
    <row r="21" spans="1:160" ht="12.75">
      <c r="A21" s="169">
        <v>14</v>
      </c>
      <c r="B21" s="172" t="s">
        <v>732</v>
      </c>
      <c r="C21" s="258" t="s">
        <v>733</v>
      </c>
      <c r="D21" s="235">
        <v>41639</v>
      </c>
      <c r="E21" s="357">
        <v>177185364</v>
      </c>
      <c r="F21" s="357">
        <v>0</v>
      </c>
      <c r="G21" s="357">
        <v>0</v>
      </c>
      <c r="H21" s="357">
        <v>177185364</v>
      </c>
      <c r="I21" s="357">
        <v>83454306</v>
      </c>
      <c r="J21" s="357">
        <v>0</v>
      </c>
      <c r="K21" s="357">
        <v>0</v>
      </c>
      <c r="L21" s="357">
        <v>452155</v>
      </c>
      <c r="M21" s="357">
        <v>0</v>
      </c>
      <c r="N21" s="357">
        <v>0</v>
      </c>
      <c r="O21" s="357">
        <v>83906461</v>
      </c>
      <c r="P21" s="357">
        <v>0</v>
      </c>
      <c r="Q21" s="357">
        <v>0</v>
      </c>
      <c r="R21" s="357">
        <v>83906461</v>
      </c>
      <c r="S21" s="357">
        <v>365303.74</v>
      </c>
      <c r="T21" s="357">
        <v>0</v>
      </c>
      <c r="U21" s="357">
        <v>0</v>
      </c>
      <c r="V21" s="357">
        <v>365303.74</v>
      </c>
      <c r="W21" s="357">
        <v>4330.74</v>
      </c>
      <c r="X21" s="357">
        <v>0</v>
      </c>
      <c r="Y21" s="357">
        <v>0</v>
      </c>
      <c r="Z21" s="357">
        <v>4330.74</v>
      </c>
      <c r="AA21" s="357">
        <v>360973</v>
      </c>
      <c r="AB21" s="357">
        <v>0</v>
      </c>
      <c r="AC21" s="357">
        <v>0</v>
      </c>
      <c r="AD21" s="357">
        <v>0</v>
      </c>
      <c r="AE21" s="357">
        <v>0</v>
      </c>
      <c r="AF21" s="357">
        <v>0</v>
      </c>
      <c r="AG21" s="357">
        <v>360973</v>
      </c>
      <c r="AH21" s="357">
        <v>0</v>
      </c>
      <c r="AI21" s="357">
        <v>0</v>
      </c>
      <c r="AJ21" s="357">
        <v>360973</v>
      </c>
      <c r="AK21" s="357">
        <v>360973</v>
      </c>
      <c r="AL21" s="357">
        <v>0</v>
      </c>
      <c r="AM21" s="357">
        <v>0</v>
      </c>
      <c r="AN21" s="357">
        <v>360973</v>
      </c>
      <c r="AO21" s="357">
        <v>1527082.05</v>
      </c>
      <c r="AP21" s="357">
        <v>0</v>
      </c>
      <c r="AQ21" s="357">
        <v>0</v>
      </c>
      <c r="AR21" s="357">
        <v>1527082.05</v>
      </c>
      <c r="AS21" s="357">
        <v>28260</v>
      </c>
      <c r="AT21" s="357">
        <v>0</v>
      </c>
      <c r="AU21" s="357">
        <v>0</v>
      </c>
      <c r="AV21" s="357">
        <v>28260</v>
      </c>
      <c r="AW21" s="357">
        <v>1798959.83</v>
      </c>
      <c r="AX21" s="357">
        <v>0</v>
      </c>
      <c r="AY21" s="357">
        <v>0</v>
      </c>
      <c r="AZ21" s="357">
        <v>1798959.83</v>
      </c>
      <c r="BA21" s="357">
        <v>-271877.78</v>
      </c>
      <c r="BB21" s="357">
        <v>0</v>
      </c>
      <c r="BC21" s="357">
        <v>0</v>
      </c>
      <c r="BD21" s="357">
        <v>-271877.78</v>
      </c>
      <c r="BE21" s="357">
        <v>2824988.75</v>
      </c>
      <c r="BF21" s="357">
        <v>0</v>
      </c>
      <c r="BG21" s="357">
        <v>0</v>
      </c>
      <c r="BH21" s="357">
        <v>2824988.75</v>
      </c>
      <c r="BI21" s="357">
        <v>10970.32</v>
      </c>
      <c r="BJ21" s="357">
        <v>0</v>
      </c>
      <c r="BK21" s="357">
        <v>0</v>
      </c>
      <c r="BL21" s="357">
        <v>10970.32</v>
      </c>
      <c r="BM21" s="357">
        <v>36354.85</v>
      </c>
      <c r="BN21" s="357">
        <v>0</v>
      </c>
      <c r="BO21" s="357">
        <v>0</v>
      </c>
      <c r="BP21" s="357">
        <v>36354.85</v>
      </c>
      <c r="BQ21" s="357">
        <v>2600436.14</v>
      </c>
      <c r="BR21" s="357">
        <v>0</v>
      </c>
      <c r="BS21" s="357">
        <v>0</v>
      </c>
      <c r="BT21" s="357">
        <v>30541.64</v>
      </c>
      <c r="BU21" s="357">
        <v>0</v>
      </c>
      <c r="BV21" s="357">
        <v>0</v>
      </c>
      <c r="BW21" s="357">
        <v>2630977.78</v>
      </c>
      <c r="BX21" s="357">
        <v>0</v>
      </c>
      <c r="BY21" s="357">
        <v>0</v>
      </c>
      <c r="BZ21" s="357">
        <v>2630977.78</v>
      </c>
      <c r="CA21" s="357">
        <v>350000</v>
      </c>
      <c r="CB21" s="357">
        <v>0</v>
      </c>
      <c r="CC21" s="357">
        <v>0</v>
      </c>
      <c r="CD21" s="357">
        <v>350000</v>
      </c>
      <c r="CE21" s="357">
        <v>2276026.46</v>
      </c>
      <c r="CF21" s="357">
        <v>0</v>
      </c>
      <c r="CG21" s="357">
        <v>0</v>
      </c>
      <c r="CH21" s="357">
        <v>2276026.46</v>
      </c>
      <c r="CI21" s="357">
        <v>2626026.46</v>
      </c>
      <c r="CJ21" s="357">
        <v>0</v>
      </c>
      <c r="CK21" s="357">
        <v>0</v>
      </c>
      <c r="CL21" s="357">
        <v>1800000</v>
      </c>
      <c r="CM21" s="357">
        <v>0</v>
      </c>
      <c r="CN21" s="357">
        <v>0</v>
      </c>
      <c r="CO21" s="357">
        <v>4426026.46</v>
      </c>
      <c r="CP21" s="357">
        <v>0</v>
      </c>
      <c r="CQ21" s="357">
        <v>0</v>
      </c>
      <c r="CR21" s="357">
        <v>4426026.46</v>
      </c>
      <c r="CS21" s="357">
        <v>352783.71</v>
      </c>
      <c r="CT21" s="357">
        <v>0</v>
      </c>
      <c r="CU21" s="357">
        <v>0</v>
      </c>
      <c r="CV21" s="357">
        <v>352783.71</v>
      </c>
      <c r="CW21" s="357">
        <v>148888.5</v>
      </c>
      <c r="CX21" s="357">
        <v>0</v>
      </c>
      <c r="CY21" s="357">
        <v>0</v>
      </c>
      <c r="CZ21" s="357">
        <v>148888.5</v>
      </c>
      <c r="DA21" s="357">
        <v>2742.58</v>
      </c>
      <c r="DB21" s="357">
        <v>0</v>
      </c>
      <c r="DC21" s="357">
        <v>0</v>
      </c>
      <c r="DD21" s="357">
        <v>2742.58</v>
      </c>
      <c r="DE21" s="357">
        <v>88165.9</v>
      </c>
      <c r="DF21" s="357">
        <v>0</v>
      </c>
      <c r="DG21" s="357">
        <v>0</v>
      </c>
      <c r="DH21" s="357">
        <v>88165.9</v>
      </c>
      <c r="DI21" s="357">
        <v>0</v>
      </c>
      <c r="DJ21" s="357">
        <v>0</v>
      </c>
      <c r="DK21" s="357">
        <v>0</v>
      </c>
      <c r="DL21" s="357">
        <v>0</v>
      </c>
      <c r="DM21" s="357">
        <v>0</v>
      </c>
      <c r="DN21" s="357">
        <v>0</v>
      </c>
      <c r="DO21" s="357">
        <v>0</v>
      </c>
      <c r="DP21" s="357">
        <v>0</v>
      </c>
      <c r="DQ21" s="357">
        <v>592580.69</v>
      </c>
      <c r="DR21" s="357">
        <v>0</v>
      </c>
      <c r="DS21" s="357">
        <v>0</v>
      </c>
      <c r="DT21" s="357">
        <v>0</v>
      </c>
      <c r="DU21" s="357">
        <v>0</v>
      </c>
      <c r="DV21" s="357">
        <v>0</v>
      </c>
      <c r="DW21" s="357">
        <v>592580.69</v>
      </c>
      <c r="DX21" s="357">
        <v>0</v>
      </c>
      <c r="DY21" s="357">
        <v>0</v>
      </c>
      <c r="DZ21" s="357">
        <v>592580.69</v>
      </c>
      <c r="EA21" s="357">
        <v>0</v>
      </c>
      <c r="EB21" s="357">
        <v>0</v>
      </c>
      <c r="EC21" s="357">
        <v>24100</v>
      </c>
      <c r="ED21" s="357">
        <v>0</v>
      </c>
      <c r="EE21" s="357">
        <v>0</v>
      </c>
      <c r="EF21" s="357">
        <v>24100</v>
      </c>
      <c r="EG21" s="357">
        <v>81961</v>
      </c>
      <c r="EH21" s="357">
        <v>0</v>
      </c>
      <c r="EI21" s="357">
        <v>0</v>
      </c>
      <c r="EJ21" s="357">
        <v>81961</v>
      </c>
      <c r="EK21" s="357">
        <v>500000</v>
      </c>
      <c r="EL21" s="357">
        <v>0</v>
      </c>
      <c r="EM21" s="357">
        <v>0</v>
      </c>
      <c r="EN21" s="357">
        <v>500000</v>
      </c>
      <c r="EO21" s="357">
        <v>606061</v>
      </c>
      <c r="EP21" s="357">
        <v>0</v>
      </c>
      <c r="EQ21" s="357">
        <v>0</v>
      </c>
      <c r="ER21" s="357">
        <v>0</v>
      </c>
      <c r="ES21" s="357">
        <v>0</v>
      </c>
      <c r="ET21" s="357">
        <v>0</v>
      </c>
      <c r="EU21" s="357">
        <v>606061</v>
      </c>
      <c r="EV21" s="357">
        <v>0</v>
      </c>
      <c r="EW21" s="357">
        <v>0</v>
      </c>
      <c r="EX21" s="357">
        <v>606061</v>
      </c>
      <c r="EY21" s="357">
        <v>75289842.1</v>
      </c>
      <c r="EZ21" s="357">
        <v>0</v>
      </c>
      <c r="FA21" s="357">
        <v>0</v>
      </c>
      <c r="FB21" s="357">
        <v>75289842.1</v>
      </c>
      <c r="FC21" s="277">
        <v>0</v>
      </c>
      <c r="FD21" s="205"/>
    </row>
    <row r="22" spans="1:160" ht="12.75">
      <c r="A22" s="169">
        <v>15</v>
      </c>
      <c r="B22" s="172" t="s">
        <v>734</v>
      </c>
      <c r="C22" s="258" t="s">
        <v>735</v>
      </c>
      <c r="D22" s="235">
        <v>41639</v>
      </c>
      <c r="E22" s="357">
        <v>110892607</v>
      </c>
      <c r="F22" s="357">
        <v>0</v>
      </c>
      <c r="G22" s="357">
        <v>0</v>
      </c>
      <c r="H22" s="357">
        <v>110892607</v>
      </c>
      <c r="I22" s="357">
        <v>52230418</v>
      </c>
      <c r="J22" s="357">
        <v>0</v>
      </c>
      <c r="K22" s="357">
        <v>0</v>
      </c>
      <c r="L22" s="357">
        <v>-410000</v>
      </c>
      <c r="M22" s="357">
        <v>0</v>
      </c>
      <c r="N22" s="357">
        <v>0</v>
      </c>
      <c r="O22" s="357">
        <v>51820418</v>
      </c>
      <c r="P22" s="357">
        <v>0</v>
      </c>
      <c r="Q22" s="357">
        <v>0</v>
      </c>
      <c r="R22" s="357">
        <v>51820418</v>
      </c>
      <c r="S22" s="357">
        <v>151960</v>
      </c>
      <c r="T22" s="357">
        <v>0</v>
      </c>
      <c r="U22" s="357">
        <v>0</v>
      </c>
      <c r="V22" s="357">
        <v>151960</v>
      </c>
      <c r="W22" s="357">
        <v>21196</v>
      </c>
      <c r="X22" s="357">
        <v>0</v>
      </c>
      <c r="Y22" s="357">
        <v>0</v>
      </c>
      <c r="Z22" s="357">
        <v>21196</v>
      </c>
      <c r="AA22" s="357">
        <v>130764</v>
      </c>
      <c r="AB22" s="357">
        <v>0</v>
      </c>
      <c r="AC22" s="357">
        <v>0</v>
      </c>
      <c r="AD22" s="357">
        <v>0</v>
      </c>
      <c r="AE22" s="357">
        <v>0</v>
      </c>
      <c r="AF22" s="357">
        <v>0</v>
      </c>
      <c r="AG22" s="357">
        <v>130764</v>
      </c>
      <c r="AH22" s="357">
        <v>0</v>
      </c>
      <c r="AI22" s="357">
        <v>0</v>
      </c>
      <c r="AJ22" s="357">
        <v>130764</v>
      </c>
      <c r="AK22" s="357">
        <v>130764</v>
      </c>
      <c r="AL22" s="357">
        <v>0</v>
      </c>
      <c r="AM22" s="357">
        <v>0</v>
      </c>
      <c r="AN22" s="357">
        <v>130764</v>
      </c>
      <c r="AO22" s="357">
        <v>2239384</v>
      </c>
      <c r="AP22" s="357">
        <v>0</v>
      </c>
      <c r="AQ22" s="357">
        <v>0</v>
      </c>
      <c r="AR22" s="357">
        <v>2239384</v>
      </c>
      <c r="AS22" s="357">
        <v>15247</v>
      </c>
      <c r="AT22" s="357">
        <v>0</v>
      </c>
      <c r="AU22" s="357">
        <v>0</v>
      </c>
      <c r="AV22" s="357">
        <v>15247</v>
      </c>
      <c r="AW22" s="357">
        <v>1075121</v>
      </c>
      <c r="AX22" s="357">
        <v>0</v>
      </c>
      <c r="AY22" s="357">
        <v>0</v>
      </c>
      <c r="AZ22" s="357">
        <v>1075121</v>
      </c>
      <c r="BA22" s="357">
        <v>1164263</v>
      </c>
      <c r="BB22" s="357">
        <v>0</v>
      </c>
      <c r="BC22" s="357">
        <v>0</v>
      </c>
      <c r="BD22" s="357">
        <v>1164263</v>
      </c>
      <c r="BE22" s="357">
        <v>2978142</v>
      </c>
      <c r="BF22" s="357">
        <v>0</v>
      </c>
      <c r="BG22" s="357">
        <v>0</v>
      </c>
      <c r="BH22" s="357">
        <v>2978142</v>
      </c>
      <c r="BI22" s="357">
        <v>11042</v>
      </c>
      <c r="BJ22" s="357">
        <v>0</v>
      </c>
      <c r="BK22" s="357">
        <v>0</v>
      </c>
      <c r="BL22" s="357">
        <v>11042</v>
      </c>
      <c r="BM22" s="357">
        <v>34713</v>
      </c>
      <c r="BN22" s="357">
        <v>0</v>
      </c>
      <c r="BO22" s="357">
        <v>0</v>
      </c>
      <c r="BP22" s="357">
        <v>34713</v>
      </c>
      <c r="BQ22" s="357">
        <v>4188160</v>
      </c>
      <c r="BR22" s="357">
        <v>0</v>
      </c>
      <c r="BS22" s="357">
        <v>0</v>
      </c>
      <c r="BT22" s="357">
        <v>70000</v>
      </c>
      <c r="BU22" s="357">
        <v>0</v>
      </c>
      <c r="BV22" s="357">
        <v>0</v>
      </c>
      <c r="BW22" s="357">
        <v>4258160</v>
      </c>
      <c r="BX22" s="357">
        <v>0</v>
      </c>
      <c r="BY22" s="357">
        <v>0</v>
      </c>
      <c r="BZ22" s="357">
        <v>4258160</v>
      </c>
      <c r="CA22" s="357">
        <v>1200000</v>
      </c>
      <c r="CB22" s="357">
        <v>0</v>
      </c>
      <c r="CC22" s="357">
        <v>0</v>
      </c>
      <c r="CD22" s="357">
        <v>1200000</v>
      </c>
      <c r="CE22" s="357">
        <v>692088</v>
      </c>
      <c r="CF22" s="357">
        <v>0</v>
      </c>
      <c r="CG22" s="357">
        <v>0</v>
      </c>
      <c r="CH22" s="357">
        <v>692088</v>
      </c>
      <c r="CI22" s="357">
        <v>1892088</v>
      </c>
      <c r="CJ22" s="357">
        <v>0</v>
      </c>
      <c r="CK22" s="357">
        <v>0</v>
      </c>
      <c r="CL22" s="357">
        <v>-100000</v>
      </c>
      <c r="CM22" s="357">
        <v>0</v>
      </c>
      <c r="CN22" s="357">
        <v>0</v>
      </c>
      <c r="CO22" s="357">
        <v>1792088</v>
      </c>
      <c r="CP22" s="357">
        <v>0</v>
      </c>
      <c r="CQ22" s="357">
        <v>0</v>
      </c>
      <c r="CR22" s="357">
        <v>1792088</v>
      </c>
      <c r="CS22" s="357">
        <v>112812</v>
      </c>
      <c r="CT22" s="357">
        <v>0</v>
      </c>
      <c r="CU22" s="357">
        <v>0</v>
      </c>
      <c r="CV22" s="357">
        <v>112812</v>
      </c>
      <c r="CW22" s="357">
        <v>122044</v>
      </c>
      <c r="CX22" s="357">
        <v>0</v>
      </c>
      <c r="CY22" s="357">
        <v>0</v>
      </c>
      <c r="CZ22" s="357">
        <v>122044</v>
      </c>
      <c r="DA22" s="357">
        <v>1769</v>
      </c>
      <c r="DB22" s="357">
        <v>0</v>
      </c>
      <c r="DC22" s="357">
        <v>0</v>
      </c>
      <c r="DD22" s="357">
        <v>1769</v>
      </c>
      <c r="DE22" s="357">
        <v>34713</v>
      </c>
      <c r="DF22" s="357">
        <v>0</v>
      </c>
      <c r="DG22" s="357">
        <v>0</v>
      </c>
      <c r="DH22" s="357">
        <v>34713</v>
      </c>
      <c r="DI22" s="357">
        <v>9933</v>
      </c>
      <c r="DJ22" s="357">
        <v>0</v>
      </c>
      <c r="DK22" s="357">
        <v>0</v>
      </c>
      <c r="DL22" s="357">
        <v>9933</v>
      </c>
      <c r="DM22" s="357">
        <v>0</v>
      </c>
      <c r="DN22" s="357">
        <v>0</v>
      </c>
      <c r="DO22" s="357">
        <v>0</v>
      </c>
      <c r="DP22" s="357">
        <v>0</v>
      </c>
      <c r="DQ22" s="357">
        <v>281271</v>
      </c>
      <c r="DR22" s="357">
        <v>0</v>
      </c>
      <c r="DS22" s="357">
        <v>0</v>
      </c>
      <c r="DT22" s="357">
        <v>-24000</v>
      </c>
      <c r="DU22" s="357">
        <v>0</v>
      </c>
      <c r="DV22" s="357">
        <v>0</v>
      </c>
      <c r="DW22" s="357">
        <v>257271</v>
      </c>
      <c r="DX22" s="357">
        <v>0</v>
      </c>
      <c r="DY22" s="357">
        <v>0</v>
      </c>
      <c r="DZ22" s="357">
        <v>257271</v>
      </c>
      <c r="EA22" s="357">
        <v>0</v>
      </c>
      <c r="EB22" s="357">
        <v>0</v>
      </c>
      <c r="EC22" s="357">
        <v>25000</v>
      </c>
      <c r="ED22" s="357">
        <v>0</v>
      </c>
      <c r="EE22" s="357">
        <v>0</v>
      </c>
      <c r="EF22" s="357">
        <v>25000</v>
      </c>
      <c r="EG22" s="357">
        <v>85000</v>
      </c>
      <c r="EH22" s="357">
        <v>0</v>
      </c>
      <c r="EI22" s="357">
        <v>0</v>
      </c>
      <c r="EJ22" s="357">
        <v>85000</v>
      </c>
      <c r="EK22" s="357">
        <v>400000</v>
      </c>
      <c r="EL22" s="357">
        <v>0</v>
      </c>
      <c r="EM22" s="357">
        <v>0</v>
      </c>
      <c r="EN22" s="357">
        <v>400000</v>
      </c>
      <c r="EO22" s="357">
        <v>510000</v>
      </c>
      <c r="EP22" s="357">
        <v>0</v>
      </c>
      <c r="EQ22" s="357">
        <v>0</v>
      </c>
      <c r="ER22" s="357">
        <v>15000</v>
      </c>
      <c r="ES22" s="357">
        <v>0</v>
      </c>
      <c r="ET22" s="357">
        <v>0</v>
      </c>
      <c r="EU22" s="357">
        <v>525000</v>
      </c>
      <c r="EV22" s="357">
        <v>0</v>
      </c>
      <c r="EW22" s="357">
        <v>0</v>
      </c>
      <c r="EX22" s="357">
        <v>525000</v>
      </c>
      <c r="EY22" s="357">
        <v>44857135</v>
      </c>
      <c r="EZ22" s="357">
        <v>0</v>
      </c>
      <c r="FA22" s="357">
        <v>0</v>
      </c>
      <c r="FB22" s="357">
        <v>44857135</v>
      </c>
      <c r="FC22" s="277">
        <v>0</v>
      </c>
      <c r="FD22" s="205"/>
    </row>
    <row r="23" spans="1:160" ht="12.75">
      <c r="A23" s="169">
        <v>16</v>
      </c>
      <c r="B23" s="172" t="s">
        <v>736</v>
      </c>
      <c r="C23" s="258" t="s">
        <v>737</v>
      </c>
      <c r="D23" s="235">
        <v>41639</v>
      </c>
      <c r="E23" s="357">
        <v>153142419</v>
      </c>
      <c r="F23" s="357">
        <v>13114560</v>
      </c>
      <c r="G23" s="357">
        <v>0</v>
      </c>
      <c r="H23" s="357">
        <v>166256979</v>
      </c>
      <c r="I23" s="357">
        <v>72130079</v>
      </c>
      <c r="J23" s="357">
        <v>6176958</v>
      </c>
      <c r="K23" s="357">
        <v>0</v>
      </c>
      <c r="L23" s="357">
        <v>-497343</v>
      </c>
      <c r="M23" s="357">
        <v>210616</v>
      </c>
      <c r="N23" s="357">
        <v>0</v>
      </c>
      <c r="O23" s="357">
        <v>71632736</v>
      </c>
      <c r="P23" s="357">
        <v>6387574</v>
      </c>
      <c r="Q23" s="357">
        <v>0</v>
      </c>
      <c r="R23" s="357">
        <v>78020310</v>
      </c>
      <c r="S23" s="357">
        <v>177368</v>
      </c>
      <c r="T23" s="357">
        <v>391</v>
      </c>
      <c r="U23" s="357">
        <v>0</v>
      </c>
      <c r="V23" s="357">
        <v>177759</v>
      </c>
      <c r="W23" s="357">
        <v>0</v>
      </c>
      <c r="X23" s="357">
        <v>0</v>
      </c>
      <c r="Y23" s="357">
        <v>0</v>
      </c>
      <c r="Z23" s="357">
        <v>0</v>
      </c>
      <c r="AA23" s="357">
        <v>177368</v>
      </c>
      <c r="AB23" s="357">
        <v>391</v>
      </c>
      <c r="AC23" s="357">
        <v>0</v>
      </c>
      <c r="AD23" s="357">
        <v>0</v>
      </c>
      <c r="AE23" s="357">
        <v>0</v>
      </c>
      <c r="AF23" s="357">
        <v>0</v>
      </c>
      <c r="AG23" s="357">
        <v>177368</v>
      </c>
      <c r="AH23" s="357">
        <v>391</v>
      </c>
      <c r="AI23" s="357">
        <v>0</v>
      </c>
      <c r="AJ23" s="357">
        <v>177759</v>
      </c>
      <c r="AK23" s="357">
        <v>177368</v>
      </c>
      <c r="AL23" s="357">
        <v>391</v>
      </c>
      <c r="AM23" s="357">
        <v>0</v>
      </c>
      <c r="AN23" s="357">
        <v>177759</v>
      </c>
      <c r="AO23" s="357">
        <v>3411619</v>
      </c>
      <c r="AP23" s="357">
        <v>92449</v>
      </c>
      <c r="AQ23" s="357">
        <v>0</v>
      </c>
      <c r="AR23" s="357">
        <v>3504068</v>
      </c>
      <c r="AS23" s="357">
        <v>0</v>
      </c>
      <c r="AT23" s="357">
        <v>0</v>
      </c>
      <c r="AU23" s="357">
        <v>0</v>
      </c>
      <c r="AV23" s="357">
        <v>0</v>
      </c>
      <c r="AW23" s="357">
        <v>1436431</v>
      </c>
      <c r="AX23" s="357">
        <v>138051</v>
      </c>
      <c r="AY23" s="357">
        <v>0</v>
      </c>
      <c r="AZ23" s="357">
        <v>1574482</v>
      </c>
      <c r="BA23" s="357">
        <v>1975188</v>
      </c>
      <c r="BB23" s="357">
        <v>-45602</v>
      </c>
      <c r="BC23" s="357">
        <v>0</v>
      </c>
      <c r="BD23" s="357">
        <v>1929586</v>
      </c>
      <c r="BE23" s="357">
        <v>6131769</v>
      </c>
      <c r="BF23" s="357">
        <v>210588</v>
      </c>
      <c r="BG23" s="357">
        <v>0</v>
      </c>
      <c r="BH23" s="357">
        <v>6342357</v>
      </c>
      <c r="BI23" s="357">
        <v>149407</v>
      </c>
      <c r="BJ23" s="357">
        <v>0</v>
      </c>
      <c r="BK23" s="357">
        <v>0</v>
      </c>
      <c r="BL23" s="357">
        <v>149407</v>
      </c>
      <c r="BM23" s="357">
        <v>21570</v>
      </c>
      <c r="BN23" s="357">
        <v>0</v>
      </c>
      <c r="BO23" s="357">
        <v>0</v>
      </c>
      <c r="BP23" s="357">
        <v>21570</v>
      </c>
      <c r="BQ23" s="357">
        <v>8277934</v>
      </c>
      <c r="BR23" s="357">
        <v>164986</v>
      </c>
      <c r="BS23" s="357">
        <v>0</v>
      </c>
      <c r="BT23" s="357">
        <v>0</v>
      </c>
      <c r="BU23" s="357">
        <v>0</v>
      </c>
      <c r="BV23" s="357">
        <v>0</v>
      </c>
      <c r="BW23" s="357">
        <v>8277934</v>
      </c>
      <c r="BX23" s="357">
        <v>164986</v>
      </c>
      <c r="BY23" s="357">
        <v>0</v>
      </c>
      <c r="BZ23" s="357">
        <v>8442920</v>
      </c>
      <c r="CA23" s="357">
        <v>6481</v>
      </c>
      <c r="CB23" s="357">
        <v>8831</v>
      </c>
      <c r="CC23" s="357">
        <v>0</v>
      </c>
      <c r="CD23" s="357">
        <v>15312</v>
      </c>
      <c r="CE23" s="357">
        <v>2257449</v>
      </c>
      <c r="CF23" s="357">
        <v>160916</v>
      </c>
      <c r="CG23" s="357">
        <v>0</v>
      </c>
      <c r="CH23" s="357">
        <v>2418365</v>
      </c>
      <c r="CI23" s="357">
        <v>2263930</v>
      </c>
      <c r="CJ23" s="357">
        <v>169747</v>
      </c>
      <c r="CK23" s="357">
        <v>0</v>
      </c>
      <c r="CL23" s="357">
        <v>-190150</v>
      </c>
      <c r="CM23" s="357">
        <v>0</v>
      </c>
      <c r="CN23" s="357">
        <v>0</v>
      </c>
      <c r="CO23" s="357">
        <v>2073780</v>
      </c>
      <c r="CP23" s="357">
        <v>169747</v>
      </c>
      <c r="CQ23" s="357">
        <v>0</v>
      </c>
      <c r="CR23" s="357">
        <v>2243527</v>
      </c>
      <c r="CS23" s="357">
        <v>55340</v>
      </c>
      <c r="CT23" s="357">
        <v>0</v>
      </c>
      <c r="CU23" s="357">
        <v>0</v>
      </c>
      <c r="CV23" s="357">
        <v>55340</v>
      </c>
      <c r="CW23" s="357">
        <v>31680</v>
      </c>
      <c r="CX23" s="357">
        <v>0</v>
      </c>
      <c r="CY23" s="357">
        <v>0</v>
      </c>
      <c r="CZ23" s="357">
        <v>31680</v>
      </c>
      <c r="DA23" s="357">
        <v>19874</v>
      </c>
      <c r="DB23" s="357">
        <v>0</v>
      </c>
      <c r="DC23" s="357">
        <v>0</v>
      </c>
      <c r="DD23" s="357">
        <v>19874</v>
      </c>
      <c r="DE23" s="357">
        <v>10303</v>
      </c>
      <c r="DF23" s="357">
        <v>0</v>
      </c>
      <c r="DG23" s="357">
        <v>0</v>
      </c>
      <c r="DH23" s="357">
        <v>10303</v>
      </c>
      <c r="DI23" s="357">
        <v>34496</v>
      </c>
      <c r="DJ23" s="357">
        <v>0</v>
      </c>
      <c r="DK23" s="357">
        <v>0</v>
      </c>
      <c r="DL23" s="357">
        <v>34496</v>
      </c>
      <c r="DM23" s="357">
        <v>0</v>
      </c>
      <c r="DN23" s="357">
        <v>0</v>
      </c>
      <c r="DO23" s="357">
        <v>0</v>
      </c>
      <c r="DP23" s="357">
        <v>0</v>
      </c>
      <c r="DQ23" s="357">
        <v>151693</v>
      </c>
      <c r="DR23" s="357">
        <v>0</v>
      </c>
      <c r="DS23" s="357">
        <v>0</v>
      </c>
      <c r="DT23" s="357">
        <v>0</v>
      </c>
      <c r="DU23" s="357">
        <v>0</v>
      </c>
      <c r="DV23" s="357">
        <v>0</v>
      </c>
      <c r="DW23" s="357">
        <v>151693</v>
      </c>
      <c r="DX23" s="357">
        <v>0</v>
      </c>
      <c r="DY23" s="357">
        <v>0</v>
      </c>
      <c r="DZ23" s="357">
        <v>151693</v>
      </c>
      <c r="EA23" s="357">
        <v>0</v>
      </c>
      <c r="EB23" s="357">
        <v>0</v>
      </c>
      <c r="EC23" s="357">
        <v>0</v>
      </c>
      <c r="ED23" s="357">
        <v>0</v>
      </c>
      <c r="EE23" s="357">
        <v>0</v>
      </c>
      <c r="EF23" s="357">
        <v>0</v>
      </c>
      <c r="EG23" s="357">
        <v>339691</v>
      </c>
      <c r="EH23" s="357">
        <v>9661</v>
      </c>
      <c r="EI23" s="357">
        <v>0</v>
      </c>
      <c r="EJ23" s="357">
        <v>349352</v>
      </c>
      <c r="EK23" s="357">
        <v>1136241</v>
      </c>
      <c r="EL23" s="357">
        <v>42181</v>
      </c>
      <c r="EM23" s="357">
        <v>0</v>
      </c>
      <c r="EN23" s="357">
        <v>1178422</v>
      </c>
      <c r="EO23" s="357">
        <v>1475932</v>
      </c>
      <c r="EP23" s="357">
        <v>51842</v>
      </c>
      <c r="EQ23" s="357">
        <v>0</v>
      </c>
      <c r="ER23" s="357">
        <v>0</v>
      </c>
      <c r="ES23" s="357">
        <v>0</v>
      </c>
      <c r="ET23" s="357">
        <v>0</v>
      </c>
      <c r="EU23" s="357">
        <v>1475932</v>
      </c>
      <c r="EV23" s="357">
        <v>51842</v>
      </c>
      <c r="EW23" s="357">
        <v>0</v>
      </c>
      <c r="EX23" s="357">
        <v>1527774</v>
      </c>
      <c r="EY23" s="357">
        <v>59476029</v>
      </c>
      <c r="EZ23" s="357">
        <v>6000608</v>
      </c>
      <c r="FA23" s="357">
        <v>0</v>
      </c>
      <c r="FB23" s="357">
        <v>65476637</v>
      </c>
      <c r="FC23" s="277">
        <v>0</v>
      </c>
      <c r="FD23" s="205"/>
    </row>
    <row r="24" spans="1:160" ht="12.75">
      <c r="A24" s="169">
        <v>17</v>
      </c>
      <c r="B24" s="172" t="s">
        <v>738</v>
      </c>
      <c r="C24" s="258" t="s">
        <v>739</v>
      </c>
      <c r="D24" s="235">
        <v>41639</v>
      </c>
      <c r="E24" s="357">
        <v>161514834</v>
      </c>
      <c r="F24" s="357">
        <v>0</v>
      </c>
      <c r="G24" s="357">
        <v>0</v>
      </c>
      <c r="H24" s="357">
        <v>161514834</v>
      </c>
      <c r="I24" s="357">
        <v>76073487</v>
      </c>
      <c r="J24" s="357">
        <v>0</v>
      </c>
      <c r="K24" s="357">
        <v>0</v>
      </c>
      <c r="L24" s="357">
        <v>-542000</v>
      </c>
      <c r="M24" s="357">
        <v>0</v>
      </c>
      <c r="N24" s="357">
        <v>0</v>
      </c>
      <c r="O24" s="357">
        <v>75531487</v>
      </c>
      <c r="P24" s="357">
        <v>0</v>
      </c>
      <c r="Q24" s="357">
        <v>0</v>
      </c>
      <c r="R24" s="357">
        <v>75531487</v>
      </c>
      <c r="S24" s="357">
        <v>369600</v>
      </c>
      <c r="T24" s="357">
        <v>0</v>
      </c>
      <c r="U24" s="357">
        <v>0</v>
      </c>
      <c r="V24" s="357">
        <v>369600</v>
      </c>
      <c r="W24" s="357">
        <v>20166</v>
      </c>
      <c r="X24" s="357">
        <v>0</v>
      </c>
      <c r="Y24" s="357">
        <v>0</v>
      </c>
      <c r="Z24" s="357">
        <v>20166</v>
      </c>
      <c r="AA24" s="357">
        <v>349434</v>
      </c>
      <c r="AB24" s="357">
        <v>0</v>
      </c>
      <c r="AC24" s="357">
        <v>0</v>
      </c>
      <c r="AD24" s="357">
        <v>0</v>
      </c>
      <c r="AE24" s="357">
        <v>0</v>
      </c>
      <c r="AF24" s="357">
        <v>0</v>
      </c>
      <c r="AG24" s="357">
        <v>349434</v>
      </c>
      <c r="AH24" s="357">
        <v>0</v>
      </c>
      <c r="AI24" s="357">
        <v>0</v>
      </c>
      <c r="AJ24" s="357">
        <v>349434</v>
      </c>
      <c r="AK24" s="357">
        <v>349434</v>
      </c>
      <c r="AL24" s="357">
        <v>0</v>
      </c>
      <c r="AM24" s="357">
        <v>0</v>
      </c>
      <c r="AN24" s="357">
        <v>349434</v>
      </c>
      <c r="AO24" s="357">
        <v>2841188</v>
      </c>
      <c r="AP24" s="357">
        <v>0</v>
      </c>
      <c r="AQ24" s="357">
        <v>0</v>
      </c>
      <c r="AR24" s="357">
        <v>2841188</v>
      </c>
      <c r="AS24" s="357">
        <v>0</v>
      </c>
      <c r="AT24" s="357">
        <v>0</v>
      </c>
      <c r="AU24" s="357">
        <v>0</v>
      </c>
      <c r="AV24" s="357">
        <v>0</v>
      </c>
      <c r="AW24" s="357">
        <v>1571066</v>
      </c>
      <c r="AX24" s="357">
        <v>0</v>
      </c>
      <c r="AY24" s="357">
        <v>0</v>
      </c>
      <c r="AZ24" s="357">
        <v>1571066</v>
      </c>
      <c r="BA24" s="357">
        <v>1270122</v>
      </c>
      <c r="BB24" s="357">
        <v>0</v>
      </c>
      <c r="BC24" s="357">
        <v>0</v>
      </c>
      <c r="BD24" s="357">
        <v>1270122</v>
      </c>
      <c r="BE24" s="357">
        <v>4941776</v>
      </c>
      <c r="BF24" s="357">
        <v>0</v>
      </c>
      <c r="BG24" s="357">
        <v>0</v>
      </c>
      <c r="BH24" s="357">
        <v>4941776</v>
      </c>
      <c r="BI24" s="357">
        <v>154280</v>
      </c>
      <c r="BJ24" s="357">
        <v>0</v>
      </c>
      <c r="BK24" s="357">
        <v>0</v>
      </c>
      <c r="BL24" s="357">
        <v>154280</v>
      </c>
      <c r="BM24" s="357">
        <v>40303</v>
      </c>
      <c r="BN24" s="357">
        <v>0</v>
      </c>
      <c r="BO24" s="357">
        <v>0</v>
      </c>
      <c r="BP24" s="357">
        <v>40303</v>
      </c>
      <c r="BQ24" s="357">
        <v>6406481</v>
      </c>
      <c r="BR24" s="357">
        <v>0</v>
      </c>
      <c r="BS24" s="357">
        <v>0</v>
      </c>
      <c r="BT24" s="357">
        <v>301693</v>
      </c>
      <c r="BU24" s="357">
        <v>0</v>
      </c>
      <c r="BV24" s="357">
        <v>0</v>
      </c>
      <c r="BW24" s="357">
        <v>6708174</v>
      </c>
      <c r="BX24" s="357">
        <v>0</v>
      </c>
      <c r="BY24" s="357">
        <v>0</v>
      </c>
      <c r="BZ24" s="357">
        <v>6708174</v>
      </c>
      <c r="CA24" s="357">
        <v>20000</v>
      </c>
      <c r="CB24" s="357">
        <v>0</v>
      </c>
      <c r="CC24" s="357">
        <v>0</v>
      </c>
      <c r="CD24" s="357">
        <v>20000</v>
      </c>
      <c r="CE24" s="357">
        <v>2500000</v>
      </c>
      <c r="CF24" s="357">
        <v>0</v>
      </c>
      <c r="CG24" s="357">
        <v>0</v>
      </c>
      <c r="CH24" s="357">
        <v>2500000</v>
      </c>
      <c r="CI24" s="357">
        <v>2520000</v>
      </c>
      <c r="CJ24" s="357">
        <v>0</v>
      </c>
      <c r="CK24" s="357">
        <v>0</v>
      </c>
      <c r="CL24" s="357">
        <v>0</v>
      </c>
      <c r="CM24" s="357">
        <v>0</v>
      </c>
      <c r="CN24" s="357">
        <v>0</v>
      </c>
      <c r="CO24" s="357">
        <v>2520000</v>
      </c>
      <c r="CP24" s="357">
        <v>0</v>
      </c>
      <c r="CQ24" s="357">
        <v>0</v>
      </c>
      <c r="CR24" s="357">
        <v>2520000</v>
      </c>
      <c r="CS24" s="357">
        <v>118354</v>
      </c>
      <c r="CT24" s="357">
        <v>0</v>
      </c>
      <c r="CU24" s="357">
        <v>0</v>
      </c>
      <c r="CV24" s="357">
        <v>118354</v>
      </c>
      <c r="CW24" s="357">
        <v>32591</v>
      </c>
      <c r="CX24" s="357">
        <v>0</v>
      </c>
      <c r="CY24" s="357">
        <v>0</v>
      </c>
      <c r="CZ24" s="357">
        <v>32591</v>
      </c>
      <c r="DA24" s="357">
        <v>1287</v>
      </c>
      <c r="DB24" s="357">
        <v>0</v>
      </c>
      <c r="DC24" s="357">
        <v>0</v>
      </c>
      <c r="DD24" s="357">
        <v>1287</v>
      </c>
      <c r="DE24" s="357">
        <v>32243</v>
      </c>
      <c r="DF24" s="357">
        <v>0</v>
      </c>
      <c r="DG24" s="357">
        <v>0</v>
      </c>
      <c r="DH24" s="357">
        <v>32243</v>
      </c>
      <c r="DI24" s="357">
        <v>32357</v>
      </c>
      <c r="DJ24" s="357">
        <v>0</v>
      </c>
      <c r="DK24" s="357">
        <v>0</v>
      </c>
      <c r="DL24" s="357">
        <v>32357</v>
      </c>
      <c r="DM24" s="357">
        <v>0</v>
      </c>
      <c r="DN24" s="357">
        <v>0</v>
      </c>
      <c r="DO24" s="357">
        <v>0</v>
      </c>
      <c r="DP24" s="357">
        <v>0</v>
      </c>
      <c r="DQ24" s="357">
        <v>216832</v>
      </c>
      <c r="DR24" s="357">
        <v>0</v>
      </c>
      <c r="DS24" s="357">
        <v>0</v>
      </c>
      <c r="DT24" s="357">
        <v>0</v>
      </c>
      <c r="DU24" s="357">
        <v>0</v>
      </c>
      <c r="DV24" s="357">
        <v>0</v>
      </c>
      <c r="DW24" s="357">
        <v>216832</v>
      </c>
      <c r="DX24" s="357">
        <v>0</v>
      </c>
      <c r="DY24" s="357">
        <v>0</v>
      </c>
      <c r="DZ24" s="357">
        <v>216832</v>
      </c>
      <c r="EA24" s="357">
        <v>0</v>
      </c>
      <c r="EB24" s="357">
        <v>0</v>
      </c>
      <c r="EC24" s="357">
        <v>0</v>
      </c>
      <c r="ED24" s="357">
        <v>0</v>
      </c>
      <c r="EE24" s="357">
        <v>0</v>
      </c>
      <c r="EF24" s="357">
        <v>0</v>
      </c>
      <c r="EG24" s="357">
        <v>25000</v>
      </c>
      <c r="EH24" s="357">
        <v>0</v>
      </c>
      <c r="EI24" s="357">
        <v>0</v>
      </c>
      <c r="EJ24" s="357">
        <v>25000</v>
      </c>
      <c r="EK24" s="357">
        <v>730000</v>
      </c>
      <c r="EL24" s="357">
        <v>0</v>
      </c>
      <c r="EM24" s="357">
        <v>0</v>
      </c>
      <c r="EN24" s="357">
        <v>730000</v>
      </c>
      <c r="EO24" s="357">
        <v>755000</v>
      </c>
      <c r="EP24" s="357">
        <v>0</v>
      </c>
      <c r="EQ24" s="357">
        <v>0</v>
      </c>
      <c r="ER24" s="357">
        <v>0</v>
      </c>
      <c r="ES24" s="357">
        <v>0</v>
      </c>
      <c r="ET24" s="357">
        <v>0</v>
      </c>
      <c r="EU24" s="357">
        <v>755000</v>
      </c>
      <c r="EV24" s="357">
        <v>0</v>
      </c>
      <c r="EW24" s="357">
        <v>0</v>
      </c>
      <c r="EX24" s="357">
        <v>755000</v>
      </c>
      <c r="EY24" s="357">
        <v>64982047</v>
      </c>
      <c r="EZ24" s="357">
        <v>0</v>
      </c>
      <c r="FA24" s="357">
        <v>0</v>
      </c>
      <c r="FB24" s="357">
        <v>64982047</v>
      </c>
      <c r="FC24" s="277">
        <v>0</v>
      </c>
      <c r="FD24" s="205"/>
    </row>
    <row r="25" spans="1:160" ht="12.75">
      <c r="A25" s="169">
        <v>18</v>
      </c>
      <c r="B25" s="172" t="s">
        <v>740</v>
      </c>
      <c r="C25" s="258" t="s">
        <v>741</v>
      </c>
      <c r="D25" s="235">
        <v>41653</v>
      </c>
      <c r="E25" s="357">
        <v>173537696</v>
      </c>
      <c r="F25" s="357">
        <v>0</v>
      </c>
      <c r="G25" s="357">
        <v>0</v>
      </c>
      <c r="H25" s="357">
        <v>173537696</v>
      </c>
      <c r="I25" s="357">
        <v>81736255</v>
      </c>
      <c r="J25" s="357">
        <v>0</v>
      </c>
      <c r="K25" s="357">
        <v>0</v>
      </c>
      <c r="L25" s="357">
        <v>1122000</v>
      </c>
      <c r="M25" s="357">
        <v>0</v>
      </c>
      <c r="N25" s="357">
        <v>0</v>
      </c>
      <c r="O25" s="357">
        <v>82858255</v>
      </c>
      <c r="P25" s="357">
        <v>0</v>
      </c>
      <c r="Q25" s="357">
        <v>0</v>
      </c>
      <c r="R25" s="357">
        <v>82858255</v>
      </c>
      <c r="S25" s="357">
        <v>71760.01</v>
      </c>
      <c r="T25" s="357">
        <v>0</v>
      </c>
      <c r="U25" s="357">
        <v>0</v>
      </c>
      <c r="V25" s="357">
        <v>71760.01</v>
      </c>
      <c r="W25" s="357">
        <v>46918.89</v>
      </c>
      <c r="X25" s="357">
        <v>0</v>
      </c>
      <c r="Y25" s="357">
        <v>0</v>
      </c>
      <c r="Z25" s="357">
        <v>46918.89</v>
      </c>
      <c r="AA25" s="357">
        <v>24841.12</v>
      </c>
      <c r="AB25" s="357">
        <v>0</v>
      </c>
      <c r="AC25" s="357">
        <v>0</v>
      </c>
      <c r="AD25" s="357">
        <v>0</v>
      </c>
      <c r="AE25" s="357">
        <v>0</v>
      </c>
      <c r="AF25" s="357">
        <v>0</v>
      </c>
      <c r="AG25" s="357">
        <v>24841.12</v>
      </c>
      <c r="AH25" s="357">
        <v>0</v>
      </c>
      <c r="AI25" s="357">
        <v>0</v>
      </c>
      <c r="AJ25" s="357">
        <v>24841.12</v>
      </c>
      <c r="AK25" s="357">
        <v>24841.12</v>
      </c>
      <c r="AL25" s="357">
        <v>0</v>
      </c>
      <c r="AM25" s="357">
        <v>0</v>
      </c>
      <c r="AN25" s="357">
        <v>24841.12</v>
      </c>
      <c r="AO25" s="357">
        <v>3841710.06</v>
      </c>
      <c r="AP25" s="357">
        <v>0</v>
      </c>
      <c r="AQ25" s="357">
        <v>0</v>
      </c>
      <c r="AR25" s="357">
        <v>3841710.06</v>
      </c>
      <c r="AS25" s="357">
        <v>0</v>
      </c>
      <c r="AT25" s="357">
        <v>0</v>
      </c>
      <c r="AU25" s="357">
        <v>0</v>
      </c>
      <c r="AV25" s="357">
        <v>0</v>
      </c>
      <c r="AW25" s="357">
        <v>1591234.48</v>
      </c>
      <c r="AX25" s="357">
        <v>0</v>
      </c>
      <c r="AY25" s="357">
        <v>0</v>
      </c>
      <c r="AZ25" s="357">
        <v>1591234.48</v>
      </c>
      <c r="BA25" s="357">
        <v>2250475.58</v>
      </c>
      <c r="BB25" s="357">
        <v>0</v>
      </c>
      <c r="BC25" s="357">
        <v>0</v>
      </c>
      <c r="BD25" s="357">
        <v>2250475.58</v>
      </c>
      <c r="BE25" s="357">
        <v>5914706.06</v>
      </c>
      <c r="BF25" s="357">
        <v>0</v>
      </c>
      <c r="BG25" s="357">
        <v>0</v>
      </c>
      <c r="BH25" s="357">
        <v>5914706.06</v>
      </c>
      <c r="BI25" s="357">
        <v>98559.36</v>
      </c>
      <c r="BJ25" s="357">
        <v>0</v>
      </c>
      <c r="BK25" s="357">
        <v>0</v>
      </c>
      <c r="BL25" s="357">
        <v>98559.36</v>
      </c>
      <c r="BM25" s="357">
        <v>0</v>
      </c>
      <c r="BN25" s="357">
        <v>0</v>
      </c>
      <c r="BO25" s="357">
        <v>0</v>
      </c>
      <c r="BP25" s="357">
        <v>0</v>
      </c>
      <c r="BQ25" s="357">
        <v>8263741</v>
      </c>
      <c r="BR25" s="357">
        <v>0</v>
      </c>
      <c r="BS25" s="357">
        <v>0</v>
      </c>
      <c r="BT25" s="357">
        <v>0</v>
      </c>
      <c r="BU25" s="357">
        <v>0</v>
      </c>
      <c r="BV25" s="357">
        <v>0</v>
      </c>
      <c r="BW25" s="357">
        <v>8263741</v>
      </c>
      <c r="BX25" s="357">
        <v>0</v>
      </c>
      <c r="BY25" s="357">
        <v>0</v>
      </c>
      <c r="BZ25" s="357">
        <v>8263741</v>
      </c>
      <c r="CA25" s="357">
        <v>0</v>
      </c>
      <c r="CB25" s="357">
        <v>0</v>
      </c>
      <c r="CC25" s="357">
        <v>0</v>
      </c>
      <c r="CD25" s="357">
        <v>0</v>
      </c>
      <c r="CE25" s="357">
        <v>1197498.63</v>
      </c>
      <c r="CF25" s="357">
        <v>0</v>
      </c>
      <c r="CG25" s="357">
        <v>0</v>
      </c>
      <c r="CH25" s="357">
        <v>1197498.63</v>
      </c>
      <c r="CI25" s="357">
        <v>1197498.63</v>
      </c>
      <c r="CJ25" s="357">
        <v>0</v>
      </c>
      <c r="CK25" s="357">
        <v>0</v>
      </c>
      <c r="CL25" s="357">
        <v>2007214.71</v>
      </c>
      <c r="CM25" s="357">
        <v>0</v>
      </c>
      <c r="CN25" s="357">
        <v>0</v>
      </c>
      <c r="CO25" s="357">
        <v>3204713.34</v>
      </c>
      <c r="CP25" s="357">
        <v>0</v>
      </c>
      <c r="CQ25" s="357">
        <v>0</v>
      </c>
      <c r="CR25" s="357">
        <v>3204713.34</v>
      </c>
      <c r="CS25" s="357">
        <v>0</v>
      </c>
      <c r="CT25" s="357">
        <v>0</v>
      </c>
      <c r="CU25" s="357">
        <v>0</v>
      </c>
      <c r="CV25" s="357">
        <v>0</v>
      </c>
      <c r="CW25" s="357">
        <v>0</v>
      </c>
      <c r="CX25" s="357">
        <v>0</v>
      </c>
      <c r="CY25" s="357">
        <v>0</v>
      </c>
      <c r="CZ25" s="357">
        <v>0</v>
      </c>
      <c r="DA25" s="357">
        <v>0</v>
      </c>
      <c r="DB25" s="357">
        <v>0</v>
      </c>
      <c r="DC25" s="357">
        <v>0</v>
      </c>
      <c r="DD25" s="357">
        <v>0</v>
      </c>
      <c r="DE25" s="357">
        <v>0</v>
      </c>
      <c r="DF25" s="357">
        <v>0</v>
      </c>
      <c r="DG25" s="357">
        <v>0</v>
      </c>
      <c r="DH25" s="357">
        <v>0</v>
      </c>
      <c r="DI25" s="357">
        <v>0</v>
      </c>
      <c r="DJ25" s="357">
        <v>0</v>
      </c>
      <c r="DK25" s="357">
        <v>0</v>
      </c>
      <c r="DL25" s="357">
        <v>0</v>
      </c>
      <c r="DM25" s="357">
        <v>0</v>
      </c>
      <c r="DN25" s="357">
        <v>0</v>
      </c>
      <c r="DO25" s="357">
        <v>0</v>
      </c>
      <c r="DP25" s="357">
        <v>0</v>
      </c>
      <c r="DQ25" s="357">
        <v>0</v>
      </c>
      <c r="DR25" s="357">
        <v>0</v>
      </c>
      <c r="DS25" s="357">
        <v>0</v>
      </c>
      <c r="DT25" s="357">
        <v>0</v>
      </c>
      <c r="DU25" s="357">
        <v>0</v>
      </c>
      <c r="DV25" s="357">
        <v>0</v>
      </c>
      <c r="DW25" s="357">
        <v>0</v>
      </c>
      <c r="DX25" s="357">
        <v>0</v>
      </c>
      <c r="DY25" s="357">
        <v>0</v>
      </c>
      <c r="DZ25" s="357">
        <v>0</v>
      </c>
      <c r="EA25" s="357">
        <v>0</v>
      </c>
      <c r="EB25" s="357">
        <v>0</v>
      </c>
      <c r="EC25" s="357">
        <v>0</v>
      </c>
      <c r="ED25" s="357">
        <v>0</v>
      </c>
      <c r="EE25" s="357">
        <v>0</v>
      </c>
      <c r="EF25" s="357">
        <v>0</v>
      </c>
      <c r="EG25" s="357">
        <v>55661</v>
      </c>
      <c r="EH25" s="357">
        <v>0</v>
      </c>
      <c r="EI25" s="357">
        <v>0</v>
      </c>
      <c r="EJ25" s="357">
        <v>55661</v>
      </c>
      <c r="EK25" s="357">
        <v>1135057</v>
      </c>
      <c r="EL25" s="357">
        <v>0</v>
      </c>
      <c r="EM25" s="357">
        <v>0</v>
      </c>
      <c r="EN25" s="357">
        <v>1135057</v>
      </c>
      <c r="EO25" s="357">
        <v>1190718</v>
      </c>
      <c r="EP25" s="357">
        <v>0</v>
      </c>
      <c r="EQ25" s="357">
        <v>0</v>
      </c>
      <c r="ER25" s="357">
        <v>0</v>
      </c>
      <c r="ES25" s="357">
        <v>0</v>
      </c>
      <c r="ET25" s="357">
        <v>0</v>
      </c>
      <c r="EU25" s="357">
        <v>1190718</v>
      </c>
      <c r="EV25" s="357">
        <v>0</v>
      </c>
      <c r="EW25" s="357">
        <v>0</v>
      </c>
      <c r="EX25" s="357">
        <v>1190718</v>
      </c>
      <c r="EY25" s="357">
        <v>70174241.5</v>
      </c>
      <c r="EZ25" s="357">
        <v>0</v>
      </c>
      <c r="FA25" s="357">
        <v>0</v>
      </c>
      <c r="FB25" s="357">
        <v>70174241.5</v>
      </c>
      <c r="FC25" s="277">
        <v>0</v>
      </c>
      <c r="FD25" s="205"/>
    </row>
    <row r="26" spans="1:160" ht="12.75">
      <c r="A26" s="169">
        <v>19</v>
      </c>
      <c r="B26" s="172" t="s">
        <v>742</v>
      </c>
      <c r="C26" s="258" t="s">
        <v>743</v>
      </c>
      <c r="D26" s="235">
        <v>41639</v>
      </c>
      <c r="E26" s="357">
        <v>1044988479</v>
      </c>
      <c r="F26" s="357">
        <v>0</v>
      </c>
      <c r="G26" s="357">
        <v>12359575</v>
      </c>
      <c r="H26" s="357">
        <v>1057348054</v>
      </c>
      <c r="I26" s="357">
        <v>492189574</v>
      </c>
      <c r="J26" s="357">
        <v>0</v>
      </c>
      <c r="K26" s="357">
        <v>5821360</v>
      </c>
      <c r="L26" s="357">
        <v>5400000</v>
      </c>
      <c r="M26" s="357">
        <v>0</v>
      </c>
      <c r="N26" s="357">
        <v>3300000</v>
      </c>
      <c r="O26" s="357">
        <v>497589574</v>
      </c>
      <c r="P26" s="357">
        <v>0</v>
      </c>
      <c r="Q26" s="357">
        <v>9121360</v>
      </c>
      <c r="R26" s="357">
        <v>506710934</v>
      </c>
      <c r="S26" s="357">
        <v>574901</v>
      </c>
      <c r="T26" s="357">
        <v>0</v>
      </c>
      <c r="U26" s="357">
        <v>4177</v>
      </c>
      <c r="V26" s="357">
        <v>579078</v>
      </c>
      <c r="W26" s="357">
        <v>1152951</v>
      </c>
      <c r="X26" s="357">
        <v>0</v>
      </c>
      <c r="Y26" s="357">
        <v>3578</v>
      </c>
      <c r="Z26" s="357">
        <v>1156529</v>
      </c>
      <c r="AA26" s="357">
        <v>-578050</v>
      </c>
      <c r="AB26" s="357">
        <v>0</v>
      </c>
      <c r="AC26" s="357">
        <v>599</v>
      </c>
      <c r="AD26" s="357">
        <v>0</v>
      </c>
      <c r="AE26" s="357">
        <v>0</v>
      </c>
      <c r="AF26" s="357">
        <v>0</v>
      </c>
      <c r="AG26" s="357">
        <v>-578050</v>
      </c>
      <c r="AH26" s="357">
        <v>0</v>
      </c>
      <c r="AI26" s="357">
        <v>599</v>
      </c>
      <c r="AJ26" s="357">
        <v>-577451</v>
      </c>
      <c r="AK26" s="357">
        <v>-578050</v>
      </c>
      <c r="AL26" s="357">
        <v>0</v>
      </c>
      <c r="AM26" s="357">
        <v>599</v>
      </c>
      <c r="AN26" s="357">
        <v>-577451</v>
      </c>
      <c r="AO26" s="357">
        <v>21414535</v>
      </c>
      <c r="AP26" s="357">
        <v>0</v>
      </c>
      <c r="AQ26" s="357">
        <v>185879</v>
      </c>
      <c r="AR26" s="357">
        <v>21600414</v>
      </c>
      <c r="AS26" s="357">
        <v>0</v>
      </c>
      <c r="AT26" s="357">
        <v>0</v>
      </c>
      <c r="AU26" s="357">
        <v>0</v>
      </c>
      <c r="AV26" s="357">
        <v>0</v>
      </c>
      <c r="AW26" s="357">
        <v>8476490</v>
      </c>
      <c r="AX26" s="357">
        <v>0</v>
      </c>
      <c r="AY26" s="357">
        <v>95037</v>
      </c>
      <c r="AZ26" s="357">
        <v>8571527</v>
      </c>
      <c r="BA26" s="357">
        <v>12938045</v>
      </c>
      <c r="BB26" s="357">
        <v>0</v>
      </c>
      <c r="BC26" s="357">
        <v>90842</v>
      </c>
      <c r="BD26" s="357">
        <v>13028887</v>
      </c>
      <c r="BE26" s="357">
        <v>25460950</v>
      </c>
      <c r="BF26" s="357">
        <v>0</v>
      </c>
      <c r="BG26" s="357">
        <v>357630</v>
      </c>
      <c r="BH26" s="357">
        <v>25818580</v>
      </c>
      <c r="BI26" s="357">
        <v>128780</v>
      </c>
      <c r="BJ26" s="357">
        <v>0</v>
      </c>
      <c r="BK26" s="357">
        <v>0</v>
      </c>
      <c r="BL26" s="357">
        <v>128780</v>
      </c>
      <c r="BM26" s="357">
        <v>0</v>
      </c>
      <c r="BN26" s="357">
        <v>0</v>
      </c>
      <c r="BO26" s="357">
        <v>0</v>
      </c>
      <c r="BP26" s="357">
        <v>0</v>
      </c>
      <c r="BQ26" s="357">
        <v>38527775</v>
      </c>
      <c r="BR26" s="357">
        <v>0</v>
      </c>
      <c r="BS26" s="357">
        <v>448472</v>
      </c>
      <c r="BT26" s="357">
        <v>0</v>
      </c>
      <c r="BU26" s="357">
        <v>0</v>
      </c>
      <c r="BV26" s="357">
        <v>0</v>
      </c>
      <c r="BW26" s="357">
        <v>38527775</v>
      </c>
      <c r="BX26" s="357">
        <v>0</v>
      </c>
      <c r="BY26" s="357">
        <v>448472</v>
      </c>
      <c r="BZ26" s="357">
        <v>38976247</v>
      </c>
      <c r="CA26" s="357">
        <v>629021</v>
      </c>
      <c r="CB26" s="357">
        <v>0</v>
      </c>
      <c r="CC26" s="357">
        <v>0</v>
      </c>
      <c r="CD26" s="357">
        <v>629021</v>
      </c>
      <c r="CE26" s="357">
        <v>26653487</v>
      </c>
      <c r="CF26" s="357">
        <v>0</v>
      </c>
      <c r="CG26" s="357">
        <v>444922</v>
      </c>
      <c r="CH26" s="357">
        <v>27098409</v>
      </c>
      <c r="CI26" s="357">
        <v>27282508</v>
      </c>
      <c r="CJ26" s="357">
        <v>0</v>
      </c>
      <c r="CK26" s="357">
        <v>444922</v>
      </c>
      <c r="CL26" s="357">
        <v>0</v>
      </c>
      <c r="CM26" s="357">
        <v>0</v>
      </c>
      <c r="CN26" s="357">
        <v>0</v>
      </c>
      <c r="CO26" s="357">
        <v>27282508</v>
      </c>
      <c r="CP26" s="357">
        <v>0</v>
      </c>
      <c r="CQ26" s="357">
        <v>444922</v>
      </c>
      <c r="CR26" s="357">
        <v>27727430</v>
      </c>
      <c r="CS26" s="357">
        <v>25828</v>
      </c>
      <c r="CT26" s="357">
        <v>0</v>
      </c>
      <c r="CU26" s="357">
        <v>0</v>
      </c>
      <c r="CV26" s="357">
        <v>25828</v>
      </c>
      <c r="CW26" s="357">
        <v>820109</v>
      </c>
      <c r="CX26" s="357">
        <v>0</v>
      </c>
      <c r="CY26" s="357">
        <v>0</v>
      </c>
      <c r="CZ26" s="357">
        <v>820109</v>
      </c>
      <c r="DA26" s="357">
        <v>0</v>
      </c>
      <c r="DB26" s="357">
        <v>0</v>
      </c>
      <c r="DC26" s="357">
        <v>0</v>
      </c>
      <c r="DD26" s="357">
        <v>0</v>
      </c>
      <c r="DE26" s="357">
        <v>0</v>
      </c>
      <c r="DF26" s="357">
        <v>0</v>
      </c>
      <c r="DG26" s="357">
        <v>0</v>
      </c>
      <c r="DH26" s="357">
        <v>0</v>
      </c>
      <c r="DI26" s="357">
        <v>0</v>
      </c>
      <c r="DJ26" s="357">
        <v>0</v>
      </c>
      <c r="DK26" s="357">
        <v>0</v>
      </c>
      <c r="DL26" s="357">
        <v>0</v>
      </c>
      <c r="DM26" s="357">
        <v>0</v>
      </c>
      <c r="DN26" s="357">
        <v>0</v>
      </c>
      <c r="DO26" s="357">
        <v>270011</v>
      </c>
      <c r="DP26" s="357">
        <v>270011</v>
      </c>
      <c r="DQ26" s="357">
        <v>845937</v>
      </c>
      <c r="DR26" s="357">
        <v>0</v>
      </c>
      <c r="DS26" s="357">
        <v>270011</v>
      </c>
      <c r="DT26" s="357">
        <v>0</v>
      </c>
      <c r="DU26" s="357">
        <v>0</v>
      </c>
      <c r="DV26" s="357">
        <v>0</v>
      </c>
      <c r="DW26" s="357">
        <v>845937</v>
      </c>
      <c r="DX26" s="357">
        <v>0</v>
      </c>
      <c r="DY26" s="357">
        <v>270011</v>
      </c>
      <c r="DZ26" s="357">
        <v>1115948</v>
      </c>
      <c r="EA26" s="357">
        <v>270011</v>
      </c>
      <c r="EB26" s="357">
        <v>0</v>
      </c>
      <c r="EC26" s="357">
        <v>0</v>
      </c>
      <c r="ED26" s="357">
        <v>0</v>
      </c>
      <c r="EE26" s="357">
        <v>0</v>
      </c>
      <c r="EF26" s="357">
        <v>0</v>
      </c>
      <c r="EG26" s="357">
        <v>0</v>
      </c>
      <c r="EH26" s="357">
        <v>0</v>
      </c>
      <c r="EI26" s="357">
        <v>0</v>
      </c>
      <c r="EJ26" s="357">
        <v>0</v>
      </c>
      <c r="EK26" s="357">
        <v>5000000</v>
      </c>
      <c r="EL26" s="357">
        <v>0</v>
      </c>
      <c r="EM26" s="357">
        <v>70000</v>
      </c>
      <c r="EN26" s="357">
        <v>5070000</v>
      </c>
      <c r="EO26" s="357">
        <v>5000000</v>
      </c>
      <c r="EP26" s="357">
        <v>0</v>
      </c>
      <c r="EQ26" s="357">
        <v>70000</v>
      </c>
      <c r="ER26" s="357">
        <v>0</v>
      </c>
      <c r="ES26" s="357">
        <v>0</v>
      </c>
      <c r="ET26" s="357">
        <v>0</v>
      </c>
      <c r="EU26" s="357">
        <v>5000000</v>
      </c>
      <c r="EV26" s="357">
        <v>0</v>
      </c>
      <c r="EW26" s="357">
        <v>70000</v>
      </c>
      <c r="EX26" s="357">
        <v>5070000</v>
      </c>
      <c r="EY26" s="357">
        <v>426511404</v>
      </c>
      <c r="EZ26" s="357">
        <v>0</v>
      </c>
      <c r="FA26" s="357">
        <v>7887356</v>
      </c>
      <c r="FB26" s="357">
        <v>434398760</v>
      </c>
      <c r="FC26" s="277">
        <v>0</v>
      </c>
      <c r="FD26" s="205"/>
    </row>
    <row r="27" spans="1:160" ht="12.75">
      <c r="A27" s="169">
        <v>20</v>
      </c>
      <c r="B27" s="172" t="s">
        <v>744</v>
      </c>
      <c r="C27" s="258" t="s">
        <v>745</v>
      </c>
      <c r="D27" s="235">
        <v>41647</v>
      </c>
      <c r="E27" s="357">
        <v>94513093</v>
      </c>
      <c r="F27" s="357">
        <v>0</v>
      </c>
      <c r="G27" s="357">
        <v>0</v>
      </c>
      <c r="H27" s="357">
        <v>94513093</v>
      </c>
      <c r="I27" s="357">
        <v>44515667</v>
      </c>
      <c r="J27" s="357">
        <v>0</v>
      </c>
      <c r="K27" s="357">
        <v>0</v>
      </c>
      <c r="L27" s="357">
        <v>0</v>
      </c>
      <c r="M27" s="357">
        <v>0</v>
      </c>
      <c r="N27" s="357">
        <v>0</v>
      </c>
      <c r="O27" s="357">
        <v>44515667</v>
      </c>
      <c r="P27" s="357">
        <v>0</v>
      </c>
      <c r="Q27" s="357">
        <v>0</v>
      </c>
      <c r="R27" s="357">
        <v>44515667</v>
      </c>
      <c r="S27" s="357">
        <v>15149</v>
      </c>
      <c r="T27" s="357">
        <v>0</v>
      </c>
      <c r="U27" s="357">
        <v>0</v>
      </c>
      <c r="V27" s="357">
        <v>15149</v>
      </c>
      <c r="W27" s="357">
        <v>15690</v>
      </c>
      <c r="X27" s="357">
        <v>0</v>
      </c>
      <c r="Y27" s="357">
        <v>0</v>
      </c>
      <c r="Z27" s="357">
        <v>15690</v>
      </c>
      <c r="AA27" s="357">
        <v>-541</v>
      </c>
      <c r="AB27" s="357">
        <v>0</v>
      </c>
      <c r="AC27" s="357">
        <v>0</v>
      </c>
      <c r="AD27" s="357">
        <v>0</v>
      </c>
      <c r="AE27" s="357">
        <v>0</v>
      </c>
      <c r="AF27" s="357">
        <v>0</v>
      </c>
      <c r="AG27" s="357">
        <v>-541</v>
      </c>
      <c r="AH27" s="357">
        <v>0</v>
      </c>
      <c r="AI27" s="357">
        <v>0</v>
      </c>
      <c r="AJ27" s="357">
        <v>-541</v>
      </c>
      <c r="AK27" s="357">
        <v>-541</v>
      </c>
      <c r="AL27" s="357">
        <v>0</v>
      </c>
      <c r="AM27" s="357">
        <v>0</v>
      </c>
      <c r="AN27" s="357">
        <v>-541</v>
      </c>
      <c r="AO27" s="357">
        <v>1127969</v>
      </c>
      <c r="AP27" s="357">
        <v>0</v>
      </c>
      <c r="AQ27" s="357">
        <v>0</v>
      </c>
      <c r="AR27" s="357">
        <v>1127969</v>
      </c>
      <c r="AS27" s="357">
        <v>0</v>
      </c>
      <c r="AT27" s="357">
        <v>0</v>
      </c>
      <c r="AU27" s="357">
        <v>0</v>
      </c>
      <c r="AV27" s="357">
        <v>0</v>
      </c>
      <c r="AW27" s="357">
        <v>954903</v>
      </c>
      <c r="AX27" s="357">
        <v>0</v>
      </c>
      <c r="AY27" s="357">
        <v>0</v>
      </c>
      <c r="AZ27" s="357">
        <v>954903</v>
      </c>
      <c r="BA27" s="357">
        <v>173066</v>
      </c>
      <c r="BB27" s="357">
        <v>0</v>
      </c>
      <c r="BC27" s="357">
        <v>0</v>
      </c>
      <c r="BD27" s="357">
        <v>173066</v>
      </c>
      <c r="BE27" s="357">
        <v>852240</v>
      </c>
      <c r="BF27" s="357">
        <v>0</v>
      </c>
      <c r="BG27" s="357">
        <v>0</v>
      </c>
      <c r="BH27" s="357">
        <v>852240</v>
      </c>
      <c r="BI27" s="357">
        <v>40337</v>
      </c>
      <c r="BJ27" s="357">
        <v>0</v>
      </c>
      <c r="BK27" s="357">
        <v>0</v>
      </c>
      <c r="BL27" s="357">
        <v>40337</v>
      </c>
      <c r="BM27" s="357">
        <v>0</v>
      </c>
      <c r="BN27" s="357">
        <v>0</v>
      </c>
      <c r="BO27" s="357">
        <v>0</v>
      </c>
      <c r="BP27" s="357">
        <v>0</v>
      </c>
      <c r="BQ27" s="357">
        <v>1065643</v>
      </c>
      <c r="BR27" s="357">
        <v>0</v>
      </c>
      <c r="BS27" s="357">
        <v>0</v>
      </c>
      <c r="BT27" s="357">
        <v>0</v>
      </c>
      <c r="BU27" s="357">
        <v>0</v>
      </c>
      <c r="BV27" s="357">
        <v>0</v>
      </c>
      <c r="BW27" s="357">
        <v>1065643</v>
      </c>
      <c r="BX27" s="357">
        <v>0</v>
      </c>
      <c r="BY27" s="357">
        <v>0</v>
      </c>
      <c r="BZ27" s="357">
        <v>1065643</v>
      </c>
      <c r="CA27" s="357">
        <v>250000</v>
      </c>
      <c r="CB27" s="357">
        <v>0</v>
      </c>
      <c r="CC27" s="357">
        <v>0</v>
      </c>
      <c r="CD27" s="357">
        <v>250000</v>
      </c>
      <c r="CE27" s="357">
        <v>423299</v>
      </c>
      <c r="CF27" s="357">
        <v>0</v>
      </c>
      <c r="CG27" s="357">
        <v>0</v>
      </c>
      <c r="CH27" s="357">
        <v>423299</v>
      </c>
      <c r="CI27" s="357">
        <v>673299</v>
      </c>
      <c r="CJ27" s="357">
        <v>0</v>
      </c>
      <c r="CK27" s="357">
        <v>0</v>
      </c>
      <c r="CL27" s="357">
        <v>0</v>
      </c>
      <c r="CM27" s="357">
        <v>0</v>
      </c>
      <c r="CN27" s="357">
        <v>0</v>
      </c>
      <c r="CO27" s="357">
        <v>673299</v>
      </c>
      <c r="CP27" s="357">
        <v>0</v>
      </c>
      <c r="CQ27" s="357">
        <v>0</v>
      </c>
      <c r="CR27" s="357">
        <v>673299</v>
      </c>
      <c r="CS27" s="357">
        <v>48943</v>
      </c>
      <c r="CT27" s="357">
        <v>0</v>
      </c>
      <c r="CU27" s="357">
        <v>0</v>
      </c>
      <c r="CV27" s="357">
        <v>48943</v>
      </c>
      <c r="CW27" s="357">
        <v>3674</v>
      </c>
      <c r="CX27" s="357">
        <v>0</v>
      </c>
      <c r="CY27" s="357">
        <v>0</v>
      </c>
      <c r="CZ27" s="357">
        <v>3674</v>
      </c>
      <c r="DA27" s="357">
        <v>3194</v>
      </c>
      <c r="DB27" s="357">
        <v>0</v>
      </c>
      <c r="DC27" s="357">
        <v>0</v>
      </c>
      <c r="DD27" s="357">
        <v>3194</v>
      </c>
      <c r="DE27" s="357">
        <v>0</v>
      </c>
      <c r="DF27" s="357">
        <v>0</v>
      </c>
      <c r="DG27" s="357">
        <v>0</v>
      </c>
      <c r="DH27" s="357">
        <v>0</v>
      </c>
      <c r="DI27" s="357">
        <v>0</v>
      </c>
      <c r="DJ27" s="357">
        <v>0</v>
      </c>
      <c r="DK27" s="357">
        <v>0</v>
      </c>
      <c r="DL27" s="357">
        <v>0</v>
      </c>
      <c r="DM27" s="357">
        <v>0</v>
      </c>
      <c r="DN27" s="357">
        <v>0</v>
      </c>
      <c r="DO27" s="357">
        <v>0</v>
      </c>
      <c r="DP27" s="357">
        <v>0</v>
      </c>
      <c r="DQ27" s="357">
        <v>55811</v>
      </c>
      <c r="DR27" s="357">
        <v>0</v>
      </c>
      <c r="DS27" s="357">
        <v>0</v>
      </c>
      <c r="DT27" s="357">
        <v>0</v>
      </c>
      <c r="DU27" s="357">
        <v>0</v>
      </c>
      <c r="DV27" s="357">
        <v>0</v>
      </c>
      <c r="DW27" s="357">
        <v>55811</v>
      </c>
      <c r="DX27" s="357">
        <v>0</v>
      </c>
      <c r="DY27" s="357">
        <v>0</v>
      </c>
      <c r="DZ27" s="357">
        <v>55811</v>
      </c>
      <c r="EA27" s="357">
        <v>0</v>
      </c>
      <c r="EB27" s="357">
        <v>0</v>
      </c>
      <c r="EC27" s="357">
        <v>0</v>
      </c>
      <c r="ED27" s="357">
        <v>0</v>
      </c>
      <c r="EE27" s="357">
        <v>0</v>
      </c>
      <c r="EF27" s="357">
        <v>0</v>
      </c>
      <c r="EG27" s="357">
        <v>0</v>
      </c>
      <c r="EH27" s="357">
        <v>0</v>
      </c>
      <c r="EI27" s="357">
        <v>0</v>
      </c>
      <c r="EJ27" s="357">
        <v>0</v>
      </c>
      <c r="EK27" s="357">
        <v>180500</v>
      </c>
      <c r="EL27" s="357">
        <v>0</v>
      </c>
      <c r="EM27" s="357">
        <v>0</v>
      </c>
      <c r="EN27" s="357">
        <v>180500</v>
      </c>
      <c r="EO27" s="357">
        <v>180500</v>
      </c>
      <c r="EP27" s="357">
        <v>0</v>
      </c>
      <c r="EQ27" s="357">
        <v>0</v>
      </c>
      <c r="ER27" s="357">
        <v>0</v>
      </c>
      <c r="ES27" s="357">
        <v>0</v>
      </c>
      <c r="ET27" s="357">
        <v>0</v>
      </c>
      <c r="EU27" s="357">
        <v>180500</v>
      </c>
      <c r="EV27" s="357">
        <v>0</v>
      </c>
      <c r="EW27" s="357">
        <v>0</v>
      </c>
      <c r="EX27" s="357">
        <v>180500</v>
      </c>
      <c r="EY27" s="357">
        <v>42540955</v>
      </c>
      <c r="EZ27" s="357">
        <v>0</v>
      </c>
      <c r="FA27" s="357">
        <v>0</v>
      </c>
      <c r="FB27" s="357">
        <v>42540955</v>
      </c>
      <c r="FC27" s="277">
        <v>0</v>
      </c>
      <c r="FD27" s="205"/>
    </row>
    <row r="28" spans="1:160" ht="12.75">
      <c r="A28" s="169">
        <v>21</v>
      </c>
      <c r="B28" s="172" t="s">
        <v>746</v>
      </c>
      <c r="C28" s="258" t="s">
        <v>747</v>
      </c>
      <c r="D28" s="235">
        <v>41639</v>
      </c>
      <c r="E28" s="357">
        <v>126803546</v>
      </c>
      <c r="F28" s="357">
        <v>0</v>
      </c>
      <c r="G28" s="357">
        <v>0</v>
      </c>
      <c r="H28" s="357">
        <v>126803546</v>
      </c>
      <c r="I28" s="357">
        <v>59724470</v>
      </c>
      <c r="J28" s="357">
        <v>0</v>
      </c>
      <c r="K28" s="357">
        <v>0</v>
      </c>
      <c r="L28" s="357">
        <v>-284270</v>
      </c>
      <c r="M28" s="357">
        <v>0</v>
      </c>
      <c r="N28" s="357">
        <v>0</v>
      </c>
      <c r="O28" s="357">
        <v>59440200</v>
      </c>
      <c r="P28" s="357">
        <v>0</v>
      </c>
      <c r="Q28" s="357">
        <v>0</v>
      </c>
      <c r="R28" s="357">
        <v>59440200</v>
      </c>
      <c r="S28" s="357">
        <v>135000</v>
      </c>
      <c r="T28" s="357">
        <v>0</v>
      </c>
      <c r="U28" s="357">
        <v>0</v>
      </c>
      <c r="V28" s="357">
        <v>135000</v>
      </c>
      <c r="W28" s="357">
        <v>190000</v>
      </c>
      <c r="X28" s="357">
        <v>0</v>
      </c>
      <c r="Y28" s="357">
        <v>0</v>
      </c>
      <c r="Z28" s="357">
        <v>190000</v>
      </c>
      <c r="AA28" s="357">
        <v>-55000</v>
      </c>
      <c r="AB28" s="357">
        <v>0</v>
      </c>
      <c r="AC28" s="357">
        <v>0</v>
      </c>
      <c r="AD28" s="357">
        <v>35000</v>
      </c>
      <c r="AE28" s="357">
        <v>0</v>
      </c>
      <c r="AF28" s="357">
        <v>0</v>
      </c>
      <c r="AG28" s="357">
        <v>-20000</v>
      </c>
      <c r="AH28" s="357">
        <v>0</v>
      </c>
      <c r="AI28" s="357">
        <v>0</v>
      </c>
      <c r="AJ28" s="357">
        <v>-20000</v>
      </c>
      <c r="AK28" s="357">
        <v>-20000</v>
      </c>
      <c r="AL28" s="357">
        <v>0</v>
      </c>
      <c r="AM28" s="357">
        <v>0</v>
      </c>
      <c r="AN28" s="357">
        <v>-20000</v>
      </c>
      <c r="AO28" s="357">
        <v>4700000</v>
      </c>
      <c r="AP28" s="357">
        <v>0</v>
      </c>
      <c r="AQ28" s="357">
        <v>0</v>
      </c>
      <c r="AR28" s="357">
        <v>4700000</v>
      </c>
      <c r="AS28" s="357">
        <v>50000</v>
      </c>
      <c r="AT28" s="357">
        <v>0</v>
      </c>
      <c r="AU28" s="357">
        <v>0</v>
      </c>
      <c r="AV28" s="357">
        <v>50000</v>
      </c>
      <c r="AW28" s="357">
        <v>900000</v>
      </c>
      <c r="AX28" s="357">
        <v>0</v>
      </c>
      <c r="AY28" s="357">
        <v>0</v>
      </c>
      <c r="AZ28" s="357">
        <v>900000</v>
      </c>
      <c r="BA28" s="357">
        <v>3800000</v>
      </c>
      <c r="BB28" s="357">
        <v>0</v>
      </c>
      <c r="BC28" s="357">
        <v>0</v>
      </c>
      <c r="BD28" s="357">
        <v>3800000</v>
      </c>
      <c r="BE28" s="357">
        <v>3642000</v>
      </c>
      <c r="BF28" s="357">
        <v>0</v>
      </c>
      <c r="BG28" s="357">
        <v>0</v>
      </c>
      <c r="BH28" s="357">
        <v>3642000</v>
      </c>
      <c r="BI28" s="357">
        <v>78500</v>
      </c>
      <c r="BJ28" s="357">
        <v>0</v>
      </c>
      <c r="BK28" s="357">
        <v>0</v>
      </c>
      <c r="BL28" s="357">
        <v>78500</v>
      </c>
      <c r="BM28" s="357">
        <v>3000</v>
      </c>
      <c r="BN28" s="357">
        <v>0</v>
      </c>
      <c r="BO28" s="357">
        <v>0</v>
      </c>
      <c r="BP28" s="357">
        <v>3000</v>
      </c>
      <c r="BQ28" s="357">
        <v>7523500</v>
      </c>
      <c r="BR28" s="357">
        <v>0</v>
      </c>
      <c r="BS28" s="357">
        <v>0</v>
      </c>
      <c r="BT28" s="357">
        <v>350000</v>
      </c>
      <c r="BU28" s="357">
        <v>0</v>
      </c>
      <c r="BV28" s="357">
        <v>0</v>
      </c>
      <c r="BW28" s="357">
        <v>7873500</v>
      </c>
      <c r="BX28" s="357">
        <v>0</v>
      </c>
      <c r="BY28" s="357">
        <v>0</v>
      </c>
      <c r="BZ28" s="357">
        <v>7873500</v>
      </c>
      <c r="CA28" s="357">
        <v>102000</v>
      </c>
      <c r="CB28" s="357">
        <v>0</v>
      </c>
      <c r="CC28" s="357">
        <v>0</v>
      </c>
      <c r="CD28" s="357">
        <v>102000</v>
      </c>
      <c r="CE28" s="357">
        <v>2754000</v>
      </c>
      <c r="CF28" s="357">
        <v>0</v>
      </c>
      <c r="CG28" s="357">
        <v>0</v>
      </c>
      <c r="CH28" s="357">
        <v>2754000</v>
      </c>
      <c r="CI28" s="357">
        <v>2856000</v>
      </c>
      <c r="CJ28" s="357">
        <v>0</v>
      </c>
      <c r="CK28" s="357">
        <v>0</v>
      </c>
      <c r="CL28" s="357">
        <v>-300000</v>
      </c>
      <c r="CM28" s="357">
        <v>0</v>
      </c>
      <c r="CN28" s="357">
        <v>0</v>
      </c>
      <c r="CO28" s="357">
        <v>2556000</v>
      </c>
      <c r="CP28" s="357">
        <v>0</v>
      </c>
      <c r="CQ28" s="357">
        <v>0</v>
      </c>
      <c r="CR28" s="357">
        <v>2556000</v>
      </c>
      <c r="CS28" s="357">
        <v>36000</v>
      </c>
      <c r="CT28" s="357">
        <v>0</v>
      </c>
      <c r="CU28" s="357">
        <v>0</v>
      </c>
      <c r="CV28" s="357">
        <v>36000</v>
      </c>
      <c r="CW28" s="357">
        <v>12000</v>
      </c>
      <c r="CX28" s="357">
        <v>0</v>
      </c>
      <c r="CY28" s="357">
        <v>0</v>
      </c>
      <c r="CZ28" s="357">
        <v>12000</v>
      </c>
      <c r="DA28" s="357">
        <v>0</v>
      </c>
      <c r="DB28" s="357">
        <v>0</v>
      </c>
      <c r="DC28" s="357">
        <v>0</v>
      </c>
      <c r="DD28" s="357">
        <v>0</v>
      </c>
      <c r="DE28" s="357">
        <v>2000</v>
      </c>
      <c r="DF28" s="357">
        <v>0</v>
      </c>
      <c r="DG28" s="357">
        <v>0</v>
      </c>
      <c r="DH28" s="357">
        <v>2000</v>
      </c>
      <c r="DI28" s="357">
        <v>0</v>
      </c>
      <c r="DJ28" s="357">
        <v>0</v>
      </c>
      <c r="DK28" s="357">
        <v>0</v>
      </c>
      <c r="DL28" s="357">
        <v>0</v>
      </c>
      <c r="DM28" s="357">
        <v>0</v>
      </c>
      <c r="DN28" s="357">
        <v>0</v>
      </c>
      <c r="DO28" s="357">
        <v>0</v>
      </c>
      <c r="DP28" s="357">
        <v>0</v>
      </c>
      <c r="DQ28" s="357">
        <v>50000</v>
      </c>
      <c r="DR28" s="357">
        <v>0</v>
      </c>
      <c r="DS28" s="357">
        <v>0</v>
      </c>
      <c r="DT28" s="357">
        <v>0</v>
      </c>
      <c r="DU28" s="357">
        <v>0</v>
      </c>
      <c r="DV28" s="357">
        <v>0</v>
      </c>
      <c r="DW28" s="357">
        <v>50000</v>
      </c>
      <c r="DX28" s="357">
        <v>0</v>
      </c>
      <c r="DY28" s="357">
        <v>0</v>
      </c>
      <c r="DZ28" s="357">
        <v>50000</v>
      </c>
      <c r="EA28" s="357">
        <v>0</v>
      </c>
      <c r="EB28" s="357">
        <v>0</v>
      </c>
      <c r="EC28" s="357">
        <v>0</v>
      </c>
      <c r="ED28" s="357">
        <v>0</v>
      </c>
      <c r="EE28" s="357">
        <v>0</v>
      </c>
      <c r="EF28" s="357">
        <v>0</v>
      </c>
      <c r="EG28" s="357">
        <v>156000</v>
      </c>
      <c r="EH28" s="357">
        <v>0</v>
      </c>
      <c r="EI28" s="357">
        <v>0</v>
      </c>
      <c r="EJ28" s="357">
        <v>156000</v>
      </c>
      <c r="EK28" s="357">
        <v>463000</v>
      </c>
      <c r="EL28" s="357">
        <v>0</v>
      </c>
      <c r="EM28" s="357">
        <v>0</v>
      </c>
      <c r="EN28" s="357">
        <v>463000</v>
      </c>
      <c r="EO28" s="357">
        <v>619000</v>
      </c>
      <c r="EP28" s="357">
        <v>0</v>
      </c>
      <c r="EQ28" s="357">
        <v>0</v>
      </c>
      <c r="ER28" s="357">
        <v>0</v>
      </c>
      <c r="ES28" s="357">
        <v>0</v>
      </c>
      <c r="ET28" s="357">
        <v>0</v>
      </c>
      <c r="EU28" s="357">
        <v>619000</v>
      </c>
      <c r="EV28" s="357">
        <v>0</v>
      </c>
      <c r="EW28" s="357">
        <v>0</v>
      </c>
      <c r="EX28" s="357">
        <v>619000</v>
      </c>
      <c r="EY28" s="357">
        <v>48361700</v>
      </c>
      <c r="EZ28" s="357">
        <v>0</v>
      </c>
      <c r="FA28" s="357">
        <v>0</v>
      </c>
      <c r="FB28" s="357">
        <v>48361700</v>
      </c>
      <c r="FC28" s="277">
        <v>0</v>
      </c>
      <c r="FD28" s="205"/>
    </row>
    <row r="29" spans="1:160" ht="12.75">
      <c r="A29" s="169">
        <v>22</v>
      </c>
      <c r="B29" s="172" t="s">
        <v>748</v>
      </c>
      <c r="C29" s="258" t="s">
        <v>749</v>
      </c>
      <c r="D29" s="235">
        <v>41547</v>
      </c>
      <c r="E29" s="357">
        <v>132665544</v>
      </c>
      <c r="F29" s="357">
        <v>0</v>
      </c>
      <c r="G29" s="357">
        <v>0</v>
      </c>
      <c r="H29" s="357">
        <v>132665544</v>
      </c>
      <c r="I29" s="357">
        <v>62485471</v>
      </c>
      <c r="J29" s="357">
        <v>0</v>
      </c>
      <c r="K29" s="357">
        <v>0</v>
      </c>
      <c r="L29" s="357">
        <v>-452000</v>
      </c>
      <c r="M29" s="357">
        <v>0</v>
      </c>
      <c r="N29" s="357">
        <v>0</v>
      </c>
      <c r="O29" s="357">
        <v>62033471</v>
      </c>
      <c r="P29" s="357">
        <v>0</v>
      </c>
      <c r="Q29" s="357">
        <v>0</v>
      </c>
      <c r="R29" s="357">
        <v>62033471</v>
      </c>
      <c r="S29" s="357">
        <v>77235</v>
      </c>
      <c r="T29" s="357">
        <v>0</v>
      </c>
      <c r="U29" s="357">
        <v>0</v>
      </c>
      <c r="V29" s="357">
        <v>77235</v>
      </c>
      <c r="W29" s="357">
        <v>8543</v>
      </c>
      <c r="X29" s="357">
        <v>0</v>
      </c>
      <c r="Y29" s="357">
        <v>0</v>
      </c>
      <c r="Z29" s="357">
        <v>8543</v>
      </c>
      <c r="AA29" s="357">
        <v>68692</v>
      </c>
      <c r="AB29" s="357">
        <v>0</v>
      </c>
      <c r="AC29" s="357">
        <v>0</v>
      </c>
      <c r="AD29" s="357">
        <v>-2000</v>
      </c>
      <c r="AE29" s="357">
        <v>0</v>
      </c>
      <c r="AF29" s="357">
        <v>0</v>
      </c>
      <c r="AG29" s="357">
        <v>66692</v>
      </c>
      <c r="AH29" s="357">
        <v>0</v>
      </c>
      <c r="AI29" s="357">
        <v>0</v>
      </c>
      <c r="AJ29" s="357">
        <v>66692</v>
      </c>
      <c r="AK29" s="357">
        <v>66692</v>
      </c>
      <c r="AL29" s="357">
        <v>0</v>
      </c>
      <c r="AM29" s="357">
        <v>0</v>
      </c>
      <c r="AN29" s="357">
        <v>66692</v>
      </c>
      <c r="AO29" s="357">
        <v>6088728</v>
      </c>
      <c r="AP29" s="357">
        <v>0</v>
      </c>
      <c r="AQ29" s="357">
        <v>0</v>
      </c>
      <c r="AR29" s="357">
        <v>6088728</v>
      </c>
      <c r="AS29" s="357">
        <v>290000</v>
      </c>
      <c r="AT29" s="357">
        <v>0</v>
      </c>
      <c r="AU29" s="357">
        <v>0</v>
      </c>
      <c r="AV29" s="357">
        <v>290000</v>
      </c>
      <c r="AW29" s="357">
        <v>1169493</v>
      </c>
      <c r="AX29" s="357">
        <v>0</v>
      </c>
      <c r="AY29" s="357">
        <v>0</v>
      </c>
      <c r="AZ29" s="357">
        <v>1169493</v>
      </c>
      <c r="BA29" s="357">
        <v>4919235</v>
      </c>
      <c r="BB29" s="357">
        <v>0</v>
      </c>
      <c r="BC29" s="357">
        <v>0</v>
      </c>
      <c r="BD29" s="357">
        <v>4919235</v>
      </c>
      <c r="BE29" s="357">
        <v>2449544</v>
      </c>
      <c r="BF29" s="357">
        <v>0</v>
      </c>
      <c r="BG29" s="357">
        <v>0</v>
      </c>
      <c r="BH29" s="357">
        <v>2449544</v>
      </c>
      <c r="BI29" s="357">
        <v>0</v>
      </c>
      <c r="BJ29" s="357">
        <v>0</v>
      </c>
      <c r="BK29" s="357">
        <v>0</v>
      </c>
      <c r="BL29" s="357">
        <v>0</v>
      </c>
      <c r="BM29" s="357">
        <v>0</v>
      </c>
      <c r="BN29" s="357">
        <v>0</v>
      </c>
      <c r="BO29" s="357">
        <v>0</v>
      </c>
      <c r="BP29" s="357">
        <v>0</v>
      </c>
      <c r="BQ29" s="357">
        <v>7368779</v>
      </c>
      <c r="BR29" s="357">
        <v>0</v>
      </c>
      <c r="BS29" s="357">
        <v>0</v>
      </c>
      <c r="BT29" s="357">
        <v>711000</v>
      </c>
      <c r="BU29" s="357">
        <v>0</v>
      </c>
      <c r="BV29" s="357">
        <v>0</v>
      </c>
      <c r="BW29" s="357">
        <v>8079779</v>
      </c>
      <c r="BX29" s="357">
        <v>0</v>
      </c>
      <c r="BY29" s="357">
        <v>0</v>
      </c>
      <c r="BZ29" s="357">
        <v>8079779</v>
      </c>
      <c r="CA29" s="357">
        <v>0</v>
      </c>
      <c r="CB29" s="357">
        <v>0</v>
      </c>
      <c r="CC29" s="357">
        <v>0</v>
      </c>
      <c r="CD29" s="357">
        <v>0</v>
      </c>
      <c r="CE29" s="357">
        <v>2080483</v>
      </c>
      <c r="CF29" s="357">
        <v>0</v>
      </c>
      <c r="CG29" s="357">
        <v>0</v>
      </c>
      <c r="CH29" s="357">
        <v>2080483</v>
      </c>
      <c r="CI29" s="357">
        <v>2080483</v>
      </c>
      <c r="CJ29" s="357">
        <v>0</v>
      </c>
      <c r="CK29" s="357">
        <v>0</v>
      </c>
      <c r="CL29" s="357">
        <v>60000</v>
      </c>
      <c r="CM29" s="357">
        <v>0</v>
      </c>
      <c r="CN29" s="357">
        <v>0</v>
      </c>
      <c r="CO29" s="357">
        <v>2140483</v>
      </c>
      <c r="CP29" s="357">
        <v>0</v>
      </c>
      <c r="CQ29" s="357">
        <v>0</v>
      </c>
      <c r="CR29" s="357">
        <v>2140483</v>
      </c>
      <c r="CS29" s="357">
        <v>5743</v>
      </c>
      <c r="CT29" s="357">
        <v>0</v>
      </c>
      <c r="CU29" s="357">
        <v>0</v>
      </c>
      <c r="CV29" s="357">
        <v>5743</v>
      </c>
      <c r="CW29" s="357">
        <v>30270</v>
      </c>
      <c r="CX29" s="357">
        <v>0</v>
      </c>
      <c r="CY29" s="357">
        <v>0</v>
      </c>
      <c r="CZ29" s="357">
        <v>30270</v>
      </c>
      <c r="DA29" s="357">
        <v>0</v>
      </c>
      <c r="DB29" s="357">
        <v>0</v>
      </c>
      <c r="DC29" s="357">
        <v>0</v>
      </c>
      <c r="DD29" s="357">
        <v>0</v>
      </c>
      <c r="DE29" s="357">
        <v>0</v>
      </c>
      <c r="DF29" s="357">
        <v>0</v>
      </c>
      <c r="DG29" s="357">
        <v>0</v>
      </c>
      <c r="DH29" s="357">
        <v>0</v>
      </c>
      <c r="DI29" s="357">
        <v>0</v>
      </c>
      <c r="DJ29" s="357">
        <v>0</v>
      </c>
      <c r="DK29" s="357">
        <v>0</v>
      </c>
      <c r="DL29" s="357">
        <v>0</v>
      </c>
      <c r="DM29" s="357">
        <v>0</v>
      </c>
      <c r="DN29" s="357">
        <v>0</v>
      </c>
      <c r="DO29" s="357">
        <v>0</v>
      </c>
      <c r="DP29" s="357">
        <v>0</v>
      </c>
      <c r="DQ29" s="357">
        <v>36013</v>
      </c>
      <c r="DR29" s="357">
        <v>0</v>
      </c>
      <c r="DS29" s="357">
        <v>0</v>
      </c>
      <c r="DT29" s="357">
        <v>-6000</v>
      </c>
      <c r="DU29" s="357">
        <v>0</v>
      </c>
      <c r="DV29" s="357">
        <v>0</v>
      </c>
      <c r="DW29" s="357">
        <v>30013</v>
      </c>
      <c r="DX29" s="357">
        <v>0</v>
      </c>
      <c r="DY29" s="357">
        <v>0</v>
      </c>
      <c r="DZ29" s="357">
        <v>30013</v>
      </c>
      <c r="EA29" s="357">
        <v>0</v>
      </c>
      <c r="EB29" s="357">
        <v>0</v>
      </c>
      <c r="EC29" s="357">
        <v>50000</v>
      </c>
      <c r="ED29" s="357">
        <v>0</v>
      </c>
      <c r="EE29" s="357">
        <v>0</v>
      </c>
      <c r="EF29" s="357">
        <v>50000</v>
      </c>
      <c r="EG29" s="357">
        <v>46786</v>
      </c>
      <c r="EH29" s="357">
        <v>0</v>
      </c>
      <c r="EI29" s="357">
        <v>0</v>
      </c>
      <c r="EJ29" s="357">
        <v>46786</v>
      </c>
      <c r="EK29" s="357">
        <v>993438</v>
      </c>
      <c r="EL29" s="357">
        <v>0</v>
      </c>
      <c r="EM29" s="357">
        <v>0</v>
      </c>
      <c r="EN29" s="357">
        <v>993438</v>
      </c>
      <c r="EO29" s="357">
        <v>1090224</v>
      </c>
      <c r="EP29" s="357">
        <v>0</v>
      </c>
      <c r="EQ29" s="357">
        <v>0</v>
      </c>
      <c r="ER29" s="357">
        <v>-50000</v>
      </c>
      <c r="ES29" s="357">
        <v>0</v>
      </c>
      <c r="ET29" s="357">
        <v>0</v>
      </c>
      <c r="EU29" s="357">
        <v>1040224</v>
      </c>
      <c r="EV29" s="357">
        <v>0</v>
      </c>
      <c r="EW29" s="357">
        <v>0</v>
      </c>
      <c r="EX29" s="357">
        <v>1040224</v>
      </c>
      <c r="EY29" s="357">
        <v>50676280</v>
      </c>
      <c r="EZ29" s="357">
        <v>0</v>
      </c>
      <c r="FA29" s="357">
        <v>0</v>
      </c>
      <c r="FB29" s="357">
        <v>50676280</v>
      </c>
      <c r="FC29" s="277">
        <v>0</v>
      </c>
      <c r="FD29" s="205"/>
    </row>
    <row r="30" spans="1:160" ht="12.75">
      <c r="A30" s="169">
        <v>23</v>
      </c>
      <c r="B30" s="172" t="s">
        <v>750</v>
      </c>
      <c r="C30" s="258" t="s">
        <v>751</v>
      </c>
      <c r="D30" s="235">
        <v>41639</v>
      </c>
      <c r="E30" s="357">
        <v>52206045</v>
      </c>
      <c r="F30" s="357">
        <v>0</v>
      </c>
      <c r="G30" s="357">
        <v>0</v>
      </c>
      <c r="H30" s="357">
        <v>52206045</v>
      </c>
      <c r="I30" s="357">
        <v>24589047</v>
      </c>
      <c r="J30" s="357">
        <v>0</v>
      </c>
      <c r="K30" s="357">
        <v>0</v>
      </c>
      <c r="L30" s="357">
        <v>440000</v>
      </c>
      <c r="M30" s="357">
        <v>0</v>
      </c>
      <c r="N30" s="357">
        <v>0</v>
      </c>
      <c r="O30" s="357">
        <v>25029047</v>
      </c>
      <c r="P30" s="357">
        <v>0</v>
      </c>
      <c r="Q30" s="357">
        <v>0</v>
      </c>
      <c r="R30" s="357">
        <v>25029047</v>
      </c>
      <c r="S30" s="357">
        <v>43742</v>
      </c>
      <c r="T30" s="357">
        <v>0</v>
      </c>
      <c r="U30" s="357">
        <v>0</v>
      </c>
      <c r="V30" s="357">
        <v>43742</v>
      </c>
      <c r="W30" s="357">
        <v>55286</v>
      </c>
      <c r="X30" s="357">
        <v>0</v>
      </c>
      <c r="Y30" s="357">
        <v>0</v>
      </c>
      <c r="Z30" s="357">
        <v>55286</v>
      </c>
      <c r="AA30" s="357">
        <v>-11544</v>
      </c>
      <c r="AB30" s="357">
        <v>0</v>
      </c>
      <c r="AC30" s="357">
        <v>0</v>
      </c>
      <c r="AD30" s="357">
        <v>0</v>
      </c>
      <c r="AE30" s="357">
        <v>0</v>
      </c>
      <c r="AF30" s="357">
        <v>0</v>
      </c>
      <c r="AG30" s="357">
        <v>-11544</v>
      </c>
      <c r="AH30" s="357">
        <v>0</v>
      </c>
      <c r="AI30" s="357">
        <v>0</v>
      </c>
      <c r="AJ30" s="357">
        <v>-11544</v>
      </c>
      <c r="AK30" s="357">
        <v>-11544</v>
      </c>
      <c r="AL30" s="357">
        <v>0</v>
      </c>
      <c r="AM30" s="357">
        <v>0</v>
      </c>
      <c r="AN30" s="357">
        <v>-11544</v>
      </c>
      <c r="AO30" s="357">
        <v>1179601</v>
      </c>
      <c r="AP30" s="357">
        <v>0</v>
      </c>
      <c r="AQ30" s="357">
        <v>0</v>
      </c>
      <c r="AR30" s="357">
        <v>1179601</v>
      </c>
      <c r="AS30" s="357">
        <v>0</v>
      </c>
      <c r="AT30" s="357">
        <v>0</v>
      </c>
      <c r="AU30" s="357">
        <v>0</v>
      </c>
      <c r="AV30" s="357">
        <v>0</v>
      </c>
      <c r="AW30" s="357">
        <v>412495</v>
      </c>
      <c r="AX30" s="357">
        <v>0</v>
      </c>
      <c r="AY30" s="357">
        <v>0</v>
      </c>
      <c r="AZ30" s="357">
        <v>412495</v>
      </c>
      <c r="BA30" s="357">
        <v>767106</v>
      </c>
      <c r="BB30" s="357">
        <v>0</v>
      </c>
      <c r="BC30" s="357">
        <v>0</v>
      </c>
      <c r="BD30" s="357">
        <v>767106</v>
      </c>
      <c r="BE30" s="357">
        <v>470516</v>
      </c>
      <c r="BF30" s="357">
        <v>0</v>
      </c>
      <c r="BG30" s="357">
        <v>0</v>
      </c>
      <c r="BH30" s="357">
        <v>470516</v>
      </c>
      <c r="BI30" s="357">
        <v>0</v>
      </c>
      <c r="BJ30" s="357">
        <v>0</v>
      </c>
      <c r="BK30" s="357">
        <v>0</v>
      </c>
      <c r="BL30" s="357">
        <v>0</v>
      </c>
      <c r="BM30" s="357">
        <v>13556</v>
      </c>
      <c r="BN30" s="357">
        <v>0</v>
      </c>
      <c r="BO30" s="357">
        <v>0</v>
      </c>
      <c r="BP30" s="357">
        <v>13556</v>
      </c>
      <c r="BQ30" s="357">
        <v>1251178</v>
      </c>
      <c r="BR30" s="357">
        <v>0</v>
      </c>
      <c r="BS30" s="357">
        <v>0</v>
      </c>
      <c r="BT30" s="357">
        <v>0</v>
      </c>
      <c r="BU30" s="357">
        <v>0</v>
      </c>
      <c r="BV30" s="357">
        <v>0</v>
      </c>
      <c r="BW30" s="357">
        <v>1251178</v>
      </c>
      <c r="BX30" s="357">
        <v>0</v>
      </c>
      <c r="BY30" s="357">
        <v>0</v>
      </c>
      <c r="BZ30" s="357">
        <v>1251178</v>
      </c>
      <c r="CA30" s="357">
        <v>372356</v>
      </c>
      <c r="CB30" s="357">
        <v>0</v>
      </c>
      <c r="CC30" s="357">
        <v>0</v>
      </c>
      <c r="CD30" s="357">
        <v>372356</v>
      </c>
      <c r="CE30" s="357">
        <v>549803</v>
      </c>
      <c r="CF30" s="357">
        <v>0</v>
      </c>
      <c r="CG30" s="357">
        <v>0</v>
      </c>
      <c r="CH30" s="357">
        <v>549803</v>
      </c>
      <c r="CI30" s="357">
        <v>922159</v>
      </c>
      <c r="CJ30" s="357">
        <v>0</v>
      </c>
      <c r="CK30" s="357">
        <v>0</v>
      </c>
      <c r="CL30" s="357">
        <v>0</v>
      </c>
      <c r="CM30" s="357">
        <v>0</v>
      </c>
      <c r="CN30" s="357">
        <v>0</v>
      </c>
      <c r="CO30" s="357">
        <v>922159</v>
      </c>
      <c r="CP30" s="357">
        <v>0</v>
      </c>
      <c r="CQ30" s="357">
        <v>0</v>
      </c>
      <c r="CR30" s="357">
        <v>922159</v>
      </c>
      <c r="CS30" s="357">
        <v>130</v>
      </c>
      <c r="CT30" s="357">
        <v>0</v>
      </c>
      <c r="CU30" s="357">
        <v>0</v>
      </c>
      <c r="CV30" s="357">
        <v>130</v>
      </c>
      <c r="CW30" s="357">
        <v>28063</v>
      </c>
      <c r="CX30" s="357">
        <v>0</v>
      </c>
      <c r="CY30" s="357">
        <v>0</v>
      </c>
      <c r="CZ30" s="357">
        <v>28063</v>
      </c>
      <c r="DA30" s="357">
        <v>0</v>
      </c>
      <c r="DB30" s="357">
        <v>0</v>
      </c>
      <c r="DC30" s="357">
        <v>0</v>
      </c>
      <c r="DD30" s="357">
        <v>0</v>
      </c>
      <c r="DE30" s="357">
        <v>0</v>
      </c>
      <c r="DF30" s="357">
        <v>0</v>
      </c>
      <c r="DG30" s="357">
        <v>0</v>
      </c>
      <c r="DH30" s="357">
        <v>0</v>
      </c>
      <c r="DI30" s="357">
        <v>0</v>
      </c>
      <c r="DJ30" s="357">
        <v>0</v>
      </c>
      <c r="DK30" s="357">
        <v>0</v>
      </c>
      <c r="DL30" s="357">
        <v>0</v>
      </c>
      <c r="DM30" s="357">
        <v>0</v>
      </c>
      <c r="DN30" s="357">
        <v>0</v>
      </c>
      <c r="DO30" s="357">
        <v>0</v>
      </c>
      <c r="DP30" s="357">
        <v>0</v>
      </c>
      <c r="DQ30" s="357">
        <v>28193</v>
      </c>
      <c r="DR30" s="357">
        <v>0</v>
      </c>
      <c r="DS30" s="357">
        <v>0</v>
      </c>
      <c r="DT30" s="357">
        <v>0</v>
      </c>
      <c r="DU30" s="357">
        <v>0</v>
      </c>
      <c r="DV30" s="357">
        <v>0</v>
      </c>
      <c r="DW30" s="357">
        <v>28193</v>
      </c>
      <c r="DX30" s="357">
        <v>0</v>
      </c>
      <c r="DY30" s="357">
        <v>0</v>
      </c>
      <c r="DZ30" s="357">
        <v>28193</v>
      </c>
      <c r="EA30" s="357">
        <v>0</v>
      </c>
      <c r="EB30" s="357">
        <v>0</v>
      </c>
      <c r="EC30" s="357">
        <v>0</v>
      </c>
      <c r="ED30" s="357">
        <v>0</v>
      </c>
      <c r="EE30" s="357">
        <v>0</v>
      </c>
      <c r="EF30" s="357">
        <v>0</v>
      </c>
      <c r="EG30" s="357">
        <v>0</v>
      </c>
      <c r="EH30" s="357">
        <v>0</v>
      </c>
      <c r="EI30" s="357">
        <v>0</v>
      </c>
      <c r="EJ30" s="357">
        <v>0</v>
      </c>
      <c r="EK30" s="357">
        <v>261655</v>
      </c>
      <c r="EL30" s="357">
        <v>0</v>
      </c>
      <c r="EM30" s="357">
        <v>0</v>
      </c>
      <c r="EN30" s="357">
        <v>261655</v>
      </c>
      <c r="EO30" s="357">
        <v>261655</v>
      </c>
      <c r="EP30" s="357">
        <v>0</v>
      </c>
      <c r="EQ30" s="357">
        <v>0</v>
      </c>
      <c r="ER30" s="357">
        <v>0</v>
      </c>
      <c r="ES30" s="357">
        <v>0</v>
      </c>
      <c r="ET30" s="357">
        <v>0</v>
      </c>
      <c r="EU30" s="357">
        <v>261655</v>
      </c>
      <c r="EV30" s="357">
        <v>0</v>
      </c>
      <c r="EW30" s="357">
        <v>0</v>
      </c>
      <c r="EX30" s="357">
        <v>261655</v>
      </c>
      <c r="EY30" s="357">
        <v>22577406</v>
      </c>
      <c r="EZ30" s="357">
        <v>0</v>
      </c>
      <c r="FA30" s="357">
        <v>0</v>
      </c>
      <c r="FB30" s="357">
        <v>22577406</v>
      </c>
      <c r="FC30" s="277">
        <v>0</v>
      </c>
      <c r="FD30" s="205"/>
    </row>
    <row r="31" spans="1:160" ht="12.75">
      <c r="A31" s="169">
        <v>24</v>
      </c>
      <c r="B31" s="172" t="s">
        <v>752</v>
      </c>
      <c r="C31" s="258" t="s">
        <v>753</v>
      </c>
      <c r="D31" s="235">
        <v>41547</v>
      </c>
      <c r="E31" s="357">
        <v>232618971</v>
      </c>
      <c r="F31" s="357">
        <v>0</v>
      </c>
      <c r="G31" s="357">
        <v>0</v>
      </c>
      <c r="H31" s="357">
        <v>232618971</v>
      </c>
      <c r="I31" s="357">
        <v>109563535</v>
      </c>
      <c r="J31" s="357">
        <v>0</v>
      </c>
      <c r="K31" s="357">
        <v>0</v>
      </c>
      <c r="L31" s="357">
        <v>0</v>
      </c>
      <c r="M31" s="357">
        <v>0</v>
      </c>
      <c r="N31" s="357">
        <v>0</v>
      </c>
      <c r="O31" s="357">
        <v>109563535</v>
      </c>
      <c r="P31" s="357">
        <v>0</v>
      </c>
      <c r="Q31" s="357">
        <v>0</v>
      </c>
      <c r="R31" s="357">
        <v>109563535</v>
      </c>
      <c r="S31" s="357">
        <v>487000</v>
      </c>
      <c r="T31" s="357">
        <v>0</v>
      </c>
      <c r="U31" s="357">
        <v>0</v>
      </c>
      <c r="V31" s="357">
        <v>487000</v>
      </c>
      <c r="W31" s="357">
        <v>37000</v>
      </c>
      <c r="X31" s="357">
        <v>0</v>
      </c>
      <c r="Y31" s="357">
        <v>0</v>
      </c>
      <c r="Z31" s="357">
        <v>37000</v>
      </c>
      <c r="AA31" s="357">
        <v>450000</v>
      </c>
      <c r="AB31" s="357">
        <v>0</v>
      </c>
      <c r="AC31" s="357">
        <v>0</v>
      </c>
      <c r="AD31" s="357">
        <v>0</v>
      </c>
      <c r="AE31" s="357">
        <v>0</v>
      </c>
      <c r="AF31" s="357">
        <v>0</v>
      </c>
      <c r="AG31" s="357">
        <v>450000</v>
      </c>
      <c r="AH31" s="357">
        <v>0</v>
      </c>
      <c r="AI31" s="357">
        <v>0</v>
      </c>
      <c r="AJ31" s="357">
        <v>450000</v>
      </c>
      <c r="AK31" s="357">
        <v>450000</v>
      </c>
      <c r="AL31" s="357">
        <v>0</v>
      </c>
      <c r="AM31" s="357">
        <v>0</v>
      </c>
      <c r="AN31" s="357">
        <v>450000</v>
      </c>
      <c r="AO31" s="357">
        <v>7100000</v>
      </c>
      <c r="AP31" s="357">
        <v>0</v>
      </c>
      <c r="AQ31" s="357">
        <v>0</v>
      </c>
      <c r="AR31" s="357">
        <v>7100000</v>
      </c>
      <c r="AS31" s="357">
        <v>0</v>
      </c>
      <c r="AT31" s="357">
        <v>0</v>
      </c>
      <c r="AU31" s="357">
        <v>0</v>
      </c>
      <c r="AV31" s="357">
        <v>0</v>
      </c>
      <c r="AW31" s="357">
        <v>2200000</v>
      </c>
      <c r="AX31" s="357">
        <v>0</v>
      </c>
      <c r="AY31" s="357">
        <v>0</v>
      </c>
      <c r="AZ31" s="357">
        <v>2200000</v>
      </c>
      <c r="BA31" s="357">
        <v>4900000</v>
      </c>
      <c r="BB31" s="357">
        <v>0</v>
      </c>
      <c r="BC31" s="357">
        <v>0</v>
      </c>
      <c r="BD31" s="357">
        <v>4900000</v>
      </c>
      <c r="BE31" s="357">
        <v>5600000</v>
      </c>
      <c r="BF31" s="357">
        <v>0</v>
      </c>
      <c r="BG31" s="357">
        <v>0</v>
      </c>
      <c r="BH31" s="357">
        <v>5600000</v>
      </c>
      <c r="BI31" s="357">
        <v>90000</v>
      </c>
      <c r="BJ31" s="357">
        <v>0</v>
      </c>
      <c r="BK31" s="357">
        <v>0</v>
      </c>
      <c r="BL31" s="357">
        <v>90000</v>
      </c>
      <c r="BM31" s="357">
        <v>0</v>
      </c>
      <c r="BN31" s="357">
        <v>0</v>
      </c>
      <c r="BO31" s="357">
        <v>0</v>
      </c>
      <c r="BP31" s="357">
        <v>0</v>
      </c>
      <c r="BQ31" s="357">
        <v>10590000</v>
      </c>
      <c r="BR31" s="357">
        <v>0</v>
      </c>
      <c r="BS31" s="357">
        <v>0</v>
      </c>
      <c r="BT31" s="357">
        <v>0</v>
      </c>
      <c r="BU31" s="357">
        <v>0</v>
      </c>
      <c r="BV31" s="357">
        <v>0</v>
      </c>
      <c r="BW31" s="357">
        <v>10590000</v>
      </c>
      <c r="BX31" s="357">
        <v>0</v>
      </c>
      <c r="BY31" s="357">
        <v>0</v>
      </c>
      <c r="BZ31" s="357">
        <v>10590000</v>
      </c>
      <c r="CA31" s="357">
        <v>320000</v>
      </c>
      <c r="CB31" s="357">
        <v>0</v>
      </c>
      <c r="CC31" s="357">
        <v>0</v>
      </c>
      <c r="CD31" s="357">
        <v>320000</v>
      </c>
      <c r="CE31" s="357">
        <v>5360000</v>
      </c>
      <c r="CF31" s="357">
        <v>0</v>
      </c>
      <c r="CG31" s="357">
        <v>0</v>
      </c>
      <c r="CH31" s="357">
        <v>5360000</v>
      </c>
      <c r="CI31" s="357">
        <v>5680000</v>
      </c>
      <c r="CJ31" s="357">
        <v>0</v>
      </c>
      <c r="CK31" s="357">
        <v>0</v>
      </c>
      <c r="CL31" s="357">
        <v>0</v>
      </c>
      <c r="CM31" s="357">
        <v>0</v>
      </c>
      <c r="CN31" s="357">
        <v>0</v>
      </c>
      <c r="CO31" s="357">
        <v>5680000</v>
      </c>
      <c r="CP31" s="357">
        <v>0</v>
      </c>
      <c r="CQ31" s="357">
        <v>0</v>
      </c>
      <c r="CR31" s="357">
        <v>5680000</v>
      </c>
      <c r="CS31" s="357">
        <v>600000</v>
      </c>
      <c r="CT31" s="357">
        <v>0</v>
      </c>
      <c r="CU31" s="357">
        <v>0</v>
      </c>
      <c r="CV31" s="357">
        <v>600000</v>
      </c>
      <c r="CW31" s="357">
        <v>240000</v>
      </c>
      <c r="CX31" s="357">
        <v>0</v>
      </c>
      <c r="CY31" s="357">
        <v>0</v>
      </c>
      <c r="CZ31" s="357">
        <v>240000</v>
      </c>
      <c r="DA31" s="357">
        <v>0</v>
      </c>
      <c r="DB31" s="357">
        <v>0</v>
      </c>
      <c r="DC31" s="357">
        <v>0</v>
      </c>
      <c r="DD31" s="357">
        <v>0</v>
      </c>
      <c r="DE31" s="357">
        <v>0</v>
      </c>
      <c r="DF31" s="357">
        <v>0</v>
      </c>
      <c r="DG31" s="357">
        <v>0</v>
      </c>
      <c r="DH31" s="357">
        <v>0</v>
      </c>
      <c r="DI31" s="357">
        <v>0</v>
      </c>
      <c r="DJ31" s="357">
        <v>0</v>
      </c>
      <c r="DK31" s="357">
        <v>0</v>
      </c>
      <c r="DL31" s="357">
        <v>0</v>
      </c>
      <c r="DM31" s="357">
        <v>0</v>
      </c>
      <c r="DN31" s="357">
        <v>0</v>
      </c>
      <c r="DO31" s="357">
        <v>0</v>
      </c>
      <c r="DP31" s="357">
        <v>0</v>
      </c>
      <c r="DQ31" s="357">
        <v>840000</v>
      </c>
      <c r="DR31" s="357">
        <v>0</v>
      </c>
      <c r="DS31" s="357">
        <v>0</v>
      </c>
      <c r="DT31" s="357">
        <v>0</v>
      </c>
      <c r="DU31" s="357">
        <v>0</v>
      </c>
      <c r="DV31" s="357">
        <v>0</v>
      </c>
      <c r="DW31" s="357">
        <v>840000</v>
      </c>
      <c r="DX31" s="357">
        <v>0</v>
      </c>
      <c r="DY31" s="357">
        <v>0</v>
      </c>
      <c r="DZ31" s="357">
        <v>840000</v>
      </c>
      <c r="EA31" s="357">
        <v>0</v>
      </c>
      <c r="EB31" s="357">
        <v>0</v>
      </c>
      <c r="EC31" s="357">
        <v>0</v>
      </c>
      <c r="ED31" s="357">
        <v>0</v>
      </c>
      <c r="EE31" s="357">
        <v>0</v>
      </c>
      <c r="EF31" s="357">
        <v>0</v>
      </c>
      <c r="EG31" s="357">
        <v>1175000</v>
      </c>
      <c r="EH31" s="357">
        <v>0</v>
      </c>
      <c r="EI31" s="357">
        <v>0</v>
      </c>
      <c r="EJ31" s="357">
        <v>1175000</v>
      </c>
      <c r="EK31" s="357">
        <v>1268000</v>
      </c>
      <c r="EL31" s="357">
        <v>0</v>
      </c>
      <c r="EM31" s="357">
        <v>0</v>
      </c>
      <c r="EN31" s="357">
        <v>1268000</v>
      </c>
      <c r="EO31" s="357">
        <v>2443000</v>
      </c>
      <c r="EP31" s="357">
        <v>0</v>
      </c>
      <c r="EQ31" s="357">
        <v>0</v>
      </c>
      <c r="ER31" s="357">
        <v>0</v>
      </c>
      <c r="ES31" s="357">
        <v>0</v>
      </c>
      <c r="ET31" s="357">
        <v>0</v>
      </c>
      <c r="EU31" s="357">
        <v>2443000</v>
      </c>
      <c r="EV31" s="357">
        <v>0</v>
      </c>
      <c r="EW31" s="357">
        <v>0</v>
      </c>
      <c r="EX31" s="357">
        <v>2443000</v>
      </c>
      <c r="EY31" s="357">
        <v>89560535</v>
      </c>
      <c r="EZ31" s="357">
        <v>0</v>
      </c>
      <c r="FA31" s="357">
        <v>0</v>
      </c>
      <c r="FB31" s="357">
        <v>89560535</v>
      </c>
      <c r="FC31" s="277">
        <v>0</v>
      </c>
      <c r="FD31" s="205"/>
    </row>
    <row r="32" spans="1:160" ht="12.75">
      <c r="A32" s="169">
        <v>25</v>
      </c>
      <c r="B32" s="172" t="s">
        <v>754</v>
      </c>
      <c r="C32" s="258" t="s">
        <v>755</v>
      </c>
      <c r="D32" s="235">
        <v>41626</v>
      </c>
      <c r="E32" s="357">
        <v>48792465</v>
      </c>
      <c r="F32" s="357">
        <v>0</v>
      </c>
      <c r="G32" s="357">
        <v>0</v>
      </c>
      <c r="H32" s="357">
        <v>48792465</v>
      </c>
      <c r="I32" s="357">
        <v>22981251</v>
      </c>
      <c r="J32" s="357">
        <v>0</v>
      </c>
      <c r="K32" s="357">
        <v>0</v>
      </c>
      <c r="L32" s="357">
        <v>0</v>
      </c>
      <c r="M32" s="357">
        <v>0</v>
      </c>
      <c r="N32" s="357">
        <v>0</v>
      </c>
      <c r="O32" s="357">
        <v>22981251</v>
      </c>
      <c r="P32" s="357">
        <v>0</v>
      </c>
      <c r="Q32" s="357">
        <v>0</v>
      </c>
      <c r="R32" s="357">
        <v>22981251</v>
      </c>
      <c r="S32" s="357">
        <v>6344</v>
      </c>
      <c r="T32" s="357">
        <v>0</v>
      </c>
      <c r="U32" s="357">
        <v>0</v>
      </c>
      <c r="V32" s="357">
        <v>6344</v>
      </c>
      <c r="W32" s="357">
        <v>0</v>
      </c>
      <c r="X32" s="357">
        <v>0</v>
      </c>
      <c r="Y32" s="357">
        <v>0</v>
      </c>
      <c r="Z32" s="357">
        <v>0</v>
      </c>
      <c r="AA32" s="357">
        <v>6344</v>
      </c>
      <c r="AB32" s="357">
        <v>0</v>
      </c>
      <c r="AC32" s="357">
        <v>0</v>
      </c>
      <c r="AD32" s="357">
        <v>0</v>
      </c>
      <c r="AE32" s="357">
        <v>0</v>
      </c>
      <c r="AF32" s="357">
        <v>0</v>
      </c>
      <c r="AG32" s="357">
        <v>6344</v>
      </c>
      <c r="AH32" s="357">
        <v>0</v>
      </c>
      <c r="AI32" s="357">
        <v>0</v>
      </c>
      <c r="AJ32" s="357">
        <v>6344</v>
      </c>
      <c r="AK32" s="357">
        <v>6344</v>
      </c>
      <c r="AL32" s="357">
        <v>0</v>
      </c>
      <c r="AM32" s="357">
        <v>0</v>
      </c>
      <c r="AN32" s="357">
        <v>6344</v>
      </c>
      <c r="AO32" s="357">
        <v>1322958</v>
      </c>
      <c r="AP32" s="357">
        <v>0</v>
      </c>
      <c r="AQ32" s="357">
        <v>0</v>
      </c>
      <c r="AR32" s="357">
        <v>1322958</v>
      </c>
      <c r="AS32" s="357">
        <v>0</v>
      </c>
      <c r="AT32" s="357">
        <v>0</v>
      </c>
      <c r="AU32" s="357">
        <v>0</v>
      </c>
      <c r="AV32" s="357">
        <v>0</v>
      </c>
      <c r="AW32" s="357">
        <v>453181</v>
      </c>
      <c r="AX32" s="357">
        <v>0</v>
      </c>
      <c r="AY32" s="357">
        <v>0</v>
      </c>
      <c r="AZ32" s="357">
        <v>453181</v>
      </c>
      <c r="BA32" s="357">
        <v>869777</v>
      </c>
      <c r="BB32" s="357">
        <v>0</v>
      </c>
      <c r="BC32" s="357">
        <v>0</v>
      </c>
      <c r="BD32" s="357">
        <v>869777</v>
      </c>
      <c r="BE32" s="357">
        <v>1366551</v>
      </c>
      <c r="BF32" s="357">
        <v>0</v>
      </c>
      <c r="BG32" s="357">
        <v>0</v>
      </c>
      <c r="BH32" s="357">
        <v>1366551</v>
      </c>
      <c r="BI32" s="357">
        <v>56008</v>
      </c>
      <c r="BJ32" s="357">
        <v>0</v>
      </c>
      <c r="BK32" s="357">
        <v>0</v>
      </c>
      <c r="BL32" s="357">
        <v>56008</v>
      </c>
      <c r="BM32" s="357">
        <v>22121</v>
      </c>
      <c r="BN32" s="357">
        <v>0</v>
      </c>
      <c r="BO32" s="357">
        <v>0</v>
      </c>
      <c r="BP32" s="357">
        <v>22121</v>
      </c>
      <c r="BQ32" s="357">
        <v>2314457</v>
      </c>
      <c r="BR32" s="357">
        <v>0</v>
      </c>
      <c r="BS32" s="357">
        <v>0</v>
      </c>
      <c r="BT32" s="357">
        <v>0</v>
      </c>
      <c r="BU32" s="357">
        <v>0</v>
      </c>
      <c r="BV32" s="357">
        <v>0</v>
      </c>
      <c r="BW32" s="357">
        <v>2314457</v>
      </c>
      <c r="BX32" s="357">
        <v>0</v>
      </c>
      <c r="BY32" s="357">
        <v>0</v>
      </c>
      <c r="BZ32" s="357">
        <v>2314457</v>
      </c>
      <c r="CA32" s="357">
        <v>0</v>
      </c>
      <c r="CB32" s="357">
        <v>0</v>
      </c>
      <c r="CC32" s="357">
        <v>0</v>
      </c>
      <c r="CD32" s="357">
        <v>0</v>
      </c>
      <c r="CE32" s="357">
        <v>696239</v>
      </c>
      <c r="CF32" s="357">
        <v>0</v>
      </c>
      <c r="CG32" s="357">
        <v>0</v>
      </c>
      <c r="CH32" s="357">
        <v>696239</v>
      </c>
      <c r="CI32" s="357">
        <v>696239</v>
      </c>
      <c r="CJ32" s="357">
        <v>0</v>
      </c>
      <c r="CK32" s="357">
        <v>0</v>
      </c>
      <c r="CL32" s="357">
        <v>250000</v>
      </c>
      <c r="CM32" s="357">
        <v>0</v>
      </c>
      <c r="CN32" s="357">
        <v>0</v>
      </c>
      <c r="CO32" s="357">
        <v>946239</v>
      </c>
      <c r="CP32" s="357">
        <v>0</v>
      </c>
      <c r="CQ32" s="357">
        <v>0</v>
      </c>
      <c r="CR32" s="357">
        <v>946239</v>
      </c>
      <c r="CS32" s="357">
        <v>63248</v>
      </c>
      <c r="CT32" s="357">
        <v>0</v>
      </c>
      <c r="CU32" s="357">
        <v>0</v>
      </c>
      <c r="CV32" s="357">
        <v>63248</v>
      </c>
      <c r="CW32" s="357">
        <v>42909</v>
      </c>
      <c r="CX32" s="357">
        <v>0</v>
      </c>
      <c r="CY32" s="357">
        <v>0</v>
      </c>
      <c r="CZ32" s="357">
        <v>42909</v>
      </c>
      <c r="DA32" s="357">
        <v>11206</v>
      </c>
      <c r="DB32" s="357">
        <v>0</v>
      </c>
      <c r="DC32" s="357">
        <v>0</v>
      </c>
      <c r="DD32" s="357">
        <v>11206</v>
      </c>
      <c r="DE32" s="357">
        <v>1310</v>
      </c>
      <c r="DF32" s="357">
        <v>0</v>
      </c>
      <c r="DG32" s="357">
        <v>0</v>
      </c>
      <c r="DH32" s="357">
        <v>1310</v>
      </c>
      <c r="DI32" s="357">
        <v>0</v>
      </c>
      <c r="DJ32" s="357">
        <v>0</v>
      </c>
      <c r="DK32" s="357">
        <v>0</v>
      </c>
      <c r="DL32" s="357">
        <v>0</v>
      </c>
      <c r="DM32" s="357">
        <v>0</v>
      </c>
      <c r="DN32" s="357">
        <v>0</v>
      </c>
      <c r="DO32" s="357">
        <v>0</v>
      </c>
      <c r="DP32" s="357">
        <v>0</v>
      </c>
      <c r="DQ32" s="357">
        <v>118673</v>
      </c>
      <c r="DR32" s="357">
        <v>0</v>
      </c>
      <c r="DS32" s="357">
        <v>0</v>
      </c>
      <c r="DT32" s="357">
        <v>-29668</v>
      </c>
      <c r="DU32" s="357">
        <v>0</v>
      </c>
      <c r="DV32" s="357">
        <v>0</v>
      </c>
      <c r="DW32" s="357">
        <v>89005</v>
      </c>
      <c r="DX32" s="357">
        <v>0</v>
      </c>
      <c r="DY32" s="357">
        <v>0</v>
      </c>
      <c r="DZ32" s="357">
        <v>89005</v>
      </c>
      <c r="EA32" s="357">
        <v>0</v>
      </c>
      <c r="EB32" s="357">
        <v>0</v>
      </c>
      <c r="EC32" s="357">
        <v>0</v>
      </c>
      <c r="ED32" s="357">
        <v>0</v>
      </c>
      <c r="EE32" s="357">
        <v>0</v>
      </c>
      <c r="EF32" s="357">
        <v>0</v>
      </c>
      <c r="EG32" s="357">
        <v>20236</v>
      </c>
      <c r="EH32" s="357">
        <v>0</v>
      </c>
      <c r="EI32" s="357">
        <v>0</v>
      </c>
      <c r="EJ32" s="357">
        <v>20236</v>
      </c>
      <c r="EK32" s="357">
        <v>312721</v>
      </c>
      <c r="EL32" s="357">
        <v>0</v>
      </c>
      <c r="EM32" s="357">
        <v>0</v>
      </c>
      <c r="EN32" s="357">
        <v>312721</v>
      </c>
      <c r="EO32" s="357">
        <v>332957</v>
      </c>
      <c r="EP32" s="357">
        <v>0</v>
      </c>
      <c r="EQ32" s="357">
        <v>0</v>
      </c>
      <c r="ER32" s="357">
        <v>0</v>
      </c>
      <c r="ES32" s="357">
        <v>0</v>
      </c>
      <c r="ET32" s="357">
        <v>0</v>
      </c>
      <c r="EU32" s="357">
        <v>332957</v>
      </c>
      <c r="EV32" s="357">
        <v>0</v>
      </c>
      <c r="EW32" s="357">
        <v>0</v>
      </c>
      <c r="EX32" s="357">
        <v>332957</v>
      </c>
      <c r="EY32" s="357">
        <v>19292249</v>
      </c>
      <c r="EZ32" s="357">
        <v>0</v>
      </c>
      <c r="FA32" s="357">
        <v>0</v>
      </c>
      <c r="FB32" s="357">
        <v>19292249</v>
      </c>
      <c r="FC32" s="277">
        <v>0</v>
      </c>
      <c r="FD32" s="205"/>
    </row>
    <row r="33" spans="1:160" ht="12.75">
      <c r="A33" s="169">
        <v>26</v>
      </c>
      <c r="B33" s="172" t="s">
        <v>756</v>
      </c>
      <c r="C33" s="258" t="s">
        <v>757</v>
      </c>
      <c r="D33" s="235">
        <v>41639</v>
      </c>
      <c r="E33" s="357">
        <v>166439420</v>
      </c>
      <c r="F33" s="357">
        <v>0</v>
      </c>
      <c r="G33" s="357">
        <v>0</v>
      </c>
      <c r="H33" s="357">
        <v>166439420</v>
      </c>
      <c r="I33" s="357">
        <v>78392967</v>
      </c>
      <c r="J33" s="357">
        <v>0</v>
      </c>
      <c r="K33" s="357">
        <v>0</v>
      </c>
      <c r="L33" s="357">
        <v>0</v>
      </c>
      <c r="M33" s="357">
        <v>0</v>
      </c>
      <c r="N33" s="357">
        <v>0</v>
      </c>
      <c r="O33" s="357">
        <v>78392967</v>
      </c>
      <c r="P33" s="357">
        <v>0</v>
      </c>
      <c r="Q33" s="357">
        <v>0</v>
      </c>
      <c r="R33" s="357">
        <v>78392967</v>
      </c>
      <c r="S33" s="357">
        <v>49064</v>
      </c>
      <c r="T33" s="357">
        <v>0</v>
      </c>
      <c r="U33" s="357">
        <v>0</v>
      </c>
      <c r="V33" s="357">
        <v>49064</v>
      </c>
      <c r="W33" s="357">
        <v>109622</v>
      </c>
      <c r="X33" s="357">
        <v>0</v>
      </c>
      <c r="Y33" s="357">
        <v>0</v>
      </c>
      <c r="Z33" s="357">
        <v>109622</v>
      </c>
      <c r="AA33" s="357">
        <v>-60558</v>
      </c>
      <c r="AB33" s="357">
        <v>0</v>
      </c>
      <c r="AC33" s="357">
        <v>0</v>
      </c>
      <c r="AD33" s="357">
        <v>0</v>
      </c>
      <c r="AE33" s="357">
        <v>0</v>
      </c>
      <c r="AF33" s="357">
        <v>0</v>
      </c>
      <c r="AG33" s="357">
        <v>-60558</v>
      </c>
      <c r="AH33" s="357">
        <v>0</v>
      </c>
      <c r="AI33" s="357">
        <v>0</v>
      </c>
      <c r="AJ33" s="357">
        <v>-60558</v>
      </c>
      <c r="AK33" s="357">
        <v>-60558</v>
      </c>
      <c r="AL33" s="357">
        <v>0</v>
      </c>
      <c r="AM33" s="357">
        <v>0</v>
      </c>
      <c r="AN33" s="357">
        <v>-60558</v>
      </c>
      <c r="AO33" s="357">
        <v>4370620</v>
      </c>
      <c r="AP33" s="357">
        <v>0</v>
      </c>
      <c r="AQ33" s="357">
        <v>0</v>
      </c>
      <c r="AR33" s="357">
        <v>4370620</v>
      </c>
      <c r="AS33" s="357">
        <v>0</v>
      </c>
      <c r="AT33" s="357">
        <v>0</v>
      </c>
      <c r="AU33" s="357">
        <v>0</v>
      </c>
      <c r="AV33" s="357">
        <v>0</v>
      </c>
      <c r="AW33" s="357">
        <v>1566488</v>
      </c>
      <c r="AX33" s="357">
        <v>0</v>
      </c>
      <c r="AY33" s="357">
        <v>0</v>
      </c>
      <c r="AZ33" s="357">
        <v>1566488</v>
      </c>
      <c r="BA33" s="357">
        <v>2804132</v>
      </c>
      <c r="BB33" s="357">
        <v>0</v>
      </c>
      <c r="BC33" s="357">
        <v>0</v>
      </c>
      <c r="BD33" s="357">
        <v>2804132</v>
      </c>
      <c r="BE33" s="357">
        <v>4967964</v>
      </c>
      <c r="BF33" s="357">
        <v>0</v>
      </c>
      <c r="BG33" s="357">
        <v>0</v>
      </c>
      <c r="BH33" s="357">
        <v>4967964</v>
      </c>
      <c r="BI33" s="357">
        <v>111824</v>
      </c>
      <c r="BJ33" s="357">
        <v>0</v>
      </c>
      <c r="BK33" s="357">
        <v>0</v>
      </c>
      <c r="BL33" s="357">
        <v>111824</v>
      </c>
      <c r="BM33" s="357">
        <v>0</v>
      </c>
      <c r="BN33" s="357">
        <v>0</v>
      </c>
      <c r="BO33" s="357">
        <v>0</v>
      </c>
      <c r="BP33" s="357">
        <v>0</v>
      </c>
      <c r="BQ33" s="357">
        <v>7883920</v>
      </c>
      <c r="BR33" s="357">
        <v>0</v>
      </c>
      <c r="BS33" s="357">
        <v>0</v>
      </c>
      <c r="BT33" s="357">
        <v>0</v>
      </c>
      <c r="BU33" s="357">
        <v>0</v>
      </c>
      <c r="BV33" s="357">
        <v>0</v>
      </c>
      <c r="BW33" s="357">
        <v>7883920</v>
      </c>
      <c r="BX33" s="357">
        <v>0</v>
      </c>
      <c r="BY33" s="357">
        <v>0</v>
      </c>
      <c r="BZ33" s="357">
        <v>7883920</v>
      </c>
      <c r="CA33" s="357">
        <v>5000</v>
      </c>
      <c r="CB33" s="357">
        <v>0</v>
      </c>
      <c r="CC33" s="357">
        <v>0</v>
      </c>
      <c r="CD33" s="357">
        <v>5000</v>
      </c>
      <c r="CE33" s="357">
        <v>1372301</v>
      </c>
      <c r="CF33" s="357">
        <v>0</v>
      </c>
      <c r="CG33" s="357">
        <v>0</v>
      </c>
      <c r="CH33" s="357">
        <v>1372301</v>
      </c>
      <c r="CI33" s="357">
        <v>1377301</v>
      </c>
      <c r="CJ33" s="357">
        <v>0</v>
      </c>
      <c r="CK33" s="357">
        <v>0</v>
      </c>
      <c r="CL33" s="357">
        <v>0</v>
      </c>
      <c r="CM33" s="357">
        <v>0</v>
      </c>
      <c r="CN33" s="357">
        <v>0</v>
      </c>
      <c r="CO33" s="357">
        <v>1377301</v>
      </c>
      <c r="CP33" s="357">
        <v>0</v>
      </c>
      <c r="CQ33" s="357">
        <v>0</v>
      </c>
      <c r="CR33" s="357">
        <v>1377301</v>
      </c>
      <c r="CS33" s="357">
        <v>167077</v>
      </c>
      <c r="CT33" s="357">
        <v>0</v>
      </c>
      <c r="CU33" s="357">
        <v>0</v>
      </c>
      <c r="CV33" s="357">
        <v>167077</v>
      </c>
      <c r="CW33" s="357">
        <v>36625</v>
      </c>
      <c r="CX33" s="357">
        <v>0</v>
      </c>
      <c r="CY33" s="357">
        <v>0</v>
      </c>
      <c r="CZ33" s="357">
        <v>36625</v>
      </c>
      <c r="DA33" s="357">
        <v>16774</v>
      </c>
      <c r="DB33" s="357">
        <v>0</v>
      </c>
      <c r="DC33" s="357">
        <v>0</v>
      </c>
      <c r="DD33" s="357">
        <v>16774</v>
      </c>
      <c r="DE33" s="357">
        <v>0</v>
      </c>
      <c r="DF33" s="357">
        <v>0</v>
      </c>
      <c r="DG33" s="357">
        <v>0</v>
      </c>
      <c r="DH33" s="357">
        <v>0</v>
      </c>
      <c r="DI33" s="357">
        <v>0</v>
      </c>
      <c r="DJ33" s="357">
        <v>0</v>
      </c>
      <c r="DK33" s="357">
        <v>0</v>
      </c>
      <c r="DL33" s="357">
        <v>0</v>
      </c>
      <c r="DM33" s="357">
        <v>0</v>
      </c>
      <c r="DN33" s="357">
        <v>0</v>
      </c>
      <c r="DO33" s="357">
        <v>0</v>
      </c>
      <c r="DP33" s="357">
        <v>0</v>
      </c>
      <c r="DQ33" s="357">
        <v>220476</v>
      </c>
      <c r="DR33" s="357">
        <v>0</v>
      </c>
      <c r="DS33" s="357">
        <v>0</v>
      </c>
      <c r="DT33" s="357">
        <v>0</v>
      </c>
      <c r="DU33" s="357">
        <v>0</v>
      </c>
      <c r="DV33" s="357">
        <v>0</v>
      </c>
      <c r="DW33" s="357">
        <v>220476</v>
      </c>
      <c r="DX33" s="357">
        <v>0</v>
      </c>
      <c r="DY33" s="357">
        <v>0</v>
      </c>
      <c r="DZ33" s="357">
        <v>220476</v>
      </c>
      <c r="EA33" s="357">
        <v>0</v>
      </c>
      <c r="EB33" s="357">
        <v>0</v>
      </c>
      <c r="EC33" s="357">
        <v>0</v>
      </c>
      <c r="ED33" s="357">
        <v>0</v>
      </c>
      <c r="EE33" s="357">
        <v>0</v>
      </c>
      <c r="EF33" s="357">
        <v>0</v>
      </c>
      <c r="EG33" s="357">
        <v>219576</v>
      </c>
      <c r="EH33" s="357">
        <v>0</v>
      </c>
      <c r="EI33" s="357">
        <v>0</v>
      </c>
      <c r="EJ33" s="357">
        <v>219576</v>
      </c>
      <c r="EK33" s="357">
        <v>1063791.75</v>
      </c>
      <c r="EL33" s="357">
        <v>0</v>
      </c>
      <c r="EM33" s="357">
        <v>0</v>
      </c>
      <c r="EN33" s="357">
        <v>1063791.75</v>
      </c>
      <c r="EO33" s="357">
        <v>1283367.75</v>
      </c>
      <c r="EP33" s="357">
        <v>0</v>
      </c>
      <c r="EQ33" s="357">
        <v>0</v>
      </c>
      <c r="ER33" s="357">
        <v>0</v>
      </c>
      <c r="ES33" s="357">
        <v>0</v>
      </c>
      <c r="ET33" s="357">
        <v>0</v>
      </c>
      <c r="EU33" s="357">
        <v>1283367.75</v>
      </c>
      <c r="EV33" s="357">
        <v>0</v>
      </c>
      <c r="EW33" s="357">
        <v>0</v>
      </c>
      <c r="EX33" s="357">
        <v>1283367.75</v>
      </c>
      <c r="EY33" s="357">
        <v>67688460.3</v>
      </c>
      <c r="EZ33" s="357">
        <v>0</v>
      </c>
      <c r="FA33" s="357">
        <v>0</v>
      </c>
      <c r="FB33" s="357">
        <v>67688460.3</v>
      </c>
      <c r="FC33" s="277">
        <v>0</v>
      </c>
      <c r="FD33" s="205"/>
    </row>
    <row r="34" spans="1:160" ht="12.75">
      <c r="A34" s="169">
        <v>27</v>
      </c>
      <c r="B34" s="172" t="s">
        <v>758</v>
      </c>
      <c r="C34" s="258" t="s">
        <v>759</v>
      </c>
      <c r="D34" s="235">
        <v>41638</v>
      </c>
      <c r="E34" s="357">
        <v>170065395</v>
      </c>
      <c r="F34" s="357">
        <v>0</v>
      </c>
      <c r="G34" s="357">
        <v>0</v>
      </c>
      <c r="H34" s="357">
        <v>170065395</v>
      </c>
      <c r="I34" s="357">
        <v>80100801</v>
      </c>
      <c r="J34" s="357">
        <v>0</v>
      </c>
      <c r="K34" s="357">
        <v>0</v>
      </c>
      <c r="L34" s="357">
        <v>-1365639</v>
      </c>
      <c r="M34" s="357">
        <v>0</v>
      </c>
      <c r="N34" s="357">
        <v>0</v>
      </c>
      <c r="O34" s="357">
        <v>78735162</v>
      </c>
      <c r="P34" s="357">
        <v>0</v>
      </c>
      <c r="Q34" s="357">
        <v>0</v>
      </c>
      <c r="R34" s="357">
        <v>78735162</v>
      </c>
      <c r="S34" s="357">
        <v>85671</v>
      </c>
      <c r="T34" s="357">
        <v>0</v>
      </c>
      <c r="U34" s="357">
        <v>0</v>
      </c>
      <c r="V34" s="357">
        <v>85671</v>
      </c>
      <c r="W34" s="357">
        <v>20533</v>
      </c>
      <c r="X34" s="357">
        <v>0</v>
      </c>
      <c r="Y34" s="357">
        <v>0</v>
      </c>
      <c r="Z34" s="357">
        <v>20533</v>
      </c>
      <c r="AA34" s="357">
        <v>65138</v>
      </c>
      <c r="AB34" s="357">
        <v>0</v>
      </c>
      <c r="AC34" s="357">
        <v>0</v>
      </c>
      <c r="AD34" s="357">
        <v>10000</v>
      </c>
      <c r="AE34" s="357">
        <v>0</v>
      </c>
      <c r="AF34" s="357">
        <v>0</v>
      </c>
      <c r="AG34" s="357">
        <v>75138</v>
      </c>
      <c r="AH34" s="357">
        <v>0</v>
      </c>
      <c r="AI34" s="357">
        <v>0</v>
      </c>
      <c r="AJ34" s="357">
        <v>75138</v>
      </c>
      <c r="AK34" s="357">
        <v>75138</v>
      </c>
      <c r="AL34" s="357">
        <v>0</v>
      </c>
      <c r="AM34" s="357">
        <v>0</v>
      </c>
      <c r="AN34" s="357">
        <v>75138</v>
      </c>
      <c r="AO34" s="357">
        <v>919728</v>
      </c>
      <c r="AP34" s="357">
        <v>0</v>
      </c>
      <c r="AQ34" s="357">
        <v>0</v>
      </c>
      <c r="AR34" s="357">
        <v>919728</v>
      </c>
      <c r="AS34" s="357">
        <v>50000</v>
      </c>
      <c r="AT34" s="357">
        <v>0</v>
      </c>
      <c r="AU34" s="357">
        <v>0</v>
      </c>
      <c r="AV34" s="357">
        <v>50000</v>
      </c>
      <c r="AW34" s="357">
        <v>1957992</v>
      </c>
      <c r="AX34" s="357">
        <v>0</v>
      </c>
      <c r="AY34" s="357">
        <v>0</v>
      </c>
      <c r="AZ34" s="357">
        <v>1957992</v>
      </c>
      <c r="BA34" s="357">
        <v>-1038264</v>
      </c>
      <c r="BB34" s="357">
        <v>0</v>
      </c>
      <c r="BC34" s="357">
        <v>0</v>
      </c>
      <c r="BD34" s="357">
        <v>-1038264</v>
      </c>
      <c r="BE34" s="357">
        <v>1951466</v>
      </c>
      <c r="BF34" s="357">
        <v>0</v>
      </c>
      <c r="BG34" s="357">
        <v>0</v>
      </c>
      <c r="BH34" s="357">
        <v>1951466</v>
      </c>
      <c r="BI34" s="357">
        <v>3688</v>
      </c>
      <c r="BJ34" s="357">
        <v>0</v>
      </c>
      <c r="BK34" s="357">
        <v>0</v>
      </c>
      <c r="BL34" s="357">
        <v>3688</v>
      </c>
      <c r="BM34" s="357">
        <v>0</v>
      </c>
      <c r="BN34" s="357">
        <v>0</v>
      </c>
      <c r="BO34" s="357">
        <v>0</v>
      </c>
      <c r="BP34" s="357">
        <v>0</v>
      </c>
      <c r="BQ34" s="357">
        <v>916890</v>
      </c>
      <c r="BR34" s="357">
        <v>0</v>
      </c>
      <c r="BS34" s="357">
        <v>0</v>
      </c>
      <c r="BT34" s="357">
        <v>400000</v>
      </c>
      <c r="BU34" s="357">
        <v>0</v>
      </c>
      <c r="BV34" s="357">
        <v>0</v>
      </c>
      <c r="BW34" s="357">
        <v>1316890</v>
      </c>
      <c r="BX34" s="357">
        <v>0</v>
      </c>
      <c r="BY34" s="357">
        <v>0</v>
      </c>
      <c r="BZ34" s="357">
        <v>1316890</v>
      </c>
      <c r="CA34" s="357">
        <v>111738</v>
      </c>
      <c r="CB34" s="357">
        <v>0</v>
      </c>
      <c r="CC34" s="357">
        <v>0</v>
      </c>
      <c r="CD34" s="357">
        <v>111738</v>
      </c>
      <c r="CE34" s="357">
        <v>2116844</v>
      </c>
      <c r="CF34" s="357">
        <v>0</v>
      </c>
      <c r="CG34" s="357">
        <v>0</v>
      </c>
      <c r="CH34" s="357">
        <v>2116844</v>
      </c>
      <c r="CI34" s="357">
        <v>2228582</v>
      </c>
      <c r="CJ34" s="357">
        <v>0</v>
      </c>
      <c r="CK34" s="357">
        <v>0</v>
      </c>
      <c r="CL34" s="357">
        <v>750000</v>
      </c>
      <c r="CM34" s="357">
        <v>0</v>
      </c>
      <c r="CN34" s="357">
        <v>0</v>
      </c>
      <c r="CO34" s="357">
        <v>2978582</v>
      </c>
      <c r="CP34" s="357">
        <v>0</v>
      </c>
      <c r="CQ34" s="357">
        <v>0</v>
      </c>
      <c r="CR34" s="357">
        <v>2978582</v>
      </c>
      <c r="CS34" s="357">
        <v>80824</v>
      </c>
      <c r="CT34" s="357">
        <v>0</v>
      </c>
      <c r="CU34" s="357">
        <v>0</v>
      </c>
      <c r="CV34" s="357">
        <v>80824</v>
      </c>
      <c r="CW34" s="357">
        <v>53979</v>
      </c>
      <c r="CX34" s="357">
        <v>0</v>
      </c>
      <c r="CY34" s="357">
        <v>0</v>
      </c>
      <c r="CZ34" s="357">
        <v>53979</v>
      </c>
      <c r="DA34" s="357">
        <v>0</v>
      </c>
      <c r="DB34" s="357">
        <v>0</v>
      </c>
      <c r="DC34" s="357">
        <v>0</v>
      </c>
      <c r="DD34" s="357">
        <v>0</v>
      </c>
      <c r="DE34" s="357">
        <v>0</v>
      </c>
      <c r="DF34" s="357">
        <v>0</v>
      </c>
      <c r="DG34" s="357">
        <v>0</v>
      </c>
      <c r="DH34" s="357">
        <v>0</v>
      </c>
      <c r="DI34" s="357">
        <v>0</v>
      </c>
      <c r="DJ34" s="357">
        <v>0</v>
      </c>
      <c r="DK34" s="357">
        <v>0</v>
      </c>
      <c r="DL34" s="357">
        <v>0</v>
      </c>
      <c r="DM34" s="357">
        <v>0</v>
      </c>
      <c r="DN34" s="357">
        <v>0</v>
      </c>
      <c r="DO34" s="357">
        <v>0</v>
      </c>
      <c r="DP34" s="357">
        <v>0</v>
      </c>
      <c r="DQ34" s="357">
        <v>134803</v>
      </c>
      <c r="DR34" s="357">
        <v>0</v>
      </c>
      <c r="DS34" s="357">
        <v>0</v>
      </c>
      <c r="DT34" s="357">
        <v>0</v>
      </c>
      <c r="DU34" s="357">
        <v>0</v>
      </c>
      <c r="DV34" s="357">
        <v>0</v>
      </c>
      <c r="DW34" s="357">
        <v>134803</v>
      </c>
      <c r="DX34" s="357">
        <v>0</v>
      </c>
      <c r="DY34" s="357">
        <v>0</v>
      </c>
      <c r="DZ34" s="357">
        <v>134803</v>
      </c>
      <c r="EA34" s="357">
        <v>0</v>
      </c>
      <c r="EB34" s="357">
        <v>134803</v>
      </c>
      <c r="EC34" s="357">
        <v>0</v>
      </c>
      <c r="ED34" s="357">
        <v>0</v>
      </c>
      <c r="EE34" s="357">
        <v>0</v>
      </c>
      <c r="EF34" s="357">
        <v>0</v>
      </c>
      <c r="EG34" s="357">
        <v>50000</v>
      </c>
      <c r="EH34" s="357">
        <v>0</v>
      </c>
      <c r="EI34" s="357">
        <v>0</v>
      </c>
      <c r="EJ34" s="357">
        <v>50000</v>
      </c>
      <c r="EK34" s="357">
        <v>550000</v>
      </c>
      <c r="EL34" s="357">
        <v>0</v>
      </c>
      <c r="EM34" s="357">
        <v>0</v>
      </c>
      <c r="EN34" s="357">
        <v>550000</v>
      </c>
      <c r="EO34" s="357">
        <v>600000</v>
      </c>
      <c r="EP34" s="357">
        <v>0</v>
      </c>
      <c r="EQ34" s="357">
        <v>0</v>
      </c>
      <c r="ER34" s="357">
        <v>0</v>
      </c>
      <c r="ES34" s="357">
        <v>0</v>
      </c>
      <c r="ET34" s="357">
        <v>0</v>
      </c>
      <c r="EU34" s="357">
        <v>600000</v>
      </c>
      <c r="EV34" s="357">
        <v>0</v>
      </c>
      <c r="EW34" s="357">
        <v>0</v>
      </c>
      <c r="EX34" s="357">
        <v>600000</v>
      </c>
      <c r="EY34" s="357">
        <v>73629749</v>
      </c>
      <c r="EZ34" s="357">
        <v>0</v>
      </c>
      <c r="FA34" s="357">
        <v>0</v>
      </c>
      <c r="FB34" s="357">
        <v>73629749</v>
      </c>
      <c r="FC34" s="277">
        <v>0</v>
      </c>
      <c r="FD34" s="205"/>
    </row>
    <row r="35" spans="1:160" ht="12.75">
      <c r="A35" s="169">
        <v>28</v>
      </c>
      <c r="B35" s="172" t="s">
        <v>760</v>
      </c>
      <c r="C35" s="258" t="s">
        <v>761</v>
      </c>
      <c r="D35" s="235">
        <v>41639</v>
      </c>
      <c r="E35" s="357">
        <v>378138196</v>
      </c>
      <c r="F35" s="357">
        <v>0</v>
      </c>
      <c r="G35" s="357">
        <v>0</v>
      </c>
      <c r="H35" s="357">
        <v>378138196</v>
      </c>
      <c r="I35" s="357">
        <v>178103090</v>
      </c>
      <c r="J35" s="357">
        <v>0</v>
      </c>
      <c r="K35" s="357">
        <v>0</v>
      </c>
      <c r="L35" s="357">
        <v>0</v>
      </c>
      <c r="M35" s="357">
        <v>0</v>
      </c>
      <c r="N35" s="357">
        <v>0</v>
      </c>
      <c r="O35" s="357">
        <v>178103090</v>
      </c>
      <c r="P35" s="357">
        <v>0</v>
      </c>
      <c r="Q35" s="357">
        <v>0</v>
      </c>
      <c r="R35" s="357">
        <v>178103090</v>
      </c>
      <c r="S35" s="357">
        <v>266418</v>
      </c>
      <c r="T35" s="357">
        <v>0</v>
      </c>
      <c r="U35" s="357">
        <v>0</v>
      </c>
      <c r="V35" s="357">
        <v>266418</v>
      </c>
      <c r="W35" s="357">
        <v>39309</v>
      </c>
      <c r="X35" s="357">
        <v>0</v>
      </c>
      <c r="Y35" s="357">
        <v>0</v>
      </c>
      <c r="Z35" s="357">
        <v>39309</v>
      </c>
      <c r="AA35" s="357">
        <v>227109</v>
      </c>
      <c r="AB35" s="357">
        <v>0</v>
      </c>
      <c r="AC35" s="357">
        <v>0</v>
      </c>
      <c r="AD35" s="357">
        <v>0</v>
      </c>
      <c r="AE35" s="357">
        <v>0</v>
      </c>
      <c r="AF35" s="357">
        <v>0</v>
      </c>
      <c r="AG35" s="357">
        <v>227109</v>
      </c>
      <c r="AH35" s="357">
        <v>0</v>
      </c>
      <c r="AI35" s="357">
        <v>0</v>
      </c>
      <c r="AJ35" s="357">
        <v>227109</v>
      </c>
      <c r="AK35" s="357">
        <v>227109</v>
      </c>
      <c r="AL35" s="357">
        <v>0</v>
      </c>
      <c r="AM35" s="357">
        <v>0</v>
      </c>
      <c r="AN35" s="357">
        <v>227109</v>
      </c>
      <c r="AO35" s="357">
        <v>14587219</v>
      </c>
      <c r="AP35" s="357">
        <v>0</v>
      </c>
      <c r="AQ35" s="357">
        <v>0</v>
      </c>
      <c r="AR35" s="357">
        <v>14587219</v>
      </c>
      <c r="AS35" s="357">
        <v>10000</v>
      </c>
      <c r="AT35" s="357">
        <v>0</v>
      </c>
      <c r="AU35" s="357">
        <v>0</v>
      </c>
      <c r="AV35" s="357">
        <v>10000</v>
      </c>
      <c r="AW35" s="357">
        <v>3424607</v>
      </c>
      <c r="AX35" s="357">
        <v>0</v>
      </c>
      <c r="AY35" s="357">
        <v>0</v>
      </c>
      <c r="AZ35" s="357">
        <v>3424607</v>
      </c>
      <c r="BA35" s="357">
        <v>11162612</v>
      </c>
      <c r="BB35" s="357">
        <v>0</v>
      </c>
      <c r="BC35" s="357">
        <v>0</v>
      </c>
      <c r="BD35" s="357">
        <v>11162612</v>
      </c>
      <c r="BE35" s="357">
        <v>12175554</v>
      </c>
      <c r="BF35" s="357">
        <v>0</v>
      </c>
      <c r="BG35" s="357">
        <v>0</v>
      </c>
      <c r="BH35" s="357">
        <v>12175554</v>
      </c>
      <c r="BI35" s="357">
        <v>134647</v>
      </c>
      <c r="BJ35" s="357">
        <v>0</v>
      </c>
      <c r="BK35" s="357">
        <v>0</v>
      </c>
      <c r="BL35" s="357">
        <v>134647</v>
      </c>
      <c r="BM35" s="357">
        <v>10333</v>
      </c>
      <c r="BN35" s="357">
        <v>0</v>
      </c>
      <c r="BO35" s="357">
        <v>0</v>
      </c>
      <c r="BP35" s="357">
        <v>10333</v>
      </c>
      <c r="BQ35" s="357">
        <v>23483146</v>
      </c>
      <c r="BR35" s="357">
        <v>0</v>
      </c>
      <c r="BS35" s="357">
        <v>0</v>
      </c>
      <c r="BT35" s="357">
        <v>0</v>
      </c>
      <c r="BU35" s="357">
        <v>0</v>
      </c>
      <c r="BV35" s="357">
        <v>0</v>
      </c>
      <c r="BW35" s="357">
        <v>23483146</v>
      </c>
      <c r="BX35" s="357">
        <v>0</v>
      </c>
      <c r="BY35" s="357">
        <v>0</v>
      </c>
      <c r="BZ35" s="357">
        <v>23483146</v>
      </c>
      <c r="CA35" s="357">
        <v>300000</v>
      </c>
      <c r="CB35" s="357">
        <v>0</v>
      </c>
      <c r="CC35" s="357">
        <v>0</v>
      </c>
      <c r="CD35" s="357">
        <v>300000</v>
      </c>
      <c r="CE35" s="357">
        <v>8200000</v>
      </c>
      <c r="CF35" s="357">
        <v>0</v>
      </c>
      <c r="CG35" s="357">
        <v>0</v>
      </c>
      <c r="CH35" s="357">
        <v>8200000</v>
      </c>
      <c r="CI35" s="357">
        <v>8500000</v>
      </c>
      <c r="CJ35" s="357">
        <v>0</v>
      </c>
      <c r="CK35" s="357">
        <v>0</v>
      </c>
      <c r="CL35" s="357">
        <v>0</v>
      </c>
      <c r="CM35" s="357">
        <v>0</v>
      </c>
      <c r="CN35" s="357">
        <v>0</v>
      </c>
      <c r="CO35" s="357">
        <v>8500000</v>
      </c>
      <c r="CP35" s="357">
        <v>0</v>
      </c>
      <c r="CQ35" s="357">
        <v>0</v>
      </c>
      <c r="CR35" s="357">
        <v>8500000</v>
      </c>
      <c r="CS35" s="357">
        <v>7895</v>
      </c>
      <c r="CT35" s="357">
        <v>0</v>
      </c>
      <c r="CU35" s="357">
        <v>0</v>
      </c>
      <c r="CV35" s="357">
        <v>7895</v>
      </c>
      <c r="CW35" s="357">
        <v>420000</v>
      </c>
      <c r="CX35" s="357">
        <v>0</v>
      </c>
      <c r="CY35" s="357">
        <v>0</v>
      </c>
      <c r="CZ35" s="357">
        <v>420000</v>
      </c>
      <c r="DA35" s="357">
        <v>0</v>
      </c>
      <c r="DB35" s="357">
        <v>0</v>
      </c>
      <c r="DC35" s="357">
        <v>0</v>
      </c>
      <c r="DD35" s="357">
        <v>0</v>
      </c>
      <c r="DE35" s="357">
        <v>0</v>
      </c>
      <c r="DF35" s="357">
        <v>0</v>
      </c>
      <c r="DG35" s="357">
        <v>0</v>
      </c>
      <c r="DH35" s="357">
        <v>0</v>
      </c>
      <c r="DI35" s="357">
        <v>8138</v>
      </c>
      <c r="DJ35" s="357">
        <v>0</v>
      </c>
      <c r="DK35" s="357">
        <v>0</v>
      </c>
      <c r="DL35" s="357">
        <v>8138</v>
      </c>
      <c r="DM35" s="357">
        <v>0</v>
      </c>
      <c r="DN35" s="357">
        <v>0</v>
      </c>
      <c r="DO35" s="357">
        <v>0</v>
      </c>
      <c r="DP35" s="357">
        <v>0</v>
      </c>
      <c r="DQ35" s="357">
        <v>436033</v>
      </c>
      <c r="DR35" s="357">
        <v>0</v>
      </c>
      <c r="DS35" s="357">
        <v>0</v>
      </c>
      <c r="DT35" s="357">
        <v>0</v>
      </c>
      <c r="DU35" s="357">
        <v>0</v>
      </c>
      <c r="DV35" s="357">
        <v>0</v>
      </c>
      <c r="DW35" s="357">
        <v>436033</v>
      </c>
      <c r="DX35" s="357">
        <v>0</v>
      </c>
      <c r="DY35" s="357">
        <v>0</v>
      </c>
      <c r="DZ35" s="357">
        <v>436033</v>
      </c>
      <c r="EA35" s="357">
        <v>0</v>
      </c>
      <c r="EB35" s="357">
        <v>0</v>
      </c>
      <c r="EC35" s="357">
        <v>20000</v>
      </c>
      <c r="ED35" s="357">
        <v>0</v>
      </c>
      <c r="EE35" s="357">
        <v>0</v>
      </c>
      <c r="EF35" s="357">
        <v>20000</v>
      </c>
      <c r="EG35" s="357">
        <v>250000</v>
      </c>
      <c r="EH35" s="357">
        <v>0</v>
      </c>
      <c r="EI35" s="357">
        <v>0</v>
      </c>
      <c r="EJ35" s="357">
        <v>250000</v>
      </c>
      <c r="EK35" s="357">
        <v>2400000</v>
      </c>
      <c r="EL35" s="357">
        <v>0</v>
      </c>
      <c r="EM35" s="357">
        <v>0</v>
      </c>
      <c r="EN35" s="357">
        <v>2400000</v>
      </c>
      <c r="EO35" s="357">
        <v>2670000</v>
      </c>
      <c r="EP35" s="357">
        <v>0</v>
      </c>
      <c r="EQ35" s="357">
        <v>0</v>
      </c>
      <c r="ER35" s="357">
        <v>0</v>
      </c>
      <c r="ES35" s="357">
        <v>0</v>
      </c>
      <c r="ET35" s="357">
        <v>0</v>
      </c>
      <c r="EU35" s="357">
        <v>2670000</v>
      </c>
      <c r="EV35" s="357">
        <v>0</v>
      </c>
      <c r="EW35" s="357">
        <v>0</v>
      </c>
      <c r="EX35" s="357">
        <v>2670000</v>
      </c>
      <c r="EY35" s="357">
        <v>142786802</v>
      </c>
      <c r="EZ35" s="357">
        <v>0</v>
      </c>
      <c r="FA35" s="357">
        <v>0</v>
      </c>
      <c r="FB35" s="357">
        <v>142786802</v>
      </c>
      <c r="FC35" s="277">
        <v>0</v>
      </c>
      <c r="FD35" s="205"/>
    </row>
    <row r="36" spans="1:160" ht="12.75">
      <c r="A36" s="169">
        <v>29</v>
      </c>
      <c r="B36" s="172" t="s">
        <v>762</v>
      </c>
      <c r="C36" s="258" t="s">
        <v>763</v>
      </c>
      <c r="D36" s="235">
        <v>41661</v>
      </c>
      <c r="E36" s="357">
        <v>103200297</v>
      </c>
      <c r="F36" s="357">
        <v>0</v>
      </c>
      <c r="G36" s="357">
        <v>0</v>
      </c>
      <c r="H36" s="357">
        <v>103200297</v>
      </c>
      <c r="I36" s="357">
        <v>48607340</v>
      </c>
      <c r="J36" s="357">
        <v>0</v>
      </c>
      <c r="K36" s="357">
        <v>0</v>
      </c>
      <c r="L36" s="357">
        <v>0</v>
      </c>
      <c r="M36" s="357">
        <v>0</v>
      </c>
      <c r="N36" s="357">
        <v>0</v>
      </c>
      <c r="O36" s="357">
        <v>48607340</v>
      </c>
      <c r="P36" s="357">
        <v>0</v>
      </c>
      <c r="Q36" s="357">
        <v>0</v>
      </c>
      <c r="R36" s="357">
        <v>48607340</v>
      </c>
      <c r="S36" s="357">
        <v>66197</v>
      </c>
      <c r="T36" s="357">
        <v>0</v>
      </c>
      <c r="U36" s="357">
        <v>0</v>
      </c>
      <c r="V36" s="357">
        <v>66197</v>
      </c>
      <c r="W36" s="357">
        <v>2119</v>
      </c>
      <c r="X36" s="357">
        <v>0</v>
      </c>
      <c r="Y36" s="357">
        <v>0</v>
      </c>
      <c r="Z36" s="357">
        <v>2119</v>
      </c>
      <c r="AA36" s="357">
        <v>64078</v>
      </c>
      <c r="AB36" s="357">
        <v>0</v>
      </c>
      <c r="AC36" s="357">
        <v>0</v>
      </c>
      <c r="AD36" s="357">
        <v>0</v>
      </c>
      <c r="AE36" s="357">
        <v>0</v>
      </c>
      <c r="AF36" s="357">
        <v>0</v>
      </c>
      <c r="AG36" s="357">
        <v>64078</v>
      </c>
      <c r="AH36" s="357">
        <v>0</v>
      </c>
      <c r="AI36" s="357">
        <v>0</v>
      </c>
      <c r="AJ36" s="357">
        <v>64078</v>
      </c>
      <c r="AK36" s="357">
        <v>64078</v>
      </c>
      <c r="AL36" s="357">
        <v>0</v>
      </c>
      <c r="AM36" s="357">
        <v>0</v>
      </c>
      <c r="AN36" s="357">
        <v>64078</v>
      </c>
      <c r="AO36" s="357">
        <v>2832627</v>
      </c>
      <c r="AP36" s="357">
        <v>0</v>
      </c>
      <c r="AQ36" s="357">
        <v>0</v>
      </c>
      <c r="AR36" s="357">
        <v>2832627</v>
      </c>
      <c r="AS36" s="357">
        <v>0</v>
      </c>
      <c r="AT36" s="357">
        <v>0</v>
      </c>
      <c r="AU36" s="357">
        <v>0</v>
      </c>
      <c r="AV36" s="357">
        <v>0</v>
      </c>
      <c r="AW36" s="357">
        <v>935537</v>
      </c>
      <c r="AX36" s="357">
        <v>0</v>
      </c>
      <c r="AY36" s="357">
        <v>0</v>
      </c>
      <c r="AZ36" s="357">
        <v>935537</v>
      </c>
      <c r="BA36" s="357">
        <v>1897090</v>
      </c>
      <c r="BB36" s="357">
        <v>0</v>
      </c>
      <c r="BC36" s="357">
        <v>0</v>
      </c>
      <c r="BD36" s="357">
        <v>1897090</v>
      </c>
      <c r="BE36" s="357">
        <v>2568080</v>
      </c>
      <c r="BF36" s="357">
        <v>0</v>
      </c>
      <c r="BG36" s="357">
        <v>0</v>
      </c>
      <c r="BH36" s="357">
        <v>2568080</v>
      </c>
      <c r="BI36" s="357">
        <v>101912</v>
      </c>
      <c r="BJ36" s="357">
        <v>0</v>
      </c>
      <c r="BK36" s="357">
        <v>0</v>
      </c>
      <c r="BL36" s="357">
        <v>101912</v>
      </c>
      <c r="BM36" s="357">
        <v>11791</v>
      </c>
      <c r="BN36" s="357">
        <v>0</v>
      </c>
      <c r="BO36" s="357">
        <v>0</v>
      </c>
      <c r="BP36" s="357">
        <v>11791</v>
      </c>
      <c r="BQ36" s="357">
        <v>4578873</v>
      </c>
      <c r="BR36" s="357">
        <v>0</v>
      </c>
      <c r="BS36" s="357">
        <v>0</v>
      </c>
      <c r="BT36" s="357">
        <v>0</v>
      </c>
      <c r="BU36" s="357">
        <v>0</v>
      </c>
      <c r="BV36" s="357">
        <v>0</v>
      </c>
      <c r="BW36" s="357">
        <v>4578873</v>
      </c>
      <c r="BX36" s="357">
        <v>0</v>
      </c>
      <c r="BY36" s="357">
        <v>0</v>
      </c>
      <c r="BZ36" s="357">
        <v>4578873</v>
      </c>
      <c r="CA36" s="357">
        <v>105022</v>
      </c>
      <c r="CB36" s="357">
        <v>0</v>
      </c>
      <c r="CC36" s="357">
        <v>0</v>
      </c>
      <c r="CD36" s="357">
        <v>105022</v>
      </c>
      <c r="CE36" s="357">
        <v>1587109</v>
      </c>
      <c r="CF36" s="357">
        <v>0</v>
      </c>
      <c r="CG36" s="357">
        <v>0</v>
      </c>
      <c r="CH36" s="357">
        <v>1587109</v>
      </c>
      <c r="CI36" s="357">
        <v>1692131</v>
      </c>
      <c r="CJ36" s="357">
        <v>0</v>
      </c>
      <c r="CK36" s="357">
        <v>0</v>
      </c>
      <c r="CL36" s="357">
        <v>0</v>
      </c>
      <c r="CM36" s="357">
        <v>0</v>
      </c>
      <c r="CN36" s="357">
        <v>0</v>
      </c>
      <c r="CO36" s="357">
        <v>1692131</v>
      </c>
      <c r="CP36" s="357">
        <v>0</v>
      </c>
      <c r="CQ36" s="357">
        <v>0</v>
      </c>
      <c r="CR36" s="357">
        <v>1692131</v>
      </c>
      <c r="CS36" s="357">
        <v>73370</v>
      </c>
      <c r="CT36" s="357">
        <v>0</v>
      </c>
      <c r="CU36" s="357">
        <v>0</v>
      </c>
      <c r="CV36" s="357">
        <v>73370</v>
      </c>
      <c r="CW36" s="357">
        <v>165694</v>
      </c>
      <c r="CX36" s="357">
        <v>0</v>
      </c>
      <c r="CY36" s="357">
        <v>0</v>
      </c>
      <c r="CZ36" s="357">
        <v>165694</v>
      </c>
      <c r="DA36" s="357">
        <v>624</v>
      </c>
      <c r="DB36" s="357">
        <v>0</v>
      </c>
      <c r="DC36" s="357">
        <v>0</v>
      </c>
      <c r="DD36" s="357">
        <v>624</v>
      </c>
      <c r="DE36" s="357">
        <v>2445</v>
      </c>
      <c r="DF36" s="357">
        <v>0</v>
      </c>
      <c r="DG36" s="357">
        <v>0</v>
      </c>
      <c r="DH36" s="357">
        <v>2445</v>
      </c>
      <c r="DI36" s="357">
        <v>0</v>
      </c>
      <c r="DJ36" s="357">
        <v>0</v>
      </c>
      <c r="DK36" s="357">
        <v>0</v>
      </c>
      <c r="DL36" s="357">
        <v>0</v>
      </c>
      <c r="DM36" s="357">
        <v>100000</v>
      </c>
      <c r="DN36" s="357">
        <v>0</v>
      </c>
      <c r="DO36" s="357">
        <v>0</v>
      </c>
      <c r="DP36" s="357">
        <v>100000</v>
      </c>
      <c r="DQ36" s="357">
        <v>342133</v>
      </c>
      <c r="DR36" s="357">
        <v>0</v>
      </c>
      <c r="DS36" s="357">
        <v>0</v>
      </c>
      <c r="DT36" s="357">
        <v>0</v>
      </c>
      <c r="DU36" s="357">
        <v>0</v>
      </c>
      <c r="DV36" s="357">
        <v>0</v>
      </c>
      <c r="DW36" s="357">
        <v>342133</v>
      </c>
      <c r="DX36" s="357">
        <v>0</v>
      </c>
      <c r="DY36" s="357">
        <v>0</v>
      </c>
      <c r="DZ36" s="357">
        <v>342133</v>
      </c>
      <c r="EA36" s="357">
        <v>0</v>
      </c>
      <c r="EB36" s="357">
        <v>0</v>
      </c>
      <c r="EC36" s="357">
        <v>54165</v>
      </c>
      <c r="ED36" s="357">
        <v>0</v>
      </c>
      <c r="EE36" s="357">
        <v>0</v>
      </c>
      <c r="EF36" s="357">
        <v>54165</v>
      </c>
      <c r="EG36" s="357">
        <v>333592</v>
      </c>
      <c r="EH36" s="357">
        <v>0</v>
      </c>
      <c r="EI36" s="357">
        <v>0</v>
      </c>
      <c r="EJ36" s="357">
        <v>333592</v>
      </c>
      <c r="EK36" s="357">
        <v>531500</v>
      </c>
      <c r="EL36" s="357">
        <v>0</v>
      </c>
      <c r="EM36" s="357">
        <v>0</v>
      </c>
      <c r="EN36" s="357">
        <v>531500</v>
      </c>
      <c r="EO36" s="357">
        <v>919257</v>
      </c>
      <c r="EP36" s="357">
        <v>0</v>
      </c>
      <c r="EQ36" s="357">
        <v>0</v>
      </c>
      <c r="ER36" s="357">
        <v>0</v>
      </c>
      <c r="ES36" s="357">
        <v>0</v>
      </c>
      <c r="ET36" s="357">
        <v>0</v>
      </c>
      <c r="EU36" s="357">
        <v>919257</v>
      </c>
      <c r="EV36" s="357">
        <v>0</v>
      </c>
      <c r="EW36" s="357">
        <v>0</v>
      </c>
      <c r="EX36" s="357">
        <v>919257</v>
      </c>
      <c r="EY36" s="357">
        <v>41010868</v>
      </c>
      <c r="EZ36" s="357">
        <v>0</v>
      </c>
      <c r="FA36" s="357">
        <v>0</v>
      </c>
      <c r="FB36" s="357">
        <v>41010868</v>
      </c>
      <c r="FC36" s="277">
        <v>0</v>
      </c>
      <c r="FD36" s="205"/>
    </row>
    <row r="37" spans="1:160" ht="12.75">
      <c r="A37" s="169">
        <v>30</v>
      </c>
      <c r="B37" s="172" t="s">
        <v>764</v>
      </c>
      <c r="C37" s="258" t="s">
        <v>765</v>
      </c>
      <c r="D37" s="235">
        <v>41639</v>
      </c>
      <c r="E37" s="357">
        <v>75952497</v>
      </c>
      <c r="F37" s="357">
        <v>0</v>
      </c>
      <c r="G37" s="357">
        <v>0</v>
      </c>
      <c r="H37" s="357">
        <v>75952497</v>
      </c>
      <c r="I37" s="357">
        <v>35773626</v>
      </c>
      <c r="J37" s="357">
        <v>0</v>
      </c>
      <c r="K37" s="357">
        <v>0</v>
      </c>
      <c r="L37" s="357">
        <v>0</v>
      </c>
      <c r="M37" s="357">
        <v>0</v>
      </c>
      <c r="N37" s="357">
        <v>0</v>
      </c>
      <c r="O37" s="357">
        <v>35773626</v>
      </c>
      <c r="P37" s="357">
        <v>0</v>
      </c>
      <c r="Q37" s="357">
        <v>0</v>
      </c>
      <c r="R37" s="357">
        <v>35773626</v>
      </c>
      <c r="S37" s="357">
        <v>301386</v>
      </c>
      <c r="T37" s="357">
        <v>0</v>
      </c>
      <c r="U37" s="357">
        <v>0</v>
      </c>
      <c r="V37" s="357">
        <v>301386</v>
      </c>
      <c r="W37" s="357">
        <v>21661</v>
      </c>
      <c r="X37" s="357">
        <v>0</v>
      </c>
      <c r="Y37" s="357">
        <v>0</v>
      </c>
      <c r="Z37" s="357">
        <v>21661</v>
      </c>
      <c r="AA37" s="357">
        <v>279725</v>
      </c>
      <c r="AB37" s="357">
        <v>0</v>
      </c>
      <c r="AC37" s="357">
        <v>0</v>
      </c>
      <c r="AD37" s="357">
        <v>0</v>
      </c>
      <c r="AE37" s="357">
        <v>0</v>
      </c>
      <c r="AF37" s="357">
        <v>0</v>
      </c>
      <c r="AG37" s="357">
        <v>279725</v>
      </c>
      <c r="AH37" s="357">
        <v>0</v>
      </c>
      <c r="AI37" s="357">
        <v>0</v>
      </c>
      <c r="AJ37" s="357">
        <v>279725</v>
      </c>
      <c r="AK37" s="357">
        <v>279725</v>
      </c>
      <c r="AL37" s="357">
        <v>0</v>
      </c>
      <c r="AM37" s="357">
        <v>0</v>
      </c>
      <c r="AN37" s="357">
        <v>279725</v>
      </c>
      <c r="AO37" s="357">
        <v>2729336</v>
      </c>
      <c r="AP37" s="357">
        <v>0</v>
      </c>
      <c r="AQ37" s="357">
        <v>0</v>
      </c>
      <c r="AR37" s="357">
        <v>2729336</v>
      </c>
      <c r="AS37" s="357">
        <v>0</v>
      </c>
      <c r="AT37" s="357">
        <v>0</v>
      </c>
      <c r="AU37" s="357">
        <v>0</v>
      </c>
      <c r="AV37" s="357">
        <v>0</v>
      </c>
      <c r="AW37" s="357">
        <v>662046</v>
      </c>
      <c r="AX37" s="357">
        <v>0</v>
      </c>
      <c r="AY37" s="357">
        <v>0</v>
      </c>
      <c r="AZ37" s="357">
        <v>662046</v>
      </c>
      <c r="BA37" s="357">
        <v>2067290</v>
      </c>
      <c r="BB37" s="357">
        <v>0</v>
      </c>
      <c r="BC37" s="357">
        <v>0</v>
      </c>
      <c r="BD37" s="357">
        <v>2067290</v>
      </c>
      <c r="BE37" s="357">
        <v>1492848</v>
      </c>
      <c r="BF37" s="357">
        <v>0</v>
      </c>
      <c r="BG37" s="357">
        <v>0</v>
      </c>
      <c r="BH37" s="357">
        <v>1492848</v>
      </c>
      <c r="BI37" s="357">
        <v>33990</v>
      </c>
      <c r="BJ37" s="357">
        <v>0</v>
      </c>
      <c r="BK37" s="357">
        <v>0</v>
      </c>
      <c r="BL37" s="357">
        <v>33990</v>
      </c>
      <c r="BM37" s="357">
        <v>81907</v>
      </c>
      <c r="BN37" s="357">
        <v>0</v>
      </c>
      <c r="BO37" s="357">
        <v>0</v>
      </c>
      <c r="BP37" s="357">
        <v>81907</v>
      </c>
      <c r="BQ37" s="357">
        <v>3676035</v>
      </c>
      <c r="BR37" s="357">
        <v>0</v>
      </c>
      <c r="BS37" s="357">
        <v>0</v>
      </c>
      <c r="BT37" s="357">
        <v>328946</v>
      </c>
      <c r="BU37" s="357">
        <v>0</v>
      </c>
      <c r="BV37" s="357">
        <v>0</v>
      </c>
      <c r="BW37" s="357">
        <v>4004981</v>
      </c>
      <c r="BX37" s="357">
        <v>0</v>
      </c>
      <c r="BY37" s="357">
        <v>0</v>
      </c>
      <c r="BZ37" s="357">
        <v>4004981</v>
      </c>
      <c r="CA37" s="357">
        <v>135615</v>
      </c>
      <c r="CB37" s="357">
        <v>0</v>
      </c>
      <c r="CC37" s="357">
        <v>0</v>
      </c>
      <c r="CD37" s="357">
        <v>135615</v>
      </c>
      <c r="CE37" s="357">
        <v>888562</v>
      </c>
      <c r="CF37" s="357">
        <v>0</v>
      </c>
      <c r="CG37" s="357">
        <v>0</v>
      </c>
      <c r="CH37" s="357">
        <v>888562</v>
      </c>
      <c r="CI37" s="357">
        <v>1024177</v>
      </c>
      <c r="CJ37" s="357">
        <v>0</v>
      </c>
      <c r="CK37" s="357">
        <v>0</v>
      </c>
      <c r="CL37" s="357">
        <v>0</v>
      </c>
      <c r="CM37" s="357">
        <v>0</v>
      </c>
      <c r="CN37" s="357">
        <v>0</v>
      </c>
      <c r="CO37" s="357">
        <v>1024177</v>
      </c>
      <c r="CP37" s="357">
        <v>0</v>
      </c>
      <c r="CQ37" s="357">
        <v>0</v>
      </c>
      <c r="CR37" s="357">
        <v>1024177</v>
      </c>
      <c r="CS37" s="357">
        <v>62300</v>
      </c>
      <c r="CT37" s="357">
        <v>0</v>
      </c>
      <c r="CU37" s="357">
        <v>0</v>
      </c>
      <c r="CV37" s="357">
        <v>62300</v>
      </c>
      <c r="CW37" s="357">
        <v>7110</v>
      </c>
      <c r="CX37" s="357">
        <v>0</v>
      </c>
      <c r="CY37" s="357">
        <v>0</v>
      </c>
      <c r="CZ37" s="357">
        <v>7110</v>
      </c>
      <c r="DA37" s="357">
        <v>976</v>
      </c>
      <c r="DB37" s="357">
        <v>0</v>
      </c>
      <c r="DC37" s="357">
        <v>0</v>
      </c>
      <c r="DD37" s="357">
        <v>976</v>
      </c>
      <c r="DE37" s="357">
        <v>9301</v>
      </c>
      <c r="DF37" s="357">
        <v>0</v>
      </c>
      <c r="DG37" s="357">
        <v>0</v>
      </c>
      <c r="DH37" s="357">
        <v>9301</v>
      </c>
      <c r="DI37" s="357">
        <v>0</v>
      </c>
      <c r="DJ37" s="357">
        <v>0</v>
      </c>
      <c r="DK37" s="357">
        <v>0</v>
      </c>
      <c r="DL37" s="357">
        <v>0</v>
      </c>
      <c r="DM37" s="357">
        <v>0</v>
      </c>
      <c r="DN37" s="357">
        <v>0</v>
      </c>
      <c r="DO37" s="357">
        <v>0</v>
      </c>
      <c r="DP37" s="357">
        <v>0</v>
      </c>
      <c r="DQ37" s="357">
        <v>79687</v>
      </c>
      <c r="DR37" s="357">
        <v>0</v>
      </c>
      <c r="DS37" s="357">
        <v>0</v>
      </c>
      <c r="DT37" s="357">
        <v>0</v>
      </c>
      <c r="DU37" s="357">
        <v>0</v>
      </c>
      <c r="DV37" s="357">
        <v>0</v>
      </c>
      <c r="DW37" s="357">
        <v>79687</v>
      </c>
      <c r="DX37" s="357">
        <v>0</v>
      </c>
      <c r="DY37" s="357">
        <v>0</v>
      </c>
      <c r="DZ37" s="357">
        <v>79687</v>
      </c>
      <c r="EA37" s="357">
        <v>0</v>
      </c>
      <c r="EB37" s="357">
        <v>0</v>
      </c>
      <c r="EC37" s="357">
        <v>0</v>
      </c>
      <c r="ED37" s="357">
        <v>0</v>
      </c>
      <c r="EE37" s="357">
        <v>0</v>
      </c>
      <c r="EF37" s="357">
        <v>0</v>
      </c>
      <c r="EG37" s="357">
        <v>45364</v>
      </c>
      <c r="EH37" s="357">
        <v>0</v>
      </c>
      <c r="EI37" s="357">
        <v>0</v>
      </c>
      <c r="EJ37" s="357">
        <v>45364</v>
      </c>
      <c r="EK37" s="357">
        <v>516481</v>
      </c>
      <c r="EL37" s="357">
        <v>0</v>
      </c>
      <c r="EM37" s="357">
        <v>0</v>
      </c>
      <c r="EN37" s="357">
        <v>516481</v>
      </c>
      <c r="EO37" s="357">
        <v>561845</v>
      </c>
      <c r="EP37" s="357">
        <v>0</v>
      </c>
      <c r="EQ37" s="357">
        <v>0</v>
      </c>
      <c r="ER37" s="357">
        <v>0</v>
      </c>
      <c r="ES37" s="357">
        <v>0</v>
      </c>
      <c r="ET37" s="357">
        <v>0</v>
      </c>
      <c r="EU37" s="357">
        <v>561845</v>
      </c>
      <c r="EV37" s="357">
        <v>0</v>
      </c>
      <c r="EW37" s="357">
        <v>0</v>
      </c>
      <c r="EX37" s="357">
        <v>561845</v>
      </c>
      <c r="EY37" s="357">
        <v>29823211</v>
      </c>
      <c r="EZ37" s="357">
        <v>0</v>
      </c>
      <c r="FA37" s="357">
        <v>0</v>
      </c>
      <c r="FB37" s="357">
        <v>29823211</v>
      </c>
      <c r="FC37" s="277">
        <v>0</v>
      </c>
      <c r="FD37" s="205"/>
    </row>
    <row r="38" spans="1:160" ht="12.75">
      <c r="A38" s="169">
        <v>31</v>
      </c>
      <c r="B38" s="172" t="s">
        <v>766</v>
      </c>
      <c r="C38" s="258" t="s">
        <v>767</v>
      </c>
      <c r="D38" s="235">
        <v>41651</v>
      </c>
      <c r="E38" s="357">
        <v>278684975</v>
      </c>
      <c r="F38" s="357">
        <v>0</v>
      </c>
      <c r="G38" s="357">
        <v>0</v>
      </c>
      <c r="H38" s="357">
        <v>278684975</v>
      </c>
      <c r="I38" s="357">
        <v>131260623</v>
      </c>
      <c r="J38" s="357">
        <v>0</v>
      </c>
      <c r="K38" s="357">
        <v>0</v>
      </c>
      <c r="L38" s="357">
        <v>850000</v>
      </c>
      <c r="M38" s="357">
        <v>0</v>
      </c>
      <c r="N38" s="357">
        <v>0</v>
      </c>
      <c r="O38" s="357">
        <v>132110623</v>
      </c>
      <c r="P38" s="357">
        <v>0</v>
      </c>
      <c r="Q38" s="357">
        <v>0</v>
      </c>
      <c r="R38" s="357">
        <v>132110623</v>
      </c>
      <c r="S38" s="357">
        <v>145799</v>
      </c>
      <c r="T38" s="357">
        <v>0</v>
      </c>
      <c r="U38" s="357">
        <v>0</v>
      </c>
      <c r="V38" s="357">
        <v>145799</v>
      </c>
      <c r="W38" s="357">
        <v>86500</v>
      </c>
      <c r="X38" s="357">
        <v>0</v>
      </c>
      <c r="Y38" s="357">
        <v>0</v>
      </c>
      <c r="Z38" s="357">
        <v>86500</v>
      </c>
      <c r="AA38" s="357">
        <v>59299</v>
      </c>
      <c r="AB38" s="357">
        <v>0</v>
      </c>
      <c r="AC38" s="357">
        <v>0</v>
      </c>
      <c r="AD38" s="357">
        <v>0</v>
      </c>
      <c r="AE38" s="357">
        <v>0</v>
      </c>
      <c r="AF38" s="357">
        <v>0</v>
      </c>
      <c r="AG38" s="357">
        <v>59299</v>
      </c>
      <c r="AH38" s="357">
        <v>0</v>
      </c>
      <c r="AI38" s="357">
        <v>0</v>
      </c>
      <c r="AJ38" s="357">
        <v>59299</v>
      </c>
      <c r="AK38" s="357">
        <v>59299</v>
      </c>
      <c r="AL38" s="357">
        <v>0</v>
      </c>
      <c r="AM38" s="357">
        <v>0</v>
      </c>
      <c r="AN38" s="357">
        <v>59299</v>
      </c>
      <c r="AO38" s="357">
        <v>4031618</v>
      </c>
      <c r="AP38" s="357">
        <v>0</v>
      </c>
      <c r="AQ38" s="357">
        <v>0</v>
      </c>
      <c r="AR38" s="357">
        <v>4031618</v>
      </c>
      <c r="AS38" s="357">
        <v>0</v>
      </c>
      <c r="AT38" s="357">
        <v>0</v>
      </c>
      <c r="AU38" s="357">
        <v>0</v>
      </c>
      <c r="AV38" s="357">
        <v>0</v>
      </c>
      <c r="AW38" s="357">
        <v>2487121</v>
      </c>
      <c r="AX38" s="357">
        <v>0</v>
      </c>
      <c r="AY38" s="357">
        <v>0</v>
      </c>
      <c r="AZ38" s="357">
        <v>2487121</v>
      </c>
      <c r="BA38" s="357">
        <v>1544497</v>
      </c>
      <c r="BB38" s="357">
        <v>0</v>
      </c>
      <c r="BC38" s="357">
        <v>0</v>
      </c>
      <c r="BD38" s="357">
        <v>1544497</v>
      </c>
      <c r="BE38" s="357">
        <v>6778822</v>
      </c>
      <c r="BF38" s="357">
        <v>0</v>
      </c>
      <c r="BG38" s="357">
        <v>0</v>
      </c>
      <c r="BH38" s="357">
        <v>6778822</v>
      </c>
      <c r="BI38" s="357">
        <v>24929</v>
      </c>
      <c r="BJ38" s="357">
        <v>0</v>
      </c>
      <c r="BK38" s="357">
        <v>0</v>
      </c>
      <c r="BL38" s="357">
        <v>24929</v>
      </c>
      <c r="BM38" s="357">
        <v>0</v>
      </c>
      <c r="BN38" s="357">
        <v>0</v>
      </c>
      <c r="BO38" s="357">
        <v>0</v>
      </c>
      <c r="BP38" s="357">
        <v>0</v>
      </c>
      <c r="BQ38" s="357">
        <v>8348248</v>
      </c>
      <c r="BR38" s="357">
        <v>0</v>
      </c>
      <c r="BS38" s="357">
        <v>0</v>
      </c>
      <c r="BT38" s="357">
        <v>150000</v>
      </c>
      <c r="BU38" s="357">
        <v>0</v>
      </c>
      <c r="BV38" s="357">
        <v>0</v>
      </c>
      <c r="BW38" s="357">
        <v>8498248</v>
      </c>
      <c r="BX38" s="357">
        <v>0</v>
      </c>
      <c r="BY38" s="357">
        <v>0</v>
      </c>
      <c r="BZ38" s="357">
        <v>8498248</v>
      </c>
      <c r="CA38" s="357">
        <v>0</v>
      </c>
      <c r="CB38" s="357">
        <v>0</v>
      </c>
      <c r="CC38" s="357">
        <v>0</v>
      </c>
      <c r="CD38" s="357">
        <v>0</v>
      </c>
      <c r="CE38" s="357">
        <v>3815935</v>
      </c>
      <c r="CF38" s="357">
        <v>0</v>
      </c>
      <c r="CG38" s="357">
        <v>0</v>
      </c>
      <c r="CH38" s="357">
        <v>3815935</v>
      </c>
      <c r="CI38" s="357">
        <v>3815935</v>
      </c>
      <c r="CJ38" s="357">
        <v>0</v>
      </c>
      <c r="CK38" s="357">
        <v>0</v>
      </c>
      <c r="CL38" s="357">
        <v>1250000</v>
      </c>
      <c r="CM38" s="357">
        <v>0</v>
      </c>
      <c r="CN38" s="357">
        <v>0</v>
      </c>
      <c r="CO38" s="357">
        <v>5065935</v>
      </c>
      <c r="CP38" s="357">
        <v>0</v>
      </c>
      <c r="CQ38" s="357">
        <v>0</v>
      </c>
      <c r="CR38" s="357">
        <v>5065935</v>
      </c>
      <c r="CS38" s="357">
        <v>406212</v>
      </c>
      <c r="CT38" s="357">
        <v>0</v>
      </c>
      <c r="CU38" s="357">
        <v>0</v>
      </c>
      <c r="CV38" s="357">
        <v>406212</v>
      </c>
      <c r="CW38" s="357">
        <v>109097</v>
      </c>
      <c r="CX38" s="357">
        <v>0</v>
      </c>
      <c r="CY38" s="357">
        <v>0</v>
      </c>
      <c r="CZ38" s="357">
        <v>109097</v>
      </c>
      <c r="DA38" s="357">
        <v>2463</v>
      </c>
      <c r="DB38" s="357">
        <v>0</v>
      </c>
      <c r="DC38" s="357">
        <v>0</v>
      </c>
      <c r="DD38" s="357">
        <v>2463</v>
      </c>
      <c r="DE38" s="357">
        <v>0</v>
      </c>
      <c r="DF38" s="357">
        <v>0</v>
      </c>
      <c r="DG38" s="357">
        <v>0</v>
      </c>
      <c r="DH38" s="357">
        <v>0</v>
      </c>
      <c r="DI38" s="357">
        <v>0</v>
      </c>
      <c r="DJ38" s="357">
        <v>0</v>
      </c>
      <c r="DK38" s="357">
        <v>0</v>
      </c>
      <c r="DL38" s="357">
        <v>0</v>
      </c>
      <c r="DM38" s="357">
        <v>0</v>
      </c>
      <c r="DN38" s="357">
        <v>0</v>
      </c>
      <c r="DO38" s="357">
        <v>0</v>
      </c>
      <c r="DP38" s="357">
        <v>0</v>
      </c>
      <c r="DQ38" s="357">
        <v>517772</v>
      </c>
      <c r="DR38" s="357">
        <v>0</v>
      </c>
      <c r="DS38" s="357">
        <v>0</v>
      </c>
      <c r="DT38" s="357">
        <v>0</v>
      </c>
      <c r="DU38" s="357">
        <v>0</v>
      </c>
      <c r="DV38" s="357">
        <v>0</v>
      </c>
      <c r="DW38" s="357">
        <v>517772</v>
      </c>
      <c r="DX38" s="357">
        <v>0</v>
      </c>
      <c r="DY38" s="357">
        <v>0</v>
      </c>
      <c r="DZ38" s="357">
        <v>517772</v>
      </c>
      <c r="EA38" s="357">
        <v>0</v>
      </c>
      <c r="EB38" s="357">
        <v>0</v>
      </c>
      <c r="EC38" s="357">
        <v>100000</v>
      </c>
      <c r="ED38" s="357">
        <v>0</v>
      </c>
      <c r="EE38" s="357">
        <v>0</v>
      </c>
      <c r="EF38" s="357">
        <v>100000</v>
      </c>
      <c r="EG38" s="357">
        <v>250000</v>
      </c>
      <c r="EH38" s="357">
        <v>0</v>
      </c>
      <c r="EI38" s="357">
        <v>0</v>
      </c>
      <c r="EJ38" s="357">
        <v>250000</v>
      </c>
      <c r="EK38" s="357">
        <v>2100327</v>
      </c>
      <c r="EL38" s="357">
        <v>0</v>
      </c>
      <c r="EM38" s="357">
        <v>0</v>
      </c>
      <c r="EN38" s="357">
        <v>2100327</v>
      </c>
      <c r="EO38" s="357">
        <v>2450327</v>
      </c>
      <c r="EP38" s="357">
        <v>0</v>
      </c>
      <c r="EQ38" s="357">
        <v>0</v>
      </c>
      <c r="ER38" s="357">
        <v>0</v>
      </c>
      <c r="ES38" s="357">
        <v>0</v>
      </c>
      <c r="ET38" s="357">
        <v>0</v>
      </c>
      <c r="EU38" s="357">
        <v>2450327</v>
      </c>
      <c r="EV38" s="357">
        <v>0</v>
      </c>
      <c r="EW38" s="357">
        <v>0</v>
      </c>
      <c r="EX38" s="357">
        <v>2450327</v>
      </c>
      <c r="EY38" s="357">
        <v>115519042</v>
      </c>
      <c r="EZ38" s="357">
        <v>0</v>
      </c>
      <c r="FA38" s="357">
        <v>0</v>
      </c>
      <c r="FB38" s="357">
        <v>115519042</v>
      </c>
      <c r="FC38" s="277">
        <v>0</v>
      </c>
      <c r="FD38" s="205"/>
    </row>
    <row r="39" spans="1:160" ht="12.75">
      <c r="A39" s="169">
        <v>32</v>
      </c>
      <c r="B39" s="172" t="s">
        <v>768</v>
      </c>
      <c r="C39" s="258" t="s">
        <v>769</v>
      </c>
      <c r="D39" s="235">
        <v>41659</v>
      </c>
      <c r="E39" s="357">
        <v>74961558</v>
      </c>
      <c r="F39" s="357">
        <v>0</v>
      </c>
      <c r="G39" s="357">
        <v>0</v>
      </c>
      <c r="H39" s="357">
        <v>74961558</v>
      </c>
      <c r="I39" s="357">
        <v>35306894</v>
      </c>
      <c r="J39" s="357">
        <v>0</v>
      </c>
      <c r="K39" s="357">
        <v>0</v>
      </c>
      <c r="L39" s="357">
        <v>0</v>
      </c>
      <c r="M39" s="357">
        <v>0</v>
      </c>
      <c r="N39" s="357">
        <v>0</v>
      </c>
      <c r="O39" s="357">
        <v>35306894</v>
      </c>
      <c r="P39" s="357">
        <v>0</v>
      </c>
      <c r="Q39" s="357">
        <v>0</v>
      </c>
      <c r="R39" s="357">
        <v>35306894</v>
      </c>
      <c r="S39" s="357">
        <v>15650</v>
      </c>
      <c r="T39" s="357">
        <v>0</v>
      </c>
      <c r="U39" s="357">
        <v>0</v>
      </c>
      <c r="V39" s="357">
        <v>15650</v>
      </c>
      <c r="W39" s="357">
        <v>2651</v>
      </c>
      <c r="X39" s="357">
        <v>0</v>
      </c>
      <c r="Y39" s="357">
        <v>0</v>
      </c>
      <c r="Z39" s="357">
        <v>2651</v>
      </c>
      <c r="AA39" s="357">
        <v>12999</v>
      </c>
      <c r="AB39" s="357">
        <v>0</v>
      </c>
      <c r="AC39" s="357">
        <v>0</v>
      </c>
      <c r="AD39" s="357">
        <v>218315.09</v>
      </c>
      <c r="AE39" s="357">
        <v>0</v>
      </c>
      <c r="AF39" s="357">
        <v>0</v>
      </c>
      <c r="AG39" s="357">
        <v>231314.09</v>
      </c>
      <c r="AH39" s="357">
        <v>0</v>
      </c>
      <c r="AI39" s="357">
        <v>0</v>
      </c>
      <c r="AJ39" s="357">
        <v>231314.09</v>
      </c>
      <c r="AK39" s="357">
        <v>231314.09</v>
      </c>
      <c r="AL39" s="357">
        <v>0</v>
      </c>
      <c r="AM39" s="357">
        <v>0</v>
      </c>
      <c r="AN39" s="357">
        <v>231314.09</v>
      </c>
      <c r="AO39" s="357">
        <v>1041536</v>
      </c>
      <c r="AP39" s="357">
        <v>0</v>
      </c>
      <c r="AQ39" s="357">
        <v>0</v>
      </c>
      <c r="AR39" s="357">
        <v>1041536</v>
      </c>
      <c r="AS39" s="357">
        <v>0</v>
      </c>
      <c r="AT39" s="357">
        <v>0</v>
      </c>
      <c r="AU39" s="357">
        <v>0</v>
      </c>
      <c r="AV39" s="357">
        <v>0</v>
      </c>
      <c r="AW39" s="357">
        <v>720889.6</v>
      </c>
      <c r="AX39" s="357">
        <v>0</v>
      </c>
      <c r="AY39" s="357">
        <v>0</v>
      </c>
      <c r="AZ39" s="357">
        <v>720889.6</v>
      </c>
      <c r="BA39" s="357">
        <v>320646.4</v>
      </c>
      <c r="BB39" s="357">
        <v>0</v>
      </c>
      <c r="BC39" s="357">
        <v>0</v>
      </c>
      <c r="BD39" s="357">
        <v>320646.4</v>
      </c>
      <c r="BE39" s="357">
        <v>2136422</v>
      </c>
      <c r="BF39" s="357">
        <v>0</v>
      </c>
      <c r="BG39" s="357">
        <v>0</v>
      </c>
      <c r="BH39" s="357">
        <v>2136422</v>
      </c>
      <c r="BI39" s="357">
        <v>42705</v>
      </c>
      <c r="BJ39" s="357">
        <v>0</v>
      </c>
      <c r="BK39" s="357">
        <v>0</v>
      </c>
      <c r="BL39" s="357">
        <v>42705</v>
      </c>
      <c r="BM39" s="357">
        <v>4849</v>
      </c>
      <c r="BN39" s="357">
        <v>0</v>
      </c>
      <c r="BO39" s="357">
        <v>0</v>
      </c>
      <c r="BP39" s="357">
        <v>4849</v>
      </c>
      <c r="BQ39" s="357">
        <v>2504622.4</v>
      </c>
      <c r="BR39" s="357">
        <v>0</v>
      </c>
      <c r="BS39" s="357">
        <v>0</v>
      </c>
      <c r="BT39" s="357">
        <v>581001</v>
      </c>
      <c r="BU39" s="357">
        <v>0</v>
      </c>
      <c r="BV39" s="357">
        <v>0</v>
      </c>
      <c r="BW39" s="357">
        <v>3085623.4</v>
      </c>
      <c r="BX39" s="357">
        <v>0</v>
      </c>
      <c r="BY39" s="357">
        <v>0</v>
      </c>
      <c r="BZ39" s="357">
        <v>3085623.4</v>
      </c>
      <c r="CA39" s="357">
        <v>42308</v>
      </c>
      <c r="CB39" s="357">
        <v>0</v>
      </c>
      <c r="CC39" s="357">
        <v>0</v>
      </c>
      <c r="CD39" s="357">
        <v>42308</v>
      </c>
      <c r="CE39" s="357">
        <v>824823</v>
      </c>
      <c r="CF39" s="357">
        <v>0</v>
      </c>
      <c r="CG39" s="357">
        <v>0</v>
      </c>
      <c r="CH39" s="357">
        <v>824823</v>
      </c>
      <c r="CI39" s="357">
        <v>867131</v>
      </c>
      <c r="CJ39" s="357">
        <v>0</v>
      </c>
      <c r="CK39" s="357">
        <v>0</v>
      </c>
      <c r="CL39" s="357">
        <v>681035.96</v>
      </c>
      <c r="CM39" s="357">
        <v>0</v>
      </c>
      <c r="CN39" s="357">
        <v>0</v>
      </c>
      <c r="CO39" s="357">
        <v>1548166.96</v>
      </c>
      <c r="CP39" s="357">
        <v>0</v>
      </c>
      <c r="CQ39" s="357">
        <v>0</v>
      </c>
      <c r="CR39" s="357">
        <v>1548166.96</v>
      </c>
      <c r="CS39" s="357">
        <v>121476</v>
      </c>
      <c r="CT39" s="357">
        <v>0</v>
      </c>
      <c r="CU39" s="357">
        <v>0</v>
      </c>
      <c r="CV39" s="357">
        <v>121476</v>
      </c>
      <c r="CW39" s="357">
        <v>69669</v>
      </c>
      <c r="CX39" s="357">
        <v>0</v>
      </c>
      <c r="CY39" s="357">
        <v>0</v>
      </c>
      <c r="CZ39" s="357">
        <v>69669</v>
      </c>
      <c r="DA39" s="357">
        <v>5338</v>
      </c>
      <c r="DB39" s="357">
        <v>0</v>
      </c>
      <c r="DC39" s="357">
        <v>0</v>
      </c>
      <c r="DD39" s="357">
        <v>5338</v>
      </c>
      <c r="DE39" s="357">
        <v>3403</v>
      </c>
      <c r="DF39" s="357">
        <v>0</v>
      </c>
      <c r="DG39" s="357">
        <v>0</v>
      </c>
      <c r="DH39" s="357">
        <v>3403</v>
      </c>
      <c r="DI39" s="357">
        <v>11468</v>
      </c>
      <c r="DJ39" s="357">
        <v>0</v>
      </c>
      <c r="DK39" s="357">
        <v>0</v>
      </c>
      <c r="DL39" s="357">
        <v>11468</v>
      </c>
      <c r="DM39" s="357">
        <v>0</v>
      </c>
      <c r="DN39" s="357">
        <v>0</v>
      </c>
      <c r="DO39" s="357">
        <v>0</v>
      </c>
      <c r="DP39" s="357">
        <v>0</v>
      </c>
      <c r="DQ39" s="357">
        <v>211354</v>
      </c>
      <c r="DR39" s="357">
        <v>0</v>
      </c>
      <c r="DS39" s="357">
        <v>0</v>
      </c>
      <c r="DT39" s="357">
        <v>18433.89</v>
      </c>
      <c r="DU39" s="357">
        <v>0</v>
      </c>
      <c r="DV39" s="357">
        <v>0</v>
      </c>
      <c r="DW39" s="357">
        <v>229787.89</v>
      </c>
      <c r="DX39" s="357">
        <v>0</v>
      </c>
      <c r="DY39" s="357">
        <v>0</v>
      </c>
      <c r="DZ39" s="357">
        <v>229787.89</v>
      </c>
      <c r="EA39" s="357">
        <v>0</v>
      </c>
      <c r="EB39" s="357">
        <v>0</v>
      </c>
      <c r="EC39" s="357">
        <v>0</v>
      </c>
      <c r="ED39" s="357">
        <v>0</v>
      </c>
      <c r="EE39" s="357">
        <v>0</v>
      </c>
      <c r="EF39" s="357">
        <v>0</v>
      </c>
      <c r="EG39" s="357">
        <v>0</v>
      </c>
      <c r="EH39" s="357">
        <v>0</v>
      </c>
      <c r="EI39" s="357">
        <v>0</v>
      </c>
      <c r="EJ39" s="357">
        <v>0</v>
      </c>
      <c r="EK39" s="357">
        <v>709529</v>
      </c>
      <c r="EL39" s="357">
        <v>0</v>
      </c>
      <c r="EM39" s="357">
        <v>0</v>
      </c>
      <c r="EN39" s="357">
        <v>709529</v>
      </c>
      <c r="EO39" s="357">
        <v>709529</v>
      </c>
      <c r="EP39" s="357">
        <v>0</v>
      </c>
      <c r="EQ39" s="357">
        <v>0</v>
      </c>
      <c r="ER39" s="357">
        <v>0</v>
      </c>
      <c r="ES39" s="357">
        <v>0</v>
      </c>
      <c r="ET39" s="357">
        <v>0</v>
      </c>
      <c r="EU39" s="357">
        <v>709529</v>
      </c>
      <c r="EV39" s="357">
        <v>0</v>
      </c>
      <c r="EW39" s="357">
        <v>0</v>
      </c>
      <c r="EX39" s="357">
        <v>709529</v>
      </c>
      <c r="EY39" s="357">
        <v>29502472.7</v>
      </c>
      <c r="EZ39" s="357">
        <v>0</v>
      </c>
      <c r="FA39" s="357">
        <v>0</v>
      </c>
      <c r="FB39" s="357">
        <v>29502472.7</v>
      </c>
      <c r="FC39" s="277">
        <v>0</v>
      </c>
      <c r="FD39" s="205"/>
    </row>
    <row r="40" spans="1:160" ht="12.75">
      <c r="A40" s="169">
        <v>33</v>
      </c>
      <c r="B40" s="172" t="s">
        <v>770</v>
      </c>
      <c r="C40" s="258" t="s">
        <v>771</v>
      </c>
      <c r="D40" s="235">
        <v>41639</v>
      </c>
      <c r="E40" s="357">
        <v>265545379</v>
      </c>
      <c r="F40" s="357">
        <v>0</v>
      </c>
      <c r="G40" s="357">
        <v>0</v>
      </c>
      <c r="H40" s="357">
        <v>265545379</v>
      </c>
      <c r="I40" s="357">
        <v>125071874</v>
      </c>
      <c r="J40" s="357">
        <v>0</v>
      </c>
      <c r="K40" s="357">
        <v>0</v>
      </c>
      <c r="L40" s="357">
        <v>1545000</v>
      </c>
      <c r="M40" s="357">
        <v>0</v>
      </c>
      <c r="N40" s="357">
        <v>0</v>
      </c>
      <c r="O40" s="357">
        <v>126616874</v>
      </c>
      <c r="P40" s="357">
        <v>0</v>
      </c>
      <c r="Q40" s="357">
        <v>0</v>
      </c>
      <c r="R40" s="357">
        <v>126616874</v>
      </c>
      <c r="S40" s="357">
        <v>120314</v>
      </c>
      <c r="T40" s="357">
        <v>0</v>
      </c>
      <c r="U40" s="357">
        <v>0</v>
      </c>
      <c r="V40" s="357">
        <v>120314</v>
      </c>
      <c r="W40" s="357">
        <v>35560</v>
      </c>
      <c r="X40" s="357">
        <v>0</v>
      </c>
      <c r="Y40" s="357">
        <v>0</v>
      </c>
      <c r="Z40" s="357">
        <v>35560</v>
      </c>
      <c r="AA40" s="357">
        <v>84754</v>
      </c>
      <c r="AB40" s="357">
        <v>0</v>
      </c>
      <c r="AC40" s="357">
        <v>0</v>
      </c>
      <c r="AD40" s="357">
        <v>0</v>
      </c>
      <c r="AE40" s="357">
        <v>0</v>
      </c>
      <c r="AF40" s="357">
        <v>0</v>
      </c>
      <c r="AG40" s="357">
        <v>84754</v>
      </c>
      <c r="AH40" s="357">
        <v>0</v>
      </c>
      <c r="AI40" s="357">
        <v>0</v>
      </c>
      <c r="AJ40" s="357">
        <v>84754</v>
      </c>
      <c r="AK40" s="357">
        <v>84754</v>
      </c>
      <c r="AL40" s="357">
        <v>0</v>
      </c>
      <c r="AM40" s="357">
        <v>0</v>
      </c>
      <c r="AN40" s="357">
        <v>84754</v>
      </c>
      <c r="AO40" s="357">
        <v>5875367</v>
      </c>
      <c r="AP40" s="357">
        <v>0</v>
      </c>
      <c r="AQ40" s="357">
        <v>0</v>
      </c>
      <c r="AR40" s="357">
        <v>5875367</v>
      </c>
      <c r="AS40" s="357">
        <v>10000</v>
      </c>
      <c r="AT40" s="357">
        <v>0</v>
      </c>
      <c r="AU40" s="357">
        <v>0</v>
      </c>
      <c r="AV40" s="357">
        <v>10000</v>
      </c>
      <c r="AW40" s="357">
        <v>2491347</v>
      </c>
      <c r="AX40" s="357">
        <v>0</v>
      </c>
      <c r="AY40" s="357">
        <v>0</v>
      </c>
      <c r="AZ40" s="357">
        <v>2491347</v>
      </c>
      <c r="BA40" s="357">
        <v>3384020</v>
      </c>
      <c r="BB40" s="357">
        <v>0</v>
      </c>
      <c r="BC40" s="357">
        <v>0</v>
      </c>
      <c r="BD40" s="357">
        <v>3384020</v>
      </c>
      <c r="BE40" s="357">
        <v>8066694</v>
      </c>
      <c r="BF40" s="357">
        <v>0</v>
      </c>
      <c r="BG40" s="357">
        <v>0</v>
      </c>
      <c r="BH40" s="357">
        <v>8066694</v>
      </c>
      <c r="BI40" s="357">
        <v>56344</v>
      </c>
      <c r="BJ40" s="357">
        <v>0</v>
      </c>
      <c r="BK40" s="357">
        <v>0</v>
      </c>
      <c r="BL40" s="357">
        <v>56344</v>
      </c>
      <c r="BM40" s="357">
        <v>0</v>
      </c>
      <c r="BN40" s="357">
        <v>0</v>
      </c>
      <c r="BO40" s="357">
        <v>0</v>
      </c>
      <c r="BP40" s="357">
        <v>0</v>
      </c>
      <c r="BQ40" s="357">
        <v>11507058</v>
      </c>
      <c r="BR40" s="357">
        <v>0</v>
      </c>
      <c r="BS40" s="357">
        <v>0</v>
      </c>
      <c r="BT40" s="357">
        <v>-70000</v>
      </c>
      <c r="BU40" s="357">
        <v>0</v>
      </c>
      <c r="BV40" s="357">
        <v>0</v>
      </c>
      <c r="BW40" s="357">
        <v>11437058</v>
      </c>
      <c r="BX40" s="357">
        <v>0</v>
      </c>
      <c r="BY40" s="357">
        <v>0</v>
      </c>
      <c r="BZ40" s="357">
        <v>11437058</v>
      </c>
      <c r="CA40" s="357">
        <v>0</v>
      </c>
      <c r="CB40" s="357">
        <v>0</v>
      </c>
      <c r="CC40" s="357">
        <v>0</v>
      </c>
      <c r="CD40" s="357">
        <v>0</v>
      </c>
      <c r="CE40" s="357">
        <v>3379338</v>
      </c>
      <c r="CF40" s="357">
        <v>0</v>
      </c>
      <c r="CG40" s="357">
        <v>0</v>
      </c>
      <c r="CH40" s="357">
        <v>3379338</v>
      </c>
      <c r="CI40" s="357">
        <v>3379338</v>
      </c>
      <c r="CJ40" s="357">
        <v>0</v>
      </c>
      <c r="CK40" s="357">
        <v>0</v>
      </c>
      <c r="CL40" s="357">
        <v>0</v>
      </c>
      <c r="CM40" s="357">
        <v>0</v>
      </c>
      <c r="CN40" s="357">
        <v>0</v>
      </c>
      <c r="CO40" s="357">
        <v>3379338</v>
      </c>
      <c r="CP40" s="357">
        <v>0</v>
      </c>
      <c r="CQ40" s="357">
        <v>0</v>
      </c>
      <c r="CR40" s="357">
        <v>3379338</v>
      </c>
      <c r="CS40" s="357">
        <v>100128</v>
      </c>
      <c r="CT40" s="357">
        <v>0</v>
      </c>
      <c r="CU40" s="357">
        <v>0</v>
      </c>
      <c r="CV40" s="357">
        <v>100128</v>
      </c>
      <c r="CW40" s="357">
        <v>59993</v>
      </c>
      <c r="CX40" s="357">
        <v>0</v>
      </c>
      <c r="CY40" s="357">
        <v>0</v>
      </c>
      <c r="CZ40" s="357">
        <v>59993</v>
      </c>
      <c r="DA40" s="357">
        <v>2310</v>
      </c>
      <c r="DB40" s="357">
        <v>0</v>
      </c>
      <c r="DC40" s="357">
        <v>0</v>
      </c>
      <c r="DD40" s="357">
        <v>2310</v>
      </c>
      <c r="DE40" s="357">
        <v>0</v>
      </c>
      <c r="DF40" s="357">
        <v>0</v>
      </c>
      <c r="DG40" s="357">
        <v>0</v>
      </c>
      <c r="DH40" s="357">
        <v>0</v>
      </c>
      <c r="DI40" s="357">
        <v>0</v>
      </c>
      <c r="DJ40" s="357">
        <v>0</v>
      </c>
      <c r="DK40" s="357">
        <v>0</v>
      </c>
      <c r="DL40" s="357">
        <v>0</v>
      </c>
      <c r="DM40" s="357">
        <v>115300</v>
      </c>
      <c r="DN40" s="357">
        <v>0</v>
      </c>
      <c r="DO40" s="357">
        <v>0</v>
      </c>
      <c r="DP40" s="357">
        <v>115300</v>
      </c>
      <c r="DQ40" s="357">
        <v>277731</v>
      </c>
      <c r="DR40" s="357">
        <v>0</v>
      </c>
      <c r="DS40" s="357">
        <v>0</v>
      </c>
      <c r="DT40" s="357">
        <v>0</v>
      </c>
      <c r="DU40" s="357">
        <v>0</v>
      </c>
      <c r="DV40" s="357">
        <v>0</v>
      </c>
      <c r="DW40" s="357">
        <v>277731</v>
      </c>
      <c r="DX40" s="357">
        <v>0</v>
      </c>
      <c r="DY40" s="357">
        <v>0</v>
      </c>
      <c r="DZ40" s="357">
        <v>277731</v>
      </c>
      <c r="EA40" s="357">
        <v>0</v>
      </c>
      <c r="EB40" s="357">
        <v>0</v>
      </c>
      <c r="EC40" s="357">
        <v>30000</v>
      </c>
      <c r="ED40" s="357">
        <v>0</v>
      </c>
      <c r="EE40" s="357">
        <v>0</v>
      </c>
      <c r="EF40" s="357">
        <v>30000</v>
      </c>
      <c r="EG40" s="357">
        <v>77000</v>
      </c>
      <c r="EH40" s="357">
        <v>0</v>
      </c>
      <c r="EI40" s="357">
        <v>0</v>
      </c>
      <c r="EJ40" s="357">
        <v>77000</v>
      </c>
      <c r="EK40" s="357">
        <v>2267000</v>
      </c>
      <c r="EL40" s="357">
        <v>0</v>
      </c>
      <c r="EM40" s="357">
        <v>0</v>
      </c>
      <c r="EN40" s="357">
        <v>2267000</v>
      </c>
      <c r="EO40" s="357">
        <v>2374000</v>
      </c>
      <c r="EP40" s="357">
        <v>0</v>
      </c>
      <c r="EQ40" s="357">
        <v>0</v>
      </c>
      <c r="ER40" s="357">
        <v>0</v>
      </c>
      <c r="ES40" s="357">
        <v>0</v>
      </c>
      <c r="ET40" s="357">
        <v>0</v>
      </c>
      <c r="EU40" s="357">
        <v>2374000</v>
      </c>
      <c r="EV40" s="357">
        <v>0</v>
      </c>
      <c r="EW40" s="357">
        <v>0</v>
      </c>
      <c r="EX40" s="357">
        <v>2374000</v>
      </c>
      <c r="EY40" s="357">
        <v>109063993</v>
      </c>
      <c r="EZ40" s="357">
        <v>0</v>
      </c>
      <c r="FA40" s="357">
        <v>0</v>
      </c>
      <c r="FB40" s="357">
        <v>109063993</v>
      </c>
      <c r="FC40" s="277">
        <v>0</v>
      </c>
      <c r="FD40" s="205"/>
    </row>
    <row r="41" spans="1:160" ht="12.75">
      <c r="A41" s="169">
        <v>34</v>
      </c>
      <c r="B41" s="172" t="s">
        <v>772</v>
      </c>
      <c r="C41" s="258" t="s">
        <v>773</v>
      </c>
      <c r="D41" s="235">
        <v>41639</v>
      </c>
      <c r="E41" s="357">
        <v>482526040</v>
      </c>
      <c r="F41" s="357">
        <v>26570686</v>
      </c>
      <c r="G41" s="357">
        <v>28654096</v>
      </c>
      <c r="H41" s="357">
        <v>537750822</v>
      </c>
      <c r="I41" s="357">
        <v>227269765</v>
      </c>
      <c r="J41" s="357">
        <v>12514793</v>
      </c>
      <c r="K41" s="357">
        <v>13496079</v>
      </c>
      <c r="L41" s="357">
        <v>-2690000</v>
      </c>
      <c r="M41" s="357">
        <v>-770000</v>
      </c>
      <c r="N41" s="357">
        <v>50000</v>
      </c>
      <c r="O41" s="357">
        <v>224579765</v>
      </c>
      <c r="P41" s="357">
        <v>11744793</v>
      </c>
      <c r="Q41" s="357">
        <v>13546079</v>
      </c>
      <c r="R41" s="357">
        <v>249870637</v>
      </c>
      <c r="S41" s="357">
        <v>1723068</v>
      </c>
      <c r="T41" s="357">
        <v>175</v>
      </c>
      <c r="U41" s="357">
        <v>35126</v>
      </c>
      <c r="V41" s="357">
        <v>1758369</v>
      </c>
      <c r="W41" s="357">
        <v>10842</v>
      </c>
      <c r="X41" s="357">
        <v>0</v>
      </c>
      <c r="Y41" s="357">
        <v>0</v>
      </c>
      <c r="Z41" s="357">
        <v>10842</v>
      </c>
      <c r="AA41" s="357">
        <v>1712226</v>
      </c>
      <c r="AB41" s="357">
        <v>175</v>
      </c>
      <c r="AC41" s="357">
        <v>35126</v>
      </c>
      <c r="AD41" s="357">
        <v>-100000</v>
      </c>
      <c r="AE41" s="357">
        <v>0</v>
      </c>
      <c r="AF41" s="357">
        <v>0</v>
      </c>
      <c r="AG41" s="357">
        <v>1612226</v>
      </c>
      <c r="AH41" s="357">
        <v>175</v>
      </c>
      <c r="AI41" s="357">
        <v>35126</v>
      </c>
      <c r="AJ41" s="357">
        <v>1647527</v>
      </c>
      <c r="AK41" s="357">
        <v>1612226</v>
      </c>
      <c r="AL41" s="357">
        <v>175</v>
      </c>
      <c r="AM41" s="357">
        <v>35126</v>
      </c>
      <c r="AN41" s="357">
        <v>1647527</v>
      </c>
      <c r="AO41" s="357">
        <v>5433026</v>
      </c>
      <c r="AP41" s="357">
        <v>4369</v>
      </c>
      <c r="AQ41" s="357">
        <v>35307</v>
      </c>
      <c r="AR41" s="357">
        <v>5472702</v>
      </c>
      <c r="AS41" s="357">
        <v>100000</v>
      </c>
      <c r="AT41" s="357">
        <v>0</v>
      </c>
      <c r="AU41" s="357">
        <v>0</v>
      </c>
      <c r="AV41" s="357">
        <v>100000</v>
      </c>
      <c r="AW41" s="357">
        <v>4692768</v>
      </c>
      <c r="AX41" s="357">
        <v>286569</v>
      </c>
      <c r="AY41" s="357">
        <v>297390</v>
      </c>
      <c r="AZ41" s="357">
        <v>5276727</v>
      </c>
      <c r="BA41" s="357">
        <v>740258</v>
      </c>
      <c r="BB41" s="357">
        <v>-282200</v>
      </c>
      <c r="BC41" s="357">
        <v>-262083</v>
      </c>
      <c r="BD41" s="357">
        <v>195975</v>
      </c>
      <c r="BE41" s="357">
        <v>15458054</v>
      </c>
      <c r="BF41" s="357">
        <v>296604</v>
      </c>
      <c r="BG41" s="357">
        <v>31130</v>
      </c>
      <c r="BH41" s="357">
        <v>15785788</v>
      </c>
      <c r="BI41" s="357">
        <v>147079</v>
      </c>
      <c r="BJ41" s="357">
        <v>0</v>
      </c>
      <c r="BK41" s="357">
        <v>0</v>
      </c>
      <c r="BL41" s="357">
        <v>147079</v>
      </c>
      <c r="BM41" s="357">
        <v>0</v>
      </c>
      <c r="BN41" s="357">
        <v>0</v>
      </c>
      <c r="BO41" s="357">
        <v>0</v>
      </c>
      <c r="BP41" s="357">
        <v>0</v>
      </c>
      <c r="BQ41" s="357">
        <v>16345391</v>
      </c>
      <c r="BR41" s="357">
        <v>14404</v>
      </c>
      <c r="BS41" s="357">
        <v>-230953</v>
      </c>
      <c r="BT41" s="357">
        <v>0</v>
      </c>
      <c r="BU41" s="357">
        <v>0</v>
      </c>
      <c r="BV41" s="357">
        <v>0</v>
      </c>
      <c r="BW41" s="357">
        <v>16345391</v>
      </c>
      <c r="BX41" s="357">
        <v>14404</v>
      </c>
      <c r="BY41" s="357">
        <v>-230953</v>
      </c>
      <c r="BZ41" s="357">
        <v>16128842</v>
      </c>
      <c r="CA41" s="357">
        <v>264943</v>
      </c>
      <c r="CB41" s="357">
        <v>135673</v>
      </c>
      <c r="CC41" s="357">
        <v>81015</v>
      </c>
      <c r="CD41" s="357">
        <v>481631</v>
      </c>
      <c r="CE41" s="357">
        <v>12115738</v>
      </c>
      <c r="CF41" s="357">
        <v>1249802</v>
      </c>
      <c r="CG41" s="357">
        <v>215914</v>
      </c>
      <c r="CH41" s="357">
        <v>13581454</v>
      </c>
      <c r="CI41" s="357">
        <v>12380681</v>
      </c>
      <c r="CJ41" s="357">
        <v>1385475</v>
      </c>
      <c r="CK41" s="357">
        <v>296929</v>
      </c>
      <c r="CL41" s="357">
        <v>-242000</v>
      </c>
      <c r="CM41" s="357">
        <v>-878000</v>
      </c>
      <c r="CN41" s="357">
        <v>-4000</v>
      </c>
      <c r="CO41" s="357">
        <v>12138681</v>
      </c>
      <c r="CP41" s="357">
        <v>507475</v>
      </c>
      <c r="CQ41" s="357">
        <v>292929</v>
      </c>
      <c r="CR41" s="357">
        <v>12939085</v>
      </c>
      <c r="CS41" s="357">
        <v>315304</v>
      </c>
      <c r="CT41" s="357">
        <v>0</v>
      </c>
      <c r="CU41" s="357">
        <v>0</v>
      </c>
      <c r="CV41" s="357">
        <v>315304</v>
      </c>
      <c r="CW41" s="357">
        <v>452634</v>
      </c>
      <c r="CX41" s="357">
        <v>4681</v>
      </c>
      <c r="CY41" s="357">
        <v>15482</v>
      </c>
      <c r="CZ41" s="357">
        <v>472797</v>
      </c>
      <c r="DA41" s="357">
        <v>5213</v>
      </c>
      <c r="DB41" s="357">
        <v>0</v>
      </c>
      <c r="DC41" s="357">
        <v>0</v>
      </c>
      <c r="DD41" s="357">
        <v>5213</v>
      </c>
      <c r="DE41" s="357">
        <v>0</v>
      </c>
      <c r="DF41" s="357">
        <v>0</v>
      </c>
      <c r="DG41" s="357">
        <v>0</v>
      </c>
      <c r="DH41" s="357">
        <v>0</v>
      </c>
      <c r="DI41" s="357">
        <v>0</v>
      </c>
      <c r="DJ41" s="357">
        <v>0</v>
      </c>
      <c r="DK41" s="357">
        <v>0</v>
      </c>
      <c r="DL41" s="357">
        <v>0</v>
      </c>
      <c r="DM41" s="357">
        <v>0</v>
      </c>
      <c r="DN41" s="357">
        <v>0</v>
      </c>
      <c r="DO41" s="357">
        <v>0</v>
      </c>
      <c r="DP41" s="357">
        <v>0</v>
      </c>
      <c r="DQ41" s="357">
        <v>773151</v>
      </c>
      <c r="DR41" s="357">
        <v>4681</v>
      </c>
      <c r="DS41" s="357">
        <v>15482</v>
      </c>
      <c r="DT41" s="357">
        <v>0</v>
      </c>
      <c r="DU41" s="357">
        <v>0</v>
      </c>
      <c r="DV41" s="357">
        <v>0</v>
      </c>
      <c r="DW41" s="357">
        <v>773151</v>
      </c>
      <c r="DX41" s="357">
        <v>4681</v>
      </c>
      <c r="DY41" s="357">
        <v>15482</v>
      </c>
      <c r="DZ41" s="357">
        <v>793314</v>
      </c>
      <c r="EA41" s="357">
        <v>280000</v>
      </c>
      <c r="EB41" s="357">
        <v>0</v>
      </c>
      <c r="EC41" s="357">
        <v>0</v>
      </c>
      <c r="ED41" s="357">
        <v>0</v>
      </c>
      <c r="EE41" s="357">
        <v>0</v>
      </c>
      <c r="EF41" s="357">
        <v>0</v>
      </c>
      <c r="EG41" s="357">
        <v>1015000</v>
      </c>
      <c r="EH41" s="357">
        <v>52000</v>
      </c>
      <c r="EI41" s="357">
        <v>183000</v>
      </c>
      <c r="EJ41" s="357">
        <v>1250000</v>
      </c>
      <c r="EK41" s="357">
        <v>1987000</v>
      </c>
      <c r="EL41" s="357">
        <v>12000</v>
      </c>
      <c r="EM41" s="357">
        <v>1000</v>
      </c>
      <c r="EN41" s="357">
        <v>2000000</v>
      </c>
      <c r="EO41" s="357">
        <v>3002000</v>
      </c>
      <c r="EP41" s="357">
        <v>64000</v>
      </c>
      <c r="EQ41" s="357">
        <v>184000</v>
      </c>
      <c r="ER41" s="357">
        <v>0</v>
      </c>
      <c r="ES41" s="357">
        <v>0</v>
      </c>
      <c r="ET41" s="357">
        <v>0</v>
      </c>
      <c r="EU41" s="357">
        <v>3002000</v>
      </c>
      <c r="EV41" s="357">
        <v>64000</v>
      </c>
      <c r="EW41" s="357">
        <v>184000</v>
      </c>
      <c r="EX41" s="357">
        <v>3250000</v>
      </c>
      <c r="EY41" s="357">
        <v>190708316</v>
      </c>
      <c r="EZ41" s="357">
        <v>11154058</v>
      </c>
      <c r="FA41" s="357">
        <v>13249495</v>
      </c>
      <c r="FB41" s="357">
        <v>215111869</v>
      </c>
      <c r="FC41" s="277">
        <v>0</v>
      </c>
      <c r="FD41" s="205"/>
    </row>
    <row r="42" spans="1:160" ht="12.75">
      <c r="A42" s="169">
        <v>35</v>
      </c>
      <c r="B42" s="172" t="s">
        <v>774</v>
      </c>
      <c r="C42" s="258" t="s">
        <v>775</v>
      </c>
      <c r="D42" s="235">
        <v>80114</v>
      </c>
      <c r="E42" s="357">
        <v>73131411</v>
      </c>
      <c r="F42" s="357">
        <v>0</v>
      </c>
      <c r="G42" s="357">
        <v>0</v>
      </c>
      <c r="H42" s="357">
        <v>73131411</v>
      </c>
      <c r="I42" s="357">
        <v>34444895</v>
      </c>
      <c r="J42" s="357">
        <v>0</v>
      </c>
      <c r="K42" s="357">
        <v>0</v>
      </c>
      <c r="L42" s="357">
        <v>172224</v>
      </c>
      <c r="M42" s="357">
        <v>0</v>
      </c>
      <c r="N42" s="357">
        <v>0</v>
      </c>
      <c r="O42" s="357">
        <v>34617119</v>
      </c>
      <c r="P42" s="357">
        <v>0</v>
      </c>
      <c r="Q42" s="357">
        <v>0</v>
      </c>
      <c r="R42" s="357">
        <v>34617119</v>
      </c>
      <c r="S42" s="357">
        <v>43664</v>
      </c>
      <c r="T42" s="357">
        <v>0</v>
      </c>
      <c r="U42" s="357">
        <v>0</v>
      </c>
      <c r="V42" s="357">
        <v>43664</v>
      </c>
      <c r="W42" s="357">
        <v>45449</v>
      </c>
      <c r="X42" s="357">
        <v>0</v>
      </c>
      <c r="Y42" s="357">
        <v>0</v>
      </c>
      <c r="Z42" s="357">
        <v>45449</v>
      </c>
      <c r="AA42" s="357">
        <v>-1785</v>
      </c>
      <c r="AB42" s="357">
        <v>0</v>
      </c>
      <c r="AC42" s="357">
        <v>0</v>
      </c>
      <c r="AD42" s="357">
        <v>0</v>
      </c>
      <c r="AE42" s="357">
        <v>0</v>
      </c>
      <c r="AF42" s="357">
        <v>0</v>
      </c>
      <c r="AG42" s="357">
        <v>-1785</v>
      </c>
      <c r="AH42" s="357">
        <v>0</v>
      </c>
      <c r="AI42" s="357">
        <v>0</v>
      </c>
      <c r="AJ42" s="357">
        <v>-1785</v>
      </c>
      <c r="AK42" s="357">
        <v>-1785</v>
      </c>
      <c r="AL42" s="357">
        <v>0</v>
      </c>
      <c r="AM42" s="357">
        <v>0</v>
      </c>
      <c r="AN42" s="357">
        <v>-1785</v>
      </c>
      <c r="AO42" s="357">
        <v>2410094.54</v>
      </c>
      <c r="AP42" s="357">
        <v>0</v>
      </c>
      <c r="AQ42" s="357">
        <v>0</v>
      </c>
      <c r="AR42" s="357">
        <v>2410094.54</v>
      </c>
      <c r="AS42" s="357">
        <v>12000</v>
      </c>
      <c r="AT42" s="357">
        <v>0</v>
      </c>
      <c r="AU42" s="357">
        <v>0</v>
      </c>
      <c r="AV42" s="357">
        <v>12000</v>
      </c>
      <c r="AW42" s="357">
        <v>662907</v>
      </c>
      <c r="AX42" s="357">
        <v>0</v>
      </c>
      <c r="AY42" s="357">
        <v>0</v>
      </c>
      <c r="AZ42" s="357">
        <v>662907</v>
      </c>
      <c r="BA42" s="357">
        <v>1747187.54</v>
      </c>
      <c r="BB42" s="357">
        <v>0</v>
      </c>
      <c r="BC42" s="357">
        <v>0</v>
      </c>
      <c r="BD42" s="357">
        <v>1747187.54</v>
      </c>
      <c r="BE42" s="357">
        <v>1337126</v>
      </c>
      <c r="BF42" s="357">
        <v>0</v>
      </c>
      <c r="BG42" s="357">
        <v>0</v>
      </c>
      <c r="BH42" s="357">
        <v>1337126</v>
      </c>
      <c r="BI42" s="357">
        <v>38973</v>
      </c>
      <c r="BJ42" s="357">
        <v>0</v>
      </c>
      <c r="BK42" s="357">
        <v>0</v>
      </c>
      <c r="BL42" s="357">
        <v>38973</v>
      </c>
      <c r="BM42" s="357">
        <v>54591</v>
      </c>
      <c r="BN42" s="357">
        <v>0</v>
      </c>
      <c r="BO42" s="357">
        <v>0</v>
      </c>
      <c r="BP42" s="357">
        <v>54591</v>
      </c>
      <c r="BQ42" s="357">
        <v>3177877.54</v>
      </c>
      <c r="BR42" s="357">
        <v>0</v>
      </c>
      <c r="BS42" s="357">
        <v>0</v>
      </c>
      <c r="BT42" s="357">
        <v>229000</v>
      </c>
      <c r="BU42" s="357">
        <v>0</v>
      </c>
      <c r="BV42" s="357">
        <v>0</v>
      </c>
      <c r="BW42" s="357">
        <v>3406877.54</v>
      </c>
      <c r="BX42" s="357">
        <v>0</v>
      </c>
      <c r="BY42" s="357">
        <v>0</v>
      </c>
      <c r="BZ42" s="357">
        <v>3406877.54</v>
      </c>
      <c r="CA42" s="357">
        <v>40000</v>
      </c>
      <c r="CB42" s="357">
        <v>0</v>
      </c>
      <c r="CC42" s="357">
        <v>0</v>
      </c>
      <c r="CD42" s="357">
        <v>40000</v>
      </c>
      <c r="CE42" s="357">
        <v>568805</v>
      </c>
      <c r="CF42" s="357">
        <v>0</v>
      </c>
      <c r="CG42" s="357">
        <v>0</v>
      </c>
      <c r="CH42" s="357">
        <v>568805</v>
      </c>
      <c r="CI42" s="357">
        <v>608805</v>
      </c>
      <c r="CJ42" s="357">
        <v>0</v>
      </c>
      <c r="CK42" s="357">
        <v>0</v>
      </c>
      <c r="CL42" s="357">
        <v>181195</v>
      </c>
      <c r="CM42" s="357">
        <v>0</v>
      </c>
      <c r="CN42" s="357">
        <v>0</v>
      </c>
      <c r="CO42" s="357">
        <v>790000</v>
      </c>
      <c r="CP42" s="357">
        <v>0</v>
      </c>
      <c r="CQ42" s="357">
        <v>0</v>
      </c>
      <c r="CR42" s="357">
        <v>790000</v>
      </c>
      <c r="CS42" s="357">
        <v>13438</v>
      </c>
      <c r="CT42" s="357">
        <v>0</v>
      </c>
      <c r="CU42" s="357">
        <v>0</v>
      </c>
      <c r="CV42" s="357">
        <v>13438</v>
      </c>
      <c r="CW42" s="357">
        <v>56937</v>
      </c>
      <c r="CX42" s="357">
        <v>0</v>
      </c>
      <c r="CY42" s="357">
        <v>0</v>
      </c>
      <c r="CZ42" s="357">
        <v>56937</v>
      </c>
      <c r="DA42" s="357">
        <v>0</v>
      </c>
      <c r="DB42" s="357">
        <v>0</v>
      </c>
      <c r="DC42" s="357">
        <v>0</v>
      </c>
      <c r="DD42" s="357">
        <v>0</v>
      </c>
      <c r="DE42" s="357">
        <v>54591</v>
      </c>
      <c r="DF42" s="357">
        <v>0</v>
      </c>
      <c r="DG42" s="357">
        <v>0</v>
      </c>
      <c r="DH42" s="357">
        <v>54591</v>
      </c>
      <c r="DI42" s="357">
        <v>9779</v>
      </c>
      <c r="DJ42" s="357">
        <v>0</v>
      </c>
      <c r="DK42" s="357">
        <v>0</v>
      </c>
      <c r="DL42" s="357">
        <v>9779</v>
      </c>
      <c r="DM42" s="357">
        <v>0</v>
      </c>
      <c r="DN42" s="357">
        <v>0</v>
      </c>
      <c r="DO42" s="357">
        <v>0</v>
      </c>
      <c r="DP42" s="357">
        <v>0</v>
      </c>
      <c r="DQ42" s="357">
        <v>134745</v>
      </c>
      <c r="DR42" s="357">
        <v>0</v>
      </c>
      <c r="DS42" s="357">
        <v>0</v>
      </c>
      <c r="DT42" s="357">
        <v>0</v>
      </c>
      <c r="DU42" s="357">
        <v>0</v>
      </c>
      <c r="DV42" s="357">
        <v>0</v>
      </c>
      <c r="DW42" s="357">
        <v>134745</v>
      </c>
      <c r="DX42" s="357">
        <v>0</v>
      </c>
      <c r="DY42" s="357">
        <v>0</v>
      </c>
      <c r="DZ42" s="357">
        <v>134745</v>
      </c>
      <c r="EA42" s="357">
        <v>0</v>
      </c>
      <c r="EB42" s="357">
        <v>0</v>
      </c>
      <c r="EC42" s="357">
        <v>50000</v>
      </c>
      <c r="ED42" s="357">
        <v>0</v>
      </c>
      <c r="EE42" s="357">
        <v>0</v>
      </c>
      <c r="EF42" s="357">
        <v>50000</v>
      </c>
      <c r="EG42" s="357">
        <v>25000</v>
      </c>
      <c r="EH42" s="357">
        <v>0</v>
      </c>
      <c r="EI42" s="357">
        <v>0</v>
      </c>
      <c r="EJ42" s="357">
        <v>25000</v>
      </c>
      <c r="EK42" s="357">
        <v>325000</v>
      </c>
      <c r="EL42" s="357">
        <v>0</v>
      </c>
      <c r="EM42" s="357">
        <v>0</v>
      </c>
      <c r="EN42" s="357">
        <v>325000</v>
      </c>
      <c r="EO42" s="357">
        <v>400000</v>
      </c>
      <c r="EP42" s="357">
        <v>0</v>
      </c>
      <c r="EQ42" s="357">
        <v>0</v>
      </c>
      <c r="ER42" s="357">
        <v>0</v>
      </c>
      <c r="ES42" s="357">
        <v>0</v>
      </c>
      <c r="ET42" s="357">
        <v>0</v>
      </c>
      <c r="EU42" s="357">
        <v>400000</v>
      </c>
      <c r="EV42" s="357">
        <v>0</v>
      </c>
      <c r="EW42" s="357">
        <v>0</v>
      </c>
      <c r="EX42" s="357">
        <v>400000</v>
      </c>
      <c r="EY42" s="357">
        <v>29887281.5</v>
      </c>
      <c r="EZ42" s="357">
        <v>0</v>
      </c>
      <c r="FA42" s="357">
        <v>0</v>
      </c>
      <c r="FB42" s="357">
        <v>29887281.5</v>
      </c>
      <c r="FC42" s="277">
        <v>0</v>
      </c>
      <c r="FD42" s="205"/>
    </row>
    <row r="43" spans="1:160" ht="12.75">
      <c r="A43" s="169">
        <v>36</v>
      </c>
      <c r="B43" s="172" t="s">
        <v>776</v>
      </c>
      <c r="C43" s="258" t="s">
        <v>777</v>
      </c>
      <c r="D43" s="235">
        <v>41639</v>
      </c>
      <c r="E43" s="357">
        <v>215646834</v>
      </c>
      <c r="F43" s="357">
        <v>0</v>
      </c>
      <c r="G43" s="357">
        <v>0</v>
      </c>
      <c r="H43" s="357">
        <v>215646834</v>
      </c>
      <c r="I43" s="357">
        <v>101569659</v>
      </c>
      <c r="J43" s="357">
        <v>0</v>
      </c>
      <c r="K43" s="357">
        <v>0</v>
      </c>
      <c r="L43" s="357">
        <v>0</v>
      </c>
      <c r="M43" s="357">
        <v>0</v>
      </c>
      <c r="N43" s="357">
        <v>0</v>
      </c>
      <c r="O43" s="357">
        <v>101569659</v>
      </c>
      <c r="P43" s="357">
        <v>0</v>
      </c>
      <c r="Q43" s="357">
        <v>0</v>
      </c>
      <c r="R43" s="357">
        <v>101569659</v>
      </c>
      <c r="S43" s="357">
        <v>47397</v>
      </c>
      <c r="T43" s="357">
        <v>0</v>
      </c>
      <c r="U43" s="357">
        <v>0</v>
      </c>
      <c r="V43" s="357">
        <v>47397</v>
      </c>
      <c r="W43" s="357">
        <v>28270</v>
      </c>
      <c r="X43" s="357">
        <v>0</v>
      </c>
      <c r="Y43" s="357">
        <v>0</v>
      </c>
      <c r="Z43" s="357">
        <v>28270</v>
      </c>
      <c r="AA43" s="357">
        <v>19127</v>
      </c>
      <c r="AB43" s="357">
        <v>0</v>
      </c>
      <c r="AC43" s="357">
        <v>0</v>
      </c>
      <c r="AD43" s="357">
        <v>0</v>
      </c>
      <c r="AE43" s="357">
        <v>0</v>
      </c>
      <c r="AF43" s="357">
        <v>0</v>
      </c>
      <c r="AG43" s="357">
        <v>19127</v>
      </c>
      <c r="AH43" s="357">
        <v>0</v>
      </c>
      <c r="AI43" s="357">
        <v>0</v>
      </c>
      <c r="AJ43" s="357">
        <v>19127</v>
      </c>
      <c r="AK43" s="357">
        <v>19127</v>
      </c>
      <c r="AL43" s="357">
        <v>0</v>
      </c>
      <c r="AM43" s="357">
        <v>0</v>
      </c>
      <c r="AN43" s="357">
        <v>19127</v>
      </c>
      <c r="AO43" s="357">
        <v>4267467</v>
      </c>
      <c r="AP43" s="357">
        <v>0</v>
      </c>
      <c r="AQ43" s="357">
        <v>0</v>
      </c>
      <c r="AR43" s="357">
        <v>4267467</v>
      </c>
      <c r="AS43" s="357">
        <v>0</v>
      </c>
      <c r="AT43" s="357">
        <v>0</v>
      </c>
      <c r="AU43" s="357">
        <v>0</v>
      </c>
      <c r="AV43" s="357">
        <v>0</v>
      </c>
      <c r="AW43" s="357">
        <v>1917578</v>
      </c>
      <c r="AX43" s="357">
        <v>0</v>
      </c>
      <c r="AY43" s="357">
        <v>0</v>
      </c>
      <c r="AZ43" s="357">
        <v>1917578</v>
      </c>
      <c r="BA43" s="357">
        <v>2349889</v>
      </c>
      <c r="BB43" s="357">
        <v>0</v>
      </c>
      <c r="BC43" s="357">
        <v>0</v>
      </c>
      <c r="BD43" s="357">
        <v>2349889</v>
      </c>
      <c r="BE43" s="357">
        <v>7869564</v>
      </c>
      <c r="BF43" s="357">
        <v>0</v>
      </c>
      <c r="BG43" s="357">
        <v>0</v>
      </c>
      <c r="BH43" s="357">
        <v>7869564</v>
      </c>
      <c r="BI43" s="357">
        <v>164239</v>
      </c>
      <c r="BJ43" s="357">
        <v>0</v>
      </c>
      <c r="BK43" s="357">
        <v>0</v>
      </c>
      <c r="BL43" s="357">
        <v>164239</v>
      </c>
      <c r="BM43" s="357">
        <v>0</v>
      </c>
      <c r="BN43" s="357">
        <v>0</v>
      </c>
      <c r="BO43" s="357">
        <v>0</v>
      </c>
      <c r="BP43" s="357">
        <v>0</v>
      </c>
      <c r="BQ43" s="357">
        <v>10383692</v>
      </c>
      <c r="BR43" s="357">
        <v>0</v>
      </c>
      <c r="BS43" s="357">
        <v>0</v>
      </c>
      <c r="BT43" s="357">
        <v>0</v>
      </c>
      <c r="BU43" s="357">
        <v>0</v>
      </c>
      <c r="BV43" s="357">
        <v>0</v>
      </c>
      <c r="BW43" s="357">
        <v>10383692</v>
      </c>
      <c r="BX43" s="357">
        <v>0</v>
      </c>
      <c r="BY43" s="357">
        <v>0</v>
      </c>
      <c r="BZ43" s="357">
        <v>10383692</v>
      </c>
      <c r="CA43" s="357">
        <v>0</v>
      </c>
      <c r="CB43" s="357">
        <v>0</v>
      </c>
      <c r="CC43" s="357">
        <v>0</v>
      </c>
      <c r="CD43" s="357">
        <v>0</v>
      </c>
      <c r="CE43" s="357">
        <v>3395269</v>
      </c>
      <c r="CF43" s="357">
        <v>0</v>
      </c>
      <c r="CG43" s="357">
        <v>0</v>
      </c>
      <c r="CH43" s="357">
        <v>3395269</v>
      </c>
      <c r="CI43" s="357">
        <v>3395269</v>
      </c>
      <c r="CJ43" s="357">
        <v>0</v>
      </c>
      <c r="CK43" s="357">
        <v>0</v>
      </c>
      <c r="CL43" s="357">
        <v>0</v>
      </c>
      <c r="CM43" s="357">
        <v>0</v>
      </c>
      <c r="CN43" s="357">
        <v>0</v>
      </c>
      <c r="CO43" s="357">
        <v>3395269</v>
      </c>
      <c r="CP43" s="357">
        <v>0</v>
      </c>
      <c r="CQ43" s="357">
        <v>0</v>
      </c>
      <c r="CR43" s="357">
        <v>3395269</v>
      </c>
      <c r="CS43" s="357">
        <v>214403</v>
      </c>
      <c r="CT43" s="357">
        <v>0</v>
      </c>
      <c r="CU43" s="357">
        <v>0</v>
      </c>
      <c r="CV43" s="357">
        <v>214403</v>
      </c>
      <c r="CW43" s="357">
        <v>199210</v>
      </c>
      <c r="CX43" s="357">
        <v>0</v>
      </c>
      <c r="CY43" s="357">
        <v>0</v>
      </c>
      <c r="CZ43" s="357">
        <v>199210</v>
      </c>
      <c r="DA43" s="357">
        <v>41060</v>
      </c>
      <c r="DB43" s="357">
        <v>0</v>
      </c>
      <c r="DC43" s="357">
        <v>0</v>
      </c>
      <c r="DD43" s="357">
        <v>41060</v>
      </c>
      <c r="DE43" s="357">
        <v>0</v>
      </c>
      <c r="DF43" s="357">
        <v>0</v>
      </c>
      <c r="DG43" s="357">
        <v>0</v>
      </c>
      <c r="DH43" s="357">
        <v>0</v>
      </c>
      <c r="DI43" s="357">
        <v>0</v>
      </c>
      <c r="DJ43" s="357">
        <v>0</v>
      </c>
      <c r="DK43" s="357">
        <v>0</v>
      </c>
      <c r="DL43" s="357">
        <v>0</v>
      </c>
      <c r="DM43" s="357">
        <v>0</v>
      </c>
      <c r="DN43" s="357">
        <v>0</v>
      </c>
      <c r="DO43" s="357">
        <v>0</v>
      </c>
      <c r="DP43" s="357">
        <v>0</v>
      </c>
      <c r="DQ43" s="357">
        <v>454673</v>
      </c>
      <c r="DR43" s="357">
        <v>0</v>
      </c>
      <c r="DS43" s="357">
        <v>0</v>
      </c>
      <c r="DT43" s="357">
        <v>0</v>
      </c>
      <c r="DU43" s="357">
        <v>0</v>
      </c>
      <c r="DV43" s="357">
        <v>0</v>
      </c>
      <c r="DW43" s="357">
        <v>454673</v>
      </c>
      <c r="DX43" s="357">
        <v>0</v>
      </c>
      <c r="DY43" s="357">
        <v>0</v>
      </c>
      <c r="DZ43" s="357">
        <v>454673</v>
      </c>
      <c r="EA43" s="357">
        <v>0</v>
      </c>
      <c r="EB43" s="357">
        <v>0</v>
      </c>
      <c r="EC43" s="357">
        <v>0</v>
      </c>
      <c r="ED43" s="357">
        <v>0</v>
      </c>
      <c r="EE43" s="357">
        <v>0</v>
      </c>
      <c r="EF43" s="357">
        <v>0</v>
      </c>
      <c r="EG43" s="357">
        <v>107418</v>
      </c>
      <c r="EH43" s="357">
        <v>0</v>
      </c>
      <c r="EI43" s="357">
        <v>0</v>
      </c>
      <c r="EJ43" s="357">
        <v>107418</v>
      </c>
      <c r="EK43" s="357">
        <v>1937189</v>
      </c>
      <c r="EL43" s="357">
        <v>0</v>
      </c>
      <c r="EM43" s="357">
        <v>0</v>
      </c>
      <c r="EN43" s="357">
        <v>1937189</v>
      </c>
      <c r="EO43" s="357">
        <v>2044607</v>
      </c>
      <c r="EP43" s="357">
        <v>0</v>
      </c>
      <c r="EQ43" s="357">
        <v>0</v>
      </c>
      <c r="ER43" s="357">
        <v>0</v>
      </c>
      <c r="ES43" s="357">
        <v>0</v>
      </c>
      <c r="ET43" s="357">
        <v>0</v>
      </c>
      <c r="EU43" s="357">
        <v>2044607</v>
      </c>
      <c r="EV43" s="357">
        <v>0</v>
      </c>
      <c r="EW43" s="357">
        <v>0</v>
      </c>
      <c r="EX43" s="357">
        <v>2044607</v>
      </c>
      <c r="EY43" s="357">
        <v>85272291</v>
      </c>
      <c r="EZ43" s="357">
        <v>0</v>
      </c>
      <c r="FA43" s="357">
        <v>0</v>
      </c>
      <c r="FB43" s="357">
        <v>85272291</v>
      </c>
      <c r="FC43" s="277">
        <v>0</v>
      </c>
      <c r="FD43" s="205"/>
    </row>
    <row r="44" spans="1:160" ht="12.75">
      <c r="A44" s="169">
        <v>37</v>
      </c>
      <c r="B44" s="172" t="s">
        <v>778</v>
      </c>
      <c r="C44" s="258" t="s">
        <v>779</v>
      </c>
      <c r="D44" s="235">
        <v>0</v>
      </c>
      <c r="E44" s="357">
        <v>68467506</v>
      </c>
      <c r="F44" s="357">
        <v>0</v>
      </c>
      <c r="G44" s="357">
        <v>0</v>
      </c>
      <c r="H44" s="357">
        <v>68467506</v>
      </c>
      <c r="I44" s="357">
        <v>32248195</v>
      </c>
      <c r="J44" s="357">
        <v>0</v>
      </c>
      <c r="K44" s="357">
        <v>0</v>
      </c>
      <c r="L44" s="357">
        <v>-41933</v>
      </c>
      <c r="M44" s="357">
        <v>0</v>
      </c>
      <c r="N44" s="357">
        <v>0</v>
      </c>
      <c r="O44" s="357">
        <v>32206262</v>
      </c>
      <c r="P44" s="357">
        <v>0</v>
      </c>
      <c r="Q44" s="357">
        <v>0</v>
      </c>
      <c r="R44" s="357">
        <v>32206262</v>
      </c>
      <c r="S44" s="357">
        <v>77370.55</v>
      </c>
      <c r="T44" s="357">
        <v>0</v>
      </c>
      <c r="U44" s="357">
        <v>0</v>
      </c>
      <c r="V44" s="357">
        <v>77370.55</v>
      </c>
      <c r="W44" s="357">
        <v>1085.57</v>
      </c>
      <c r="X44" s="357">
        <v>0</v>
      </c>
      <c r="Y44" s="357">
        <v>0</v>
      </c>
      <c r="Z44" s="357">
        <v>1085.57</v>
      </c>
      <c r="AA44" s="357">
        <v>76284.98</v>
      </c>
      <c r="AB44" s="357">
        <v>0</v>
      </c>
      <c r="AC44" s="357">
        <v>0</v>
      </c>
      <c r="AD44" s="357">
        <v>0</v>
      </c>
      <c r="AE44" s="357">
        <v>0</v>
      </c>
      <c r="AF44" s="357">
        <v>0</v>
      </c>
      <c r="AG44" s="357">
        <v>76284.98</v>
      </c>
      <c r="AH44" s="357">
        <v>0</v>
      </c>
      <c r="AI44" s="357">
        <v>0</v>
      </c>
      <c r="AJ44" s="357">
        <v>76284.98</v>
      </c>
      <c r="AK44" s="357">
        <v>76284.98</v>
      </c>
      <c r="AL44" s="357">
        <v>0</v>
      </c>
      <c r="AM44" s="357">
        <v>0</v>
      </c>
      <c r="AN44" s="357">
        <v>76284.98</v>
      </c>
      <c r="AO44" s="357">
        <v>1840900.67</v>
      </c>
      <c r="AP44" s="357">
        <v>0</v>
      </c>
      <c r="AQ44" s="357">
        <v>0</v>
      </c>
      <c r="AR44" s="357">
        <v>1840900.67</v>
      </c>
      <c r="AS44" s="357">
        <v>0</v>
      </c>
      <c r="AT44" s="357">
        <v>0</v>
      </c>
      <c r="AU44" s="357">
        <v>0</v>
      </c>
      <c r="AV44" s="357">
        <v>0</v>
      </c>
      <c r="AW44" s="357">
        <v>613144</v>
      </c>
      <c r="AX44" s="357">
        <v>0</v>
      </c>
      <c r="AY44" s="357">
        <v>0</v>
      </c>
      <c r="AZ44" s="357">
        <v>613144</v>
      </c>
      <c r="BA44" s="357">
        <v>1227756.67</v>
      </c>
      <c r="BB44" s="357">
        <v>0</v>
      </c>
      <c r="BC44" s="357">
        <v>0</v>
      </c>
      <c r="BD44" s="357">
        <v>1227756.67</v>
      </c>
      <c r="BE44" s="357">
        <v>1984229.26</v>
      </c>
      <c r="BF44" s="357">
        <v>0</v>
      </c>
      <c r="BG44" s="357">
        <v>0</v>
      </c>
      <c r="BH44" s="357">
        <v>1984229.26</v>
      </c>
      <c r="BI44" s="357">
        <v>15501.12</v>
      </c>
      <c r="BJ44" s="357">
        <v>0</v>
      </c>
      <c r="BK44" s="357">
        <v>0</v>
      </c>
      <c r="BL44" s="357">
        <v>15501.12</v>
      </c>
      <c r="BM44" s="357">
        <v>2156.95</v>
      </c>
      <c r="BN44" s="357">
        <v>0</v>
      </c>
      <c r="BO44" s="357">
        <v>0</v>
      </c>
      <c r="BP44" s="357">
        <v>2156.95</v>
      </c>
      <c r="BQ44" s="357">
        <v>3229644</v>
      </c>
      <c r="BR44" s="357">
        <v>0</v>
      </c>
      <c r="BS44" s="357">
        <v>0</v>
      </c>
      <c r="BT44" s="357">
        <v>280000</v>
      </c>
      <c r="BU44" s="357">
        <v>0</v>
      </c>
      <c r="BV44" s="357">
        <v>0</v>
      </c>
      <c r="BW44" s="357">
        <v>3509644</v>
      </c>
      <c r="BX44" s="357">
        <v>0</v>
      </c>
      <c r="BY44" s="357">
        <v>0</v>
      </c>
      <c r="BZ44" s="357">
        <v>3509644</v>
      </c>
      <c r="CA44" s="357">
        <v>70000</v>
      </c>
      <c r="CB44" s="357">
        <v>0</v>
      </c>
      <c r="CC44" s="357">
        <v>0</v>
      </c>
      <c r="CD44" s="357">
        <v>70000</v>
      </c>
      <c r="CE44" s="357">
        <v>673893</v>
      </c>
      <c r="CF44" s="357">
        <v>0</v>
      </c>
      <c r="CG44" s="357">
        <v>0</v>
      </c>
      <c r="CH44" s="357">
        <v>673893</v>
      </c>
      <c r="CI44" s="357">
        <v>743893</v>
      </c>
      <c r="CJ44" s="357">
        <v>0</v>
      </c>
      <c r="CK44" s="357">
        <v>0</v>
      </c>
      <c r="CL44" s="357">
        <v>120000</v>
      </c>
      <c r="CM44" s="357">
        <v>0</v>
      </c>
      <c r="CN44" s="357">
        <v>0</v>
      </c>
      <c r="CO44" s="357">
        <v>863893</v>
      </c>
      <c r="CP44" s="357">
        <v>0</v>
      </c>
      <c r="CQ44" s="357">
        <v>0</v>
      </c>
      <c r="CR44" s="357">
        <v>863893</v>
      </c>
      <c r="CS44" s="357">
        <v>125578</v>
      </c>
      <c r="CT44" s="357">
        <v>0</v>
      </c>
      <c r="CU44" s="357">
        <v>0</v>
      </c>
      <c r="CV44" s="357">
        <v>125578</v>
      </c>
      <c r="CW44" s="357">
        <v>136395</v>
      </c>
      <c r="CX44" s="357">
        <v>0</v>
      </c>
      <c r="CY44" s="357">
        <v>0</v>
      </c>
      <c r="CZ44" s="357">
        <v>136395</v>
      </c>
      <c r="DA44" s="357">
        <v>3504</v>
      </c>
      <c r="DB44" s="357">
        <v>0</v>
      </c>
      <c r="DC44" s="357">
        <v>0</v>
      </c>
      <c r="DD44" s="357">
        <v>3504</v>
      </c>
      <c r="DE44" s="357">
        <v>1524</v>
      </c>
      <c r="DF44" s="357">
        <v>0</v>
      </c>
      <c r="DG44" s="357">
        <v>0</v>
      </c>
      <c r="DH44" s="357">
        <v>1524</v>
      </c>
      <c r="DI44" s="357">
        <v>0</v>
      </c>
      <c r="DJ44" s="357">
        <v>0</v>
      </c>
      <c r="DK44" s="357">
        <v>0</v>
      </c>
      <c r="DL44" s="357">
        <v>0</v>
      </c>
      <c r="DM44" s="357">
        <v>0</v>
      </c>
      <c r="DN44" s="357">
        <v>0</v>
      </c>
      <c r="DO44" s="357">
        <v>0</v>
      </c>
      <c r="DP44" s="357">
        <v>0</v>
      </c>
      <c r="DQ44" s="357">
        <v>267001</v>
      </c>
      <c r="DR44" s="357">
        <v>0</v>
      </c>
      <c r="DS44" s="357">
        <v>0</v>
      </c>
      <c r="DT44" s="357">
        <v>0</v>
      </c>
      <c r="DU44" s="357">
        <v>0</v>
      </c>
      <c r="DV44" s="357">
        <v>0</v>
      </c>
      <c r="DW44" s="357">
        <v>267001</v>
      </c>
      <c r="DX44" s="357">
        <v>0</v>
      </c>
      <c r="DY44" s="357">
        <v>0</v>
      </c>
      <c r="DZ44" s="357">
        <v>267001</v>
      </c>
      <c r="EA44" s="357">
        <v>0</v>
      </c>
      <c r="EB44" s="357">
        <v>0</v>
      </c>
      <c r="EC44" s="357">
        <v>0</v>
      </c>
      <c r="ED44" s="357">
        <v>0</v>
      </c>
      <c r="EE44" s="357">
        <v>0</v>
      </c>
      <c r="EF44" s="357">
        <v>0</v>
      </c>
      <c r="EG44" s="357">
        <v>6447</v>
      </c>
      <c r="EH44" s="357">
        <v>0</v>
      </c>
      <c r="EI44" s="357">
        <v>0</v>
      </c>
      <c r="EJ44" s="357">
        <v>6447</v>
      </c>
      <c r="EK44" s="357">
        <v>427063</v>
      </c>
      <c r="EL44" s="357">
        <v>0</v>
      </c>
      <c r="EM44" s="357">
        <v>0</v>
      </c>
      <c r="EN44" s="357">
        <v>427063</v>
      </c>
      <c r="EO44" s="357">
        <v>433510</v>
      </c>
      <c r="EP44" s="357">
        <v>0</v>
      </c>
      <c r="EQ44" s="357">
        <v>0</v>
      </c>
      <c r="ER44" s="357">
        <v>0</v>
      </c>
      <c r="ES44" s="357">
        <v>0</v>
      </c>
      <c r="ET44" s="357">
        <v>0</v>
      </c>
      <c r="EU44" s="357">
        <v>433510</v>
      </c>
      <c r="EV44" s="357">
        <v>0</v>
      </c>
      <c r="EW44" s="357">
        <v>0</v>
      </c>
      <c r="EX44" s="357">
        <v>433510</v>
      </c>
      <c r="EY44" s="357">
        <v>27055929</v>
      </c>
      <c r="EZ44" s="357">
        <v>0</v>
      </c>
      <c r="FA44" s="357">
        <v>0</v>
      </c>
      <c r="FB44" s="357">
        <v>27055929</v>
      </c>
      <c r="FC44" s="277">
        <v>0</v>
      </c>
      <c r="FD44" s="205"/>
    </row>
    <row r="45" spans="1:160" ht="12.75">
      <c r="A45" s="169">
        <v>38</v>
      </c>
      <c r="B45" s="172" t="s">
        <v>780</v>
      </c>
      <c r="C45" s="258" t="s">
        <v>781</v>
      </c>
      <c r="D45" s="235">
        <v>41639</v>
      </c>
      <c r="E45" s="357">
        <v>95297400</v>
      </c>
      <c r="F45" s="357">
        <v>0</v>
      </c>
      <c r="G45" s="357">
        <v>0</v>
      </c>
      <c r="H45" s="357">
        <v>95297400</v>
      </c>
      <c r="I45" s="357">
        <v>44885075</v>
      </c>
      <c r="J45" s="357">
        <v>0</v>
      </c>
      <c r="K45" s="357">
        <v>0</v>
      </c>
      <c r="L45" s="357">
        <v>0</v>
      </c>
      <c r="M45" s="357">
        <v>0</v>
      </c>
      <c r="N45" s="357">
        <v>0</v>
      </c>
      <c r="O45" s="357">
        <v>44885075</v>
      </c>
      <c r="P45" s="357">
        <v>0</v>
      </c>
      <c r="Q45" s="357">
        <v>0</v>
      </c>
      <c r="R45" s="357">
        <v>44885075</v>
      </c>
      <c r="S45" s="357">
        <v>23445</v>
      </c>
      <c r="T45" s="357">
        <v>0</v>
      </c>
      <c r="U45" s="357">
        <v>0</v>
      </c>
      <c r="V45" s="357">
        <v>23445</v>
      </c>
      <c r="W45" s="357">
        <v>448896</v>
      </c>
      <c r="X45" s="357">
        <v>0</v>
      </c>
      <c r="Y45" s="357">
        <v>0</v>
      </c>
      <c r="Z45" s="357">
        <v>448896</v>
      </c>
      <c r="AA45" s="357">
        <v>-425451</v>
      </c>
      <c r="AB45" s="357">
        <v>0</v>
      </c>
      <c r="AC45" s="357">
        <v>0</v>
      </c>
      <c r="AD45" s="357">
        <v>0</v>
      </c>
      <c r="AE45" s="357">
        <v>0</v>
      </c>
      <c r="AF45" s="357">
        <v>0</v>
      </c>
      <c r="AG45" s="357">
        <v>-425451</v>
      </c>
      <c r="AH45" s="357">
        <v>0</v>
      </c>
      <c r="AI45" s="357">
        <v>0</v>
      </c>
      <c r="AJ45" s="357">
        <v>-425451</v>
      </c>
      <c r="AK45" s="357">
        <v>-425451</v>
      </c>
      <c r="AL45" s="357">
        <v>0</v>
      </c>
      <c r="AM45" s="357">
        <v>0</v>
      </c>
      <c r="AN45" s="357">
        <v>-425451</v>
      </c>
      <c r="AO45" s="357">
        <v>1306000</v>
      </c>
      <c r="AP45" s="357">
        <v>0</v>
      </c>
      <c r="AQ45" s="357">
        <v>0</v>
      </c>
      <c r="AR45" s="357">
        <v>1306000</v>
      </c>
      <c r="AS45" s="357">
        <v>0</v>
      </c>
      <c r="AT45" s="357">
        <v>0</v>
      </c>
      <c r="AU45" s="357">
        <v>0</v>
      </c>
      <c r="AV45" s="357">
        <v>0</v>
      </c>
      <c r="AW45" s="357">
        <v>1048271</v>
      </c>
      <c r="AX45" s="357">
        <v>0</v>
      </c>
      <c r="AY45" s="357">
        <v>0</v>
      </c>
      <c r="AZ45" s="357">
        <v>1048271</v>
      </c>
      <c r="BA45" s="357">
        <v>257729</v>
      </c>
      <c r="BB45" s="357">
        <v>0</v>
      </c>
      <c r="BC45" s="357">
        <v>0</v>
      </c>
      <c r="BD45" s="357">
        <v>257729</v>
      </c>
      <c r="BE45" s="357">
        <v>1634000</v>
      </c>
      <c r="BF45" s="357">
        <v>0</v>
      </c>
      <c r="BG45" s="357">
        <v>0</v>
      </c>
      <c r="BH45" s="357">
        <v>1634000</v>
      </c>
      <c r="BI45" s="357">
        <v>70500</v>
      </c>
      <c r="BJ45" s="357">
        <v>0</v>
      </c>
      <c r="BK45" s="357">
        <v>0</v>
      </c>
      <c r="BL45" s="357">
        <v>70500</v>
      </c>
      <c r="BM45" s="357">
        <v>0</v>
      </c>
      <c r="BN45" s="357">
        <v>0</v>
      </c>
      <c r="BO45" s="357">
        <v>0</v>
      </c>
      <c r="BP45" s="357">
        <v>0</v>
      </c>
      <c r="BQ45" s="357">
        <v>1962229</v>
      </c>
      <c r="BR45" s="357">
        <v>0</v>
      </c>
      <c r="BS45" s="357">
        <v>0</v>
      </c>
      <c r="BT45" s="357">
        <v>0</v>
      </c>
      <c r="BU45" s="357">
        <v>0</v>
      </c>
      <c r="BV45" s="357">
        <v>0</v>
      </c>
      <c r="BW45" s="357">
        <v>1962229</v>
      </c>
      <c r="BX45" s="357">
        <v>0</v>
      </c>
      <c r="BY45" s="357">
        <v>0</v>
      </c>
      <c r="BZ45" s="357">
        <v>1962229</v>
      </c>
      <c r="CA45" s="357">
        <v>40000</v>
      </c>
      <c r="CB45" s="357">
        <v>0</v>
      </c>
      <c r="CC45" s="357">
        <v>0</v>
      </c>
      <c r="CD45" s="357">
        <v>40000</v>
      </c>
      <c r="CE45" s="357">
        <v>716825</v>
      </c>
      <c r="CF45" s="357">
        <v>0</v>
      </c>
      <c r="CG45" s="357">
        <v>0</v>
      </c>
      <c r="CH45" s="357">
        <v>716825</v>
      </c>
      <c r="CI45" s="357">
        <v>756825</v>
      </c>
      <c r="CJ45" s="357">
        <v>0</v>
      </c>
      <c r="CK45" s="357">
        <v>0</v>
      </c>
      <c r="CL45" s="357">
        <v>0</v>
      </c>
      <c r="CM45" s="357">
        <v>0</v>
      </c>
      <c r="CN45" s="357">
        <v>0</v>
      </c>
      <c r="CO45" s="357">
        <v>756825</v>
      </c>
      <c r="CP45" s="357">
        <v>0</v>
      </c>
      <c r="CQ45" s="357">
        <v>0</v>
      </c>
      <c r="CR45" s="357">
        <v>756825</v>
      </c>
      <c r="CS45" s="357">
        <v>93250</v>
      </c>
      <c r="CT45" s="357">
        <v>0</v>
      </c>
      <c r="CU45" s="357">
        <v>0</v>
      </c>
      <c r="CV45" s="357">
        <v>93250</v>
      </c>
      <c r="CW45" s="357">
        <v>11500</v>
      </c>
      <c r="CX45" s="357">
        <v>0</v>
      </c>
      <c r="CY45" s="357">
        <v>0</v>
      </c>
      <c r="CZ45" s="357">
        <v>11500</v>
      </c>
      <c r="DA45" s="357">
        <v>0</v>
      </c>
      <c r="DB45" s="357">
        <v>0</v>
      </c>
      <c r="DC45" s="357">
        <v>0</v>
      </c>
      <c r="DD45" s="357">
        <v>0</v>
      </c>
      <c r="DE45" s="357">
        <v>0</v>
      </c>
      <c r="DF45" s="357">
        <v>0</v>
      </c>
      <c r="DG45" s="357">
        <v>0</v>
      </c>
      <c r="DH45" s="357">
        <v>0</v>
      </c>
      <c r="DI45" s="357">
        <v>0</v>
      </c>
      <c r="DJ45" s="357">
        <v>0</v>
      </c>
      <c r="DK45" s="357">
        <v>0</v>
      </c>
      <c r="DL45" s="357">
        <v>0</v>
      </c>
      <c r="DM45" s="357">
        <v>5000</v>
      </c>
      <c r="DN45" s="357">
        <v>0</v>
      </c>
      <c r="DO45" s="357">
        <v>0</v>
      </c>
      <c r="DP45" s="357">
        <v>5000</v>
      </c>
      <c r="DQ45" s="357">
        <v>109750</v>
      </c>
      <c r="DR45" s="357">
        <v>0</v>
      </c>
      <c r="DS45" s="357">
        <v>0</v>
      </c>
      <c r="DT45" s="357">
        <v>0</v>
      </c>
      <c r="DU45" s="357">
        <v>0</v>
      </c>
      <c r="DV45" s="357">
        <v>0</v>
      </c>
      <c r="DW45" s="357">
        <v>109750</v>
      </c>
      <c r="DX45" s="357">
        <v>0</v>
      </c>
      <c r="DY45" s="357">
        <v>0</v>
      </c>
      <c r="DZ45" s="357">
        <v>109750</v>
      </c>
      <c r="EA45" s="357">
        <v>0</v>
      </c>
      <c r="EB45" s="357">
        <v>0</v>
      </c>
      <c r="EC45" s="357">
        <v>0</v>
      </c>
      <c r="ED45" s="357">
        <v>0</v>
      </c>
      <c r="EE45" s="357">
        <v>0</v>
      </c>
      <c r="EF45" s="357">
        <v>0</v>
      </c>
      <c r="EG45" s="357">
        <v>250000</v>
      </c>
      <c r="EH45" s="357">
        <v>0</v>
      </c>
      <c r="EI45" s="357">
        <v>0</v>
      </c>
      <c r="EJ45" s="357">
        <v>250000</v>
      </c>
      <c r="EK45" s="357">
        <v>625000</v>
      </c>
      <c r="EL45" s="357">
        <v>0</v>
      </c>
      <c r="EM45" s="357">
        <v>0</v>
      </c>
      <c r="EN45" s="357">
        <v>625000</v>
      </c>
      <c r="EO45" s="357">
        <v>875000</v>
      </c>
      <c r="EP45" s="357">
        <v>0</v>
      </c>
      <c r="EQ45" s="357">
        <v>0</v>
      </c>
      <c r="ER45" s="357">
        <v>0</v>
      </c>
      <c r="ES45" s="357">
        <v>0</v>
      </c>
      <c r="ET45" s="357">
        <v>0</v>
      </c>
      <c r="EU45" s="357">
        <v>875000</v>
      </c>
      <c r="EV45" s="357">
        <v>0</v>
      </c>
      <c r="EW45" s="357">
        <v>0</v>
      </c>
      <c r="EX45" s="357">
        <v>875000</v>
      </c>
      <c r="EY45" s="357">
        <v>41606722</v>
      </c>
      <c r="EZ45" s="357">
        <v>0</v>
      </c>
      <c r="FA45" s="357">
        <v>0</v>
      </c>
      <c r="FB45" s="357">
        <v>41606722</v>
      </c>
      <c r="FC45" s="277">
        <v>0</v>
      </c>
      <c r="FD45" s="205"/>
    </row>
    <row r="46" spans="1:160" ht="12.75">
      <c r="A46" s="169">
        <v>39</v>
      </c>
      <c r="B46" s="172" t="s">
        <v>782</v>
      </c>
      <c r="C46" s="258" t="s">
        <v>783</v>
      </c>
      <c r="D46" s="235">
        <v>31013</v>
      </c>
      <c r="E46" s="357">
        <v>58413978</v>
      </c>
      <c r="F46" s="357">
        <v>0</v>
      </c>
      <c r="G46" s="357">
        <v>2525925</v>
      </c>
      <c r="H46" s="357">
        <v>60939903</v>
      </c>
      <c r="I46" s="357">
        <v>27512984</v>
      </c>
      <c r="J46" s="357">
        <v>0</v>
      </c>
      <c r="K46" s="357">
        <v>1189711</v>
      </c>
      <c r="L46" s="357">
        <v>0</v>
      </c>
      <c r="M46" s="357">
        <v>0</v>
      </c>
      <c r="N46" s="357">
        <v>-475884</v>
      </c>
      <c r="O46" s="357">
        <v>27512984</v>
      </c>
      <c r="P46" s="357">
        <v>0</v>
      </c>
      <c r="Q46" s="357">
        <v>713827</v>
      </c>
      <c r="R46" s="357">
        <v>28226811</v>
      </c>
      <c r="S46" s="357">
        <v>4998.65</v>
      </c>
      <c r="T46" s="357">
        <v>0</v>
      </c>
      <c r="U46" s="357">
        <v>0</v>
      </c>
      <c r="V46" s="357">
        <v>4998.65</v>
      </c>
      <c r="W46" s="357">
        <v>17846.15</v>
      </c>
      <c r="X46" s="357">
        <v>0</v>
      </c>
      <c r="Y46" s="357">
        <v>102.34</v>
      </c>
      <c r="Z46" s="357">
        <v>17948.49</v>
      </c>
      <c r="AA46" s="357">
        <v>-12847.5</v>
      </c>
      <c r="AB46" s="357">
        <v>0</v>
      </c>
      <c r="AC46" s="357">
        <v>-102.34</v>
      </c>
      <c r="AD46" s="357">
        <v>0</v>
      </c>
      <c r="AE46" s="357">
        <v>0</v>
      </c>
      <c r="AF46" s="357">
        <v>0</v>
      </c>
      <c r="AG46" s="357">
        <v>-12847.5</v>
      </c>
      <c r="AH46" s="357">
        <v>0</v>
      </c>
      <c r="AI46" s="357">
        <v>-102.34</v>
      </c>
      <c r="AJ46" s="357">
        <v>-12949.84</v>
      </c>
      <c r="AK46" s="357">
        <v>-12847.5</v>
      </c>
      <c r="AL46" s="357">
        <v>0</v>
      </c>
      <c r="AM46" s="357">
        <v>-102.34</v>
      </c>
      <c r="AN46" s="357">
        <v>-12949.84</v>
      </c>
      <c r="AO46" s="357">
        <v>1486002.78</v>
      </c>
      <c r="AP46" s="357">
        <v>0</v>
      </c>
      <c r="AQ46" s="357">
        <v>16671</v>
      </c>
      <c r="AR46" s="357">
        <v>1502673.78</v>
      </c>
      <c r="AS46" s="357">
        <v>0</v>
      </c>
      <c r="AT46" s="357">
        <v>0</v>
      </c>
      <c r="AU46" s="357">
        <v>0</v>
      </c>
      <c r="AV46" s="357">
        <v>0</v>
      </c>
      <c r="AW46" s="357">
        <v>549795.41</v>
      </c>
      <c r="AX46" s="357">
        <v>0</v>
      </c>
      <c r="AY46" s="357">
        <v>15428</v>
      </c>
      <c r="AZ46" s="357">
        <v>565223.41</v>
      </c>
      <c r="BA46" s="357">
        <v>936207.37</v>
      </c>
      <c r="BB46" s="357">
        <v>0</v>
      </c>
      <c r="BC46" s="357">
        <v>1243</v>
      </c>
      <c r="BD46" s="357">
        <v>937450.37</v>
      </c>
      <c r="BE46" s="357">
        <v>965741.03</v>
      </c>
      <c r="BF46" s="357">
        <v>0</v>
      </c>
      <c r="BG46" s="357">
        <v>0</v>
      </c>
      <c r="BH46" s="357">
        <v>965741.03</v>
      </c>
      <c r="BI46" s="357">
        <v>0</v>
      </c>
      <c r="BJ46" s="357">
        <v>0</v>
      </c>
      <c r="BK46" s="357">
        <v>0</v>
      </c>
      <c r="BL46" s="357">
        <v>0</v>
      </c>
      <c r="BM46" s="357">
        <v>2760.66</v>
      </c>
      <c r="BN46" s="357">
        <v>0</v>
      </c>
      <c r="BO46" s="357">
        <v>0</v>
      </c>
      <c r="BP46" s="357">
        <v>2760.66</v>
      </c>
      <c r="BQ46" s="357">
        <v>1904709.06</v>
      </c>
      <c r="BR46" s="357">
        <v>0</v>
      </c>
      <c r="BS46" s="357">
        <v>1243</v>
      </c>
      <c r="BT46" s="357">
        <v>0</v>
      </c>
      <c r="BU46" s="357">
        <v>0</v>
      </c>
      <c r="BV46" s="357">
        <v>0</v>
      </c>
      <c r="BW46" s="357">
        <v>1904709.06</v>
      </c>
      <c r="BX46" s="357">
        <v>0</v>
      </c>
      <c r="BY46" s="357">
        <v>1243</v>
      </c>
      <c r="BZ46" s="357">
        <v>1905952.06</v>
      </c>
      <c r="CA46" s="357">
        <v>0</v>
      </c>
      <c r="CB46" s="357">
        <v>0</v>
      </c>
      <c r="CC46" s="357">
        <v>0</v>
      </c>
      <c r="CD46" s="357">
        <v>0</v>
      </c>
      <c r="CE46" s="357">
        <v>451479</v>
      </c>
      <c r="CF46" s="357">
        <v>0</v>
      </c>
      <c r="CG46" s="357">
        <v>55000</v>
      </c>
      <c r="CH46" s="357">
        <v>506479</v>
      </c>
      <c r="CI46" s="357">
        <v>451479</v>
      </c>
      <c r="CJ46" s="357">
        <v>0</v>
      </c>
      <c r="CK46" s="357">
        <v>55000</v>
      </c>
      <c r="CL46" s="357">
        <v>0</v>
      </c>
      <c r="CM46" s="357">
        <v>0</v>
      </c>
      <c r="CN46" s="357">
        <v>0</v>
      </c>
      <c r="CO46" s="357">
        <v>451479</v>
      </c>
      <c r="CP46" s="357">
        <v>0</v>
      </c>
      <c r="CQ46" s="357">
        <v>55000</v>
      </c>
      <c r="CR46" s="357">
        <v>506479</v>
      </c>
      <c r="CS46" s="357">
        <v>32669</v>
      </c>
      <c r="CT46" s="357">
        <v>0</v>
      </c>
      <c r="CU46" s="357">
        <v>0</v>
      </c>
      <c r="CV46" s="357">
        <v>32669</v>
      </c>
      <c r="CW46" s="357">
        <v>50631</v>
      </c>
      <c r="CX46" s="357">
        <v>0</v>
      </c>
      <c r="CY46" s="357">
        <v>15424</v>
      </c>
      <c r="CZ46" s="357">
        <v>66055</v>
      </c>
      <c r="DA46" s="357">
        <v>0</v>
      </c>
      <c r="DB46" s="357">
        <v>0</v>
      </c>
      <c r="DC46" s="357">
        <v>0</v>
      </c>
      <c r="DD46" s="357">
        <v>0</v>
      </c>
      <c r="DE46" s="357">
        <v>2760.66</v>
      </c>
      <c r="DF46" s="357">
        <v>0</v>
      </c>
      <c r="DG46" s="357">
        <v>0</v>
      </c>
      <c r="DH46" s="357">
        <v>2760.66</v>
      </c>
      <c r="DI46" s="357">
        <v>0</v>
      </c>
      <c r="DJ46" s="357">
        <v>0</v>
      </c>
      <c r="DK46" s="357">
        <v>0</v>
      </c>
      <c r="DL46" s="357">
        <v>0</v>
      </c>
      <c r="DM46" s="357">
        <v>0</v>
      </c>
      <c r="DN46" s="357">
        <v>0</v>
      </c>
      <c r="DO46" s="357">
        <v>0</v>
      </c>
      <c r="DP46" s="357">
        <v>0</v>
      </c>
      <c r="DQ46" s="357">
        <v>86060.66</v>
      </c>
      <c r="DR46" s="357">
        <v>0</v>
      </c>
      <c r="DS46" s="357">
        <v>15424</v>
      </c>
      <c r="DT46" s="357">
        <v>0</v>
      </c>
      <c r="DU46" s="357">
        <v>0</v>
      </c>
      <c r="DV46" s="357">
        <v>0</v>
      </c>
      <c r="DW46" s="357">
        <v>86060.66</v>
      </c>
      <c r="DX46" s="357">
        <v>0</v>
      </c>
      <c r="DY46" s="357">
        <v>15424</v>
      </c>
      <c r="DZ46" s="357">
        <v>101484.66</v>
      </c>
      <c r="EA46" s="357">
        <v>0</v>
      </c>
      <c r="EB46" s="357">
        <v>0</v>
      </c>
      <c r="EC46" s="357">
        <v>0</v>
      </c>
      <c r="ED46" s="357">
        <v>0</v>
      </c>
      <c r="EE46" s="357">
        <v>0</v>
      </c>
      <c r="EF46" s="357">
        <v>0</v>
      </c>
      <c r="EG46" s="357">
        <v>0</v>
      </c>
      <c r="EH46" s="357">
        <v>0</v>
      </c>
      <c r="EI46" s="357">
        <v>0</v>
      </c>
      <c r="EJ46" s="357">
        <v>0</v>
      </c>
      <c r="EK46" s="357">
        <v>250000</v>
      </c>
      <c r="EL46" s="357">
        <v>0</v>
      </c>
      <c r="EM46" s="357">
        <v>0</v>
      </c>
      <c r="EN46" s="357">
        <v>250000</v>
      </c>
      <c r="EO46" s="357">
        <v>250000</v>
      </c>
      <c r="EP46" s="357">
        <v>0</v>
      </c>
      <c r="EQ46" s="357">
        <v>0</v>
      </c>
      <c r="ER46" s="357">
        <v>0</v>
      </c>
      <c r="ES46" s="357">
        <v>0</v>
      </c>
      <c r="ET46" s="357">
        <v>0</v>
      </c>
      <c r="EU46" s="357">
        <v>250000</v>
      </c>
      <c r="EV46" s="357">
        <v>0</v>
      </c>
      <c r="EW46" s="357">
        <v>0</v>
      </c>
      <c r="EX46" s="357">
        <v>250000</v>
      </c>
      <c r="EY46" s="357">
        <v>24833582.8</v>
      </c>
      <c r="EZ46" s="357">
        <v>0</v>
      </c>
      <c r="FA46" s="357">
        <v>642262.34</v>
      </c>
      <c r="FB46" s="357">
        <v>25475845.1</v>
      </c>
      <c r="FC46" s="277">
        <v>0</v>
      </c>
      <c r="FD46" s="205"/>
    </row>
    <row r="47" spans="1:160" ht="12.75">
      <c r="A47" s="169">
        <v>40</v>
      </c>
      <c r="B47" s="172" t="s">
        <v>784</v>
      </c>
      <c r="C47" s="258" t="s">
        <v>785</v>
      </c>
      <c r="D47" s="235">
        <v>41654</v>
      </c>
      <c r="E47" s="357">
        <v>72109075</v>
      </c>
      <c r="F47" s="357">
        <v>0</v>
      </c>
      <c r="G47" s="357">
        <v>0</v>
      </c>
      <c r="H47" s="357">
        <v>72109075</v>
      </c>
      <c r="I47" s="357">
        <v>33963374</v>
      </c>
      <c r="J47" s="357">
        <v>0</v>
      </c>
      <c r="K47" s="357">
        <v>0</v>
      </c>
      <c r="L47" s="357">
        <v>425004</v>
      </c>
      <c r="M47" s="357">
        <v>0</v>
      </c>
      <c r="N47" s="357">
        <v>0</v>
      </c>
      <c r="O47" s="357">
        <v>34388378</v>
      </c>
      <c r="P47" s="357">
        <v>0</v>
      </c>
      <c r="Q47" s="357">
        <v>0</v>
      </c>
      <c r="R47" s="357">
        <v>34388378</v>
      </c>
      <c r="S47" s="357">
        <v>59055</v>
      </c>
      <c r="T47" s="357">
        <v>0</v>
      </c>
      <c r="U47" s="357">
        <v>0</v>
      </c>
      <c r="V47" s="357">
        <v>59055</v>
      </c>
      <c r="W47" s="357">
        <v>733</v>
      </c>
      <c r="X47" s="357">
        <v>0</v>
      </c>
      <c r="Y47" s="357">
        <v>0</v>
      </c>
      <c r="Z47" s="357">
        <v>733</v>
      </c>
      <c r="AA47" s="357">
        <v>58322</v>
      </c>
      <c r="AB47" s="357">
        <v>0</v>
      </c>
      <c r="AC47" s="357">
        <v>0</v>
      </c>
      <c r="AD47" s="357">
        <v>0</v>
      </c>
      <c r="AE47" s="357">
        <v>0</v>
      </c>
      <c r="AF47" s="357">
        <v>0</v>
      </c>
      <c r="AG47" s="357">
        <v>58322</v>
      </c>
      <c r="AH47" s="357">
        <v>0</v>
      </c>
      <c r="AI47" s="357">
        <v>0</v>
      </c>
      <c r="AJ47" s="357">
        <v>58322</v>
      </c>
      <c r="AK47" s="357">
        <v>58322</v>
      </c>
      <c r="AL47" s="357">
        <v>0</v>
      </c>
      <c r="AM47" s="357">
        <v>0</v>
      </c>
      <c r="AN47" s="357">
        <v>58322</v>
      </c>
      <c r="AO47" s="357">
        <v>2450005</v>
      </c>
      <c r="AP47" s="357">
        <v>0</v>
      </c>
      <c r="AQ47" s="357">
        <v>0</v>
      </c>
      <c r="AR47" s="357">
        <v>2450005</v>
      </c>
      <c r="AS47" s="357">
        <v>6063</v>
      </c>
      <c r="AT47" s="357">
        <v>0</v>
      </c>
      <c r="AU47" s="357">
        <v>0</v>
      </c>
      <c r="AV47" s="357">
        <v>6063</v>
      </c>
      <c r="AW47" s="357">
        <v>661143</v>
      </c>
      <c r="AX47" s="357">
        <v>0</v>
      </c>
      <c r="AY47" s="357">
        <v>0</v>
      </c>
      <c r="AZ47" s="357">
        <v>661143</v>
      </c>
      <c r="BA47" s="357">
        <v>1788862</v>
      </c>
      <c r="BB47" s="357">
        <v>0</v>
      </c>
      <c r="BC47" s="357">
        <v>0</v>
      </c>
      <c r="BD47" s="357">
        <v>1788862</v>
      </c>
      <c r="BE47" s="357">
        <v>2223684</v>
      </c>
      <c r="BF47" s="357">
        <v>0</v>
      </c>
      <c r="BG47" s="357">
        <v>0</v>
      </c>
      <c r="BH47" s="357">
        <v>2223684</v>
      </c>
      <c r="BI47" s="357">
        <v>28162</v>
      </c>
      <c r="BJ47" s="357">
        <v>0</v>
      </c>
      <c r="BK47" s="357">
        <v>0</v>
      </c>
      <c r="BL47" s="357">
        <v>28162</v>
      </c>
      <c r="BM47" s="357">
        <v>3565</v>
      </c>
      <c r="BN47" s="357">
        <v>0</v>
      </c>
      <c r="BO47" s="357">
        <v>0</v>
      </c>
      <c r="BP47" s="357">
        <v>3565</v>
      </c>
      <c r="BQ47" s="357">
        <v>4044273</v>
      </c>
      <c r="BR47" s="357">
        <v>0</v>
      </c>
      <c r="BS47" s="357">
        <v>0</v>
      </c>
      <c r="BT47" s="357">
        <v>0</v>
      </c>
      <c r="BU47" s="357">
        <v>0</v>
      </c>
      <c r="BV47" s="357">
        <v>0</v>
      </c>
      <c r="BW47" s="357">
        <v>4044273</v>
      </c>
      <c r="BX47" s="357">
        <v>0</v>
      </c>
      <c r="BY47" s="357">
        <v>0</v>
      </c>
      <c r="BZ47" s="357">
        <v>4044273</v>
      </c>
      <c r="CA47" s="357">
        <v>40489</v>
      </c>
      <c r="CB47" s="357">
        <v>0</v>
      </c>
      <c r="CC47" s="357">
        <v>0</v>
      </c>
      <c r="CD47" s="357">
        <v>40489</v>
      </c>
      <c r="CE47" s="357">
        <v>1323826</v>
      </c>
      <c r="CF47" s="357">
        <v>0</v>
      </c>
      <c r="CG47" s="357">
        <v>0</v>
      </c>
      <c r="CH47" s="357">
        <v>1323826</v>
      </c>
      <c r="CI47" s="357">
        <v>1364315</v>
      </c>
      <c r="CJ47" s="357">
        <v>0</v>
      </c>
      <c r="CK47" s="357">
        <v>0</v>
      </c>
      <c r="CL47" s="357">
        <v>-56273</v>
      </c>
      <c r="CM47" s="357">
        <v>0</v>
      </c>
      <c r="CN47" s="357">
        <v>0</v>
      </c>
      <c r="CO47" s="357">
        <v>1308042</v>
      </c>
      <c r="CP47" s="357">
        <v>0</v>
      </c>
      <c r="CQ47" s="357">
        <v>0</v>
      </c>
      <c r="CR47" s="357">
        <v>1308042</v>
      </c>
      <c r="CS47" s="357">
        <v>87636</v>
      </c>
      <c r="CT47" s="357">
        <v>0</v>
      </c>
      <c r="CU47" s="357">
        <v>0</v>
      </c>
      <c r="CV47" s="357">
        <v>87636</v>
      </c>
      <c r="CW47" s="357">
        <v>79074</v>
      </c>
      <c r="CX47" s="357">
        <v>0</v>
      </c>
      <c r="CY47" s="357">
        <v>0</v>
      </c>
      <c r="CZ47" s="357">
        <v>79074</v>
      </c>
      <c r="DA47" s="357">
        <v>0</v>
      </c>
      <c r="DB47" s="357">
        <v>0</v>
      </c>
      <c r="DC47" s="357">
        <v>0</v>
      </c>
      <c r="DD47" s="357">
        <v>0</v>
      </c>
      <c r="DE47" s="357">
        <v>0</v>
      </c>
      <c r="DF47" s="357">
        <v>0</v>
      </c>
      <c r="DG47" s="357">
        <v>0</v>
      </c>
      <c r="DH47" s="357">
        <v>0</v>
      </c>
      <c r="DI47" s="357">
        <v>0</v>
      </c>
      <c r="DJ47" s="357">
        <v>0</v>
      </c>
      <c r="DK47" s="357">
        <v>0</v>
      </c>
      <c r="DL47" s="357">
        <v>0</v>
      </c>
      <c r="DM47" s="357">
        <v>0</v>
      </c>
      <c r="DN47" s="357">
        <v>0</v>
      </c>
      <c r="DO47" s="357">
        <v>0</v>
      </c>
      <c r="DP47" s="357">
        <v>0</v>
      </c>
      <c r="DQ47" s="357">
        <v>166710</v>
      </c>
      <c r="DR47" s="357">
        <v>0</v>
      </c>
      <c r="DS47" s="357">
        <v>0</v>
      </c>
      <c r="DT47" s="357">
        <v>0</v>
      </c>
      <c r="DU47" s="357">
        <v>0</v>
      </c>
      <c r="DV47" s="357">
        <v>0</v>
      </c>
      <c r="DW47" s="357">
        <v>166710</v>
      </c>
      <c r="DX47" s="357">
        <v>0</v>
      </c>
      <c r="DY47" s="357">
        <v>0</v>
      </c>
      <c r="DZ47" s="357">
        <v>166710</v>
      </c>
      <c r="EA47" s="357">
        <v>0</v>
      </c>
      <c r="EB47" s="357">
        <v>0</v>
      </c>
      <c r="EC47" s="357">
        <v>66695</v>
      </c>
      <c r="ED47" s="357">
        <v>0</v>
      </c>
      <c r="EE47" s="357">
        <v>0</v>
      </c>
      <c r="EF47" s="357">
        <v>66695</v>
      </c>
      <c r="EG47" s="357">
        <v>6063</v>
      </c>
      <c r="EH47" s="357">
        <v>0</v>
      </c>
      <c r="EI47" s="357">
        <v>0</v>
      </c>
      <c r="EJ47" s="357">
        <v>6063</v>
      </c>
      <c r="EK47" s="357">
        <v>424424</v>
      </c>
      <c r="EL47" s="357">
        <v>0</v>
      </c>
      <c r="EM47" s="357">
        <v>0</v>
      </c>
      <c r="EN47" s="357">
        <v>424424</v>
      </c>
      <c r="EO47" s="357">
        <v>497182</v>
      </c>
      <c r="EP47" s="357">
        <v>0</v>
      </c>
      <c r="EQ47" s="357">
        <v>0</v>
      </c>
      <c r="ER47" s="357">
        <v>0</v>
      </c>
      <c r="ES47" s="357">
        <v>0</v>
      </c>
      <c r="ET47" s="357">
        <v>0</v>
      </c>
      <c r="EU47" s="357">
        <v>497182</v>
      </c>
      <c r="EV47" s="357">
        <v>0</v>
      </c>
      <c r="EW47" s="357">
        <v>0</v>
      </c>
      <c r="EX47" s="357">
        <v>497182</v>
      </c>
      <c r="EY47" s="357">
        <v>28313849</v>
      </c>
      <c r="EZ47" s="357">
        <v>0</v>
      </c>
      <c r="FA47" s="357">
        <v>0</v>
      </c>
      <c r="FB47" s="357">
        <v>28313849</v>
      </c>
      <c r="FC47" s="277">
        <v>0</v>
      </c>
      <c r="FD47" s="205"/>
    </row>
    <row r="48" spans="1:160" ht="12.75">
      <c r="A48" s="169">
        <v>41</v>
      </c>
      <c r="B48" s="172" t="s">
        <v>786</v>
      </c>
      <c r="C48" s="258" t="s">
        <v>787</v>
      </c>
      <c r="D48" s="235">
        <v>311213</v>
      </c>
      <c r="E48" s="357">
        <v>128060600</v>
      </c>
      <c r="F48" s="357">
        <v>0</v>
      </c>
      <c r="G48" s="357">
        <v>0</v>
      </c>
      <c r="H48" s="357">
        <v>128060600</v>
      </c>
      <c r="I48" s="357">
        <v>60316543</v>
      </c>
      <c r="J48" s="357">
        <v>0</v>
      </c>
      <c r="K48" s="357">
        <v>0</v>
      </c>
      <c r="L48" s="357">
        <v>0</v>
      </c>
      <c r="M48" s="357">
        <v>0</v>
      </c>
      <c r="N48" s="357">
        <v>0</v>
      </c>
      <c r="O48" s="357">
        <v>60316543</v>
      </c>
      <c r="P48" s="357">
        <v>0</v>
      </c>
      <c r="Q48" s="357">
        <v>0</v>
      </c>
      <c r="R48" s="357">
        <v>60316543</v>
      </c>
      <c r="S48" s="357">
        <v>86978</v>
      </c>
      <c r="T48" s="357">
        <v>0</v>
      </c>
      <c r="U48" s="357">
        <v>0</v>
      </c>
      <c r="V48" s="357">
        <v>86978</v>
      </c>
      <c r="W48" s="357">
        <v>37872</v>
      </c>
      <c r="X48" s="357">
        <v>0</v>
      </c>
      <c r="Y48" s="357">
        <v>0</v>
      </c>
      <c r="Z48" s="357">
        <v>37872</v>
      </c>
      <c r="AA48" s="357">
        <v>49106</v>
      </c>
      <c r="AB48" s="357">
        <v>0</v>
      </c>
      <c r="AC48" s="357">
        <v>0</v>
      </c>
      <c r="AD48" s="357">
        <v>0</v>
      </c>
      <c r="AE48" s="357">
        <v>0</v>
      </c>
      <c r="AF48" s="357">
        <v>0</v>
      </c>
      <c r="AG48" s="357">
        <v>49106</v>
      </c>
      <c r="AH48" s="357">
        <v>0</v>
      </c>
      <c r="AI48" s="357">
        <v>0</v>
      </c>
      <c r="AJ48" s="357">
        <v>49106</v>
      </c>
      <c r="AK48" s="357">
        <v>49106</v>
      </c>
      <c r="AL48" s="357">
        <v>0</v>
      </c>
      <c r="AM48" s="357">
        <v>0</v>
      </c>
      <c r="AN48" s="357">
        <v>49106</v>
      </c>
      <c r="AO48" s="357">
        <v>4344796</v>
      </c>
      <c r="AP48" s="357">
        <v>0</v>
      </c>
      <c r="AQ48" s="357">
        <v>0</v>
      </c>
      <c r="AR48" s="357">
        <v>4344796</v>
      </c>
      <c r="AS48" s="357">
        <v>0</v>
      </c>
      <c r="AT48" s="357">
        <v>0</v>
      </c>
      <c r="AU48" s="357">
        <v>0</v>
      </c>
      <c r="AV48" s="357">
        <v>0</v>
      </c>
      <c r="AW48" s="357">
        <v>1151200</v>
      </c>
      <c r="AX48" s="357">
        <v>0</v>
      </c>
      <c r="AY48" s="357">
        <v>0</v>
      </c>
      <c r="AZ48" s="357">
        <v>1151200</v>
      </c>
      <c r="BA48" s="357">
        <v>3193596</v>
      </c>
      <c r="BB48" s="357">
        <v>0</v>
      </c>
      <c r="BC48" s="357">
        <v>0</v>
      </c>
      <c r="BD48" s="357">
        <v>3193596</v>
      </c>
      <c r="BE48" s="357">
        <v>2188636</v>
      </c>
      <c r="BF48" s="357">
        <v>0</v>
      </c>
      <c r="BG48" s="357">
        <v>0</v>
      </c>
      <c r="BH48" s="357">
        <v>2188636</v>
      </c>
      <c r="BI48" s="357">
        <v>89377</v>
      </c>
      <c r="BJ48" s="357">
        <v>0</v>
      </c>
      <c r="BK48" s="357">
        <v>0</v>
      </c>
      <c r="BL48" s="357">
        <v>89377</v>
      </c>
      <c r="BM48" s="357">
        <v>1512</v>
      </c>
      <c r="BN48" s="357">
        <v>0</v>
      </c>
      <c r="BO48" s="357">
        <v>0</v>
      </c>
      <c r="BP48" s="357">
        <v>1512</v>
      </c>
      <c r="BQ48" s="357">
        <v>5473121</v>
      </c>
      <c r="BR48" s="357">
        <v>0</v>
      </c>
      <c r="BS48" s="357">
        <v>0</v>
      </c>
      <c r="BT48" s="357">
        <v>0</v>
      </c>
      <c r="BU48" s="357">
        <v>0</v>
      </c>
      <c r="BV48" s="357">
        <v>0</v>
      </c>
      <c r="BW48" s="357">
        <v>5473121</v>
      </c>
      <c r="BX48" s="357">
        <v>0</v>
      </c>
      <c r="BY48" s="357">
        <v>0</v>
      </c>
      <c r="BZ48" s="357">
        <v>5473121</v>
      </c>
      <c r="CA48" s="357">
        <v>0</v>
      </c>
      <c r="CB48" s="357">
        <v>0</v>
      </c>
      <c r="CC48" s="357">
        <v>0</v>
      </c>
      <c r="CD48" s="357">
        <v>0</v>
      </c>
      <c r="CE48" s="357">
        <v>746477</v>
      </c>
      <c r="CF48" s="357">
        <v>0</v>
      </c>
      <c r="CG48" s="357">
        <v>0</v>
      </c>
      <c r="CH48" s="357">
        <v>746477</v>
      </c>
      <c r="CI48" s="357">
        <v>746477</v>
      </c>
      <c r="CJ48" s="357">
        <v>0</v>
      </c>
      <c r="CK48" s="357">
        <v>0</v>
      </c>
      <c r="CL48" s="357">
        <v>0</v>
      </c>
      <c r="CM48" s="357">
        <v>0</v>
      </c>
      <c r="CN48" s="357">
        <v>0</v>
      </c>
      <c r="CO48" s="357">
        <v>746477</v>
      </c>
      <c r="CP48" s="357">
        <v>0</v>
      </c>
      <c r="CQ48" s="357">
        <v>0</v>
      </c>
      <c r="CR48" s="357">
        <v>746477</v>
      </c>
      <c r="CS48" s="357">
        <v>272259</v>
      </c>
      <c r="CT48" s="357">
        <v>0</v>
      </c>
      <c r="CU48" s="357">
        <v>0</v>
      </c>
      <c r="CV48" s="357">
        <v>272259</v>
      </c>
      <c r="CW48" s="357">
        <v>60322.85</v>
      </c>
      <c r="CX48" s="357">
        <v>0</v>
      </c>
      <c r="CY48" s="357">
        <v>0</v>
      </c>
      <c r="CZ48" s="357">
        <v>60322.85</v>
      </c>
      <c r="DA48" s="357">
        <v>22344</v>
      </c>
      <c r="DB48" s="357">
        <v>0</v>
      </c>
      <c r="DC48" s="357">
        <v>0</v>
      </c>
      <c r="DD48" s="357">
        <v>22344</v>
      </c>
      <c r="DE48" s="357">
        <v>1512</v>
      </c>
      <c r="DF48" s="357">
        <v>0</v>
      </c>
      <c r="DG48" s="357">
        <v>0</v>
      </c>
      <c r="DH48" s="357">
        <v>1512</v>
      </c>
      <c r="DI48" s="357">
        <v>0</v>
      </c>
      <c r="DJ48" s="357">
        <v>0</v>
      </c>
      <c r="DK48" s="357">
        <v>0</v>
      </c>
      <c r="DL48" s="357">
        <v>0</v>
      </c>
      <c r="DM48" s="357">
        <v>0</v>
      </c>
      <c r="DN48" s="357">
        <v>0</v>
      </c>
      <c r="DO48" s="357">
        <v>0</v>
      </c>
      <c r="DP48" s="357">
        <v>0</v>
      </c>
      <c r="DQ48" s="357">
        <v>356437.85</v>
      </c>
      <c r="DR48" s="357">
        <v>0</v>
      </c>
      <c r="DS48" s="357">
        <v>0</v>
      </c>
      <c r="DT48" s="357">
        <v>0</v>
      </c>
      <c r="DU48" s="357">
        <v>0</v>
      </c>
      <c r="DV48" s="357">
        <v>0</v>
      </c>
      <c r="DW48" s="357">
        <v>356437.85</v>
      </c>
      <c r="DX48" s="357">
        <v>0</v>
      </c>
      <c r="DY48" s="357">
        <v>0</v>
      </c>
      <c r="DZ48" s="357">
        <v>356437.85</v>
      </c>
      <c r="EA48" s="357">
        <v>0</v>
      </c>
      <c r="EB48" s="357">
        <v>0</v>
      </c>
      <c r="EC48" s="357">
        <v>0</v>
      </c>
      <c r="ED48" s="357">
        <v>0</v>
      </c>
      <c r="EE48" s="357">
        <v>0</v>
      </c>
      <c r="EF48" s="357">
        <v>0</v>
      </c>
      <c r="EG48" s="357">
        <v>220280.83</v>
      </c>
      <c r="EH48" s="357">
        <v>0</v>
      </c>
      <c r="EI48" s="357">
        <v>0</v>
      </c>
      <c r="EJ48" s="357">
        <v>220280.83</v>
      </c>
      <c r="EK48" s="357">
        <v>1074000</v>
      </c>
      <c r="EL48" s="357">
        <v>0</v>
      </c>
      <c r="EM48" s="357">
        <v>0</v>
      </c>
      <c r="EN48" s="357">
        <v>1074000</v>
      </c>
      <c r="EO48" s="357">
        <v>1294280.83</v>
      </c>
      <c r="EP48" s="357">
        <v>0</v>
      </c>
      <c r="EQ48" s="357">
        <v>0</v>
      </c>
      <c r="ER48" s="357">
        <v>0</v>
      </c>
      <c r="ES48" s="357">
        <v>0</v>
      </c>
      <c r="ET48" s="357">
        <v>0</v>
      </c>
      <c r="EU48" s="357">
        <v>1294280.83</v>
      </c>
      <c r="EV48" s="357">
        <v>0</v>
      </c>
      <c r="EW48" s="357">
        <v>0</v>
      </c>
      <c r="EX48" s="357">
        <v>1294280.83</v>
      </c>
      <c r="EY48" s="357">
        <v>52397120.3</v>
      </c>
      <c r="EZ48" s="357">
        <v>0</v>
      </c>
      <c r="FA48" s="357">
        <v>0</v>
      </c>
      <c r="FB48" s="357">
        <v>52397120.3</v>
      </c>
      <c r="FC48" s="277">
        <v>0</v>
      </c>
      <c r="FD48" s="205"/>
    </row>
    <row r="49" spans="1:160" ht="12.75">
      <c r="A49" s="169">
        <v>42</v>
      </c>
      <c r="B49" s="172" t="s">
        <v>788</v>
      </c>
      <c r="C49" s="258" t="s">
        <v>789</v>
      </c>
      <c r="D49" s="235">
        <v>130114</v>
      </c>
      <c r="E49" s="357">
        <v>156221336</v>
      </c>
      <c r="F49" s="357">
        <v>0</v>
      </c>
      <c r="G49" s="357">
        <v>0</v>
      </c>
      <c r="H49" s="357">
        <v>156221336</v>
      </c>
      <c r="I49" s="357">
        <v>73580249</v>
      </c>
      <c r="J49" s="357">
        <v>0</v>
      </c>
      <c r="K49" s="357">
        <v>0</v>
      </c>
      <c r="L49" s="357">
        <v>353250</v>
      </c>
      <c r="M49" s="357">
        <v>0</v>
      </c>
      <c r="N49" s="357">
        <v>0</v>
      </c>
      <c r="O49" s="357">
        <v>73933499</v>
      </c>
      <c r="P49" s="357">
        <v>0</v>
      </c>
      <c r="Q49" s="357">
        <v>0</v>
      </c>
      <c r="R49" s="357">
        <v>73933499</v>
      </c>
      <c r="S49" s="357">
        <v>50522</v>
      </c>
      <c r="T49" s="357">
        <v>0</v>
      </c>
      <c r="U49" s="357">
        <v>0</v>
      </c>
      <c r="V49" s="357">
        <v>50522</v>
      </c>
      <c r="W49" s="357">
        <v>27642</v>
      </c>
      <c r="X49" s="357">
        <v>0</v>
      </c>
      <c r="Y49" s="357">
        <v>0</v>
      </c>
      <c r="Z49" s="357">
        <v>27642</v>
      </c>
      <c r="AA49" s="357">
        <v>22880</v>
      </c>
      <c r="AB49" s="357">
        <v>0</v>
      </c>
      <c r="AC49" s="357">
        <v>0</v>
      </c>
      <c r="AD49" s="357">
        <v>24637</v>
      </c>
      <c r="AE49" s="357">
        <v>0</v>
      </c>
      <c r="AF49" s="357">
        <v>0</v>
      </c>
      <c r="AG49" s="357">
        <v>47517</v>
      </c>
      <c r="AH49" s="357">
        <v>0</v>
      </c>
      <c r="AI49" s="357">
        <v>0</v>
      </c>
      <c r="AJ49" s="357">
        <v>47517</v>
      </c>
      <c r="AK49" s="357">
        <v>47517</v>
      </c>
      <c r="AL49" s="357">
        <v>0</v>
      </c>
      <c r="AM49" s="357">
        <v>0</v>
      </c>
      <c r="AN49" s="357">
        <v>47517</v>
      </c>
      <c r="AO49" s="357">
        <v>6165974</v>
      </c>
      <c r="AP49" s="357">
        <v>0</v>
      </c>
      <c r="AQ49" s="357">
        <v>0</v>
      </c>
      <c r="AR49" s="357">
        <v>6165974</v>
      </c>
      <c r="AS49" s="357">
        <v>0</v>
      </c>
      <c r="AT49" s="357">
        <v>0</v>
      </c>
      <c r="AU49" s="357">
        <v>0</v>
      </c>
      <c r="AV49" s="357">
        <v>0</v>
      </c>
      <c r="AW49" s="357">
        <v>1367281</v>
      </c>
      <c r="AX49" s="357">
        <v>0</v>
      </c>
      <c r="AY49" s="357">
        <v>0</v>
      </c>
      <c r="AZ49" s="357">
        <v>1367281</v>
      </c>
      <c r="BA49" s="357">
        <v>4798693</v>
      </c>
      <c r="BB49" s="357">
        <v>0</v>
      </c>
      <c r="BC49" s="357">
        <v>0</v>
      </c>
      <c r="BD49" s="357">
        <v>4798693</v>
      </c>
      <c r="BE49" s="357">
        <v>3422178</v>
      </c>
      <c r="BF49" s="357">
        <v>0</v>
      </c>
      <c r="BG49" s="357">
        <v>0</v>
      </c>
      <c r="BH49" s="357">
        <v>3422178</v>
      </c>
      <c r="BI49" s="357">
        <v>174565</v>
      </c>
      <c r="BJ49" s="357">
        <v>0</v>
      </c>
      <c r="BK49" s="357">
        <v>0</v>
      </c>
      <c r="BL49" s="357">
        <v>174565</v>
      </c>
      <c r="BM49" s="357">
        <v>9416</v>
      </c>
      <c r="BN49" s="357">
        <v>0</v>
      </c>
      <c r="BO49" s="357">
        <v>0</v>
      </c>
      <c r="BP49" s="357">
        <v>9416</v>
      </c>
      <c r="BQ49" s="357">
        <v>8404852</v>
      </c>
      <c r="BR49" s="357">
        <v>0</v>
      </c>
      <c r="BS49" s="357">
        <v>0</v>
      </c>
      <c r="BT49" s="357">
        <v>276380</v>
      </c>
      <c r="BU49" s="357">
        <v>0</v>
      </c>
      <c r="BV49" s="357">
        <v>0</v>
      </c>
      <c r="BW49" s="357">
        <v>8681232</v>
      </c>
      <c r="BX49" s="357">
        <v>0</v>
      </c>
      <c r="BY49" s="357">
        <v>0</v>
      </c>
      <c r="BZ49" s="357">
        <v>8681232</v>
      </c>
      <c r="CA49" s="357">
        <v>163477</v>
      </c>
      <c r="CB49" s="357">
        <v>0</v>
      </c>
      <c r="CC49" s="357">
        <v>0</v>
      </c>
      <c r="CD49" s="357">
        <v>163477</v>
      </c>
      <c r="CE49" s="357">
        <v>2896371</v>
      </c>
      <c r="CF49" s="357">
        <v>0</v>
      </c>
      <c r="CG49" s="357">
        <v>0</v>
      </c>
      <c r="CH49" s="357">
        <v>2896371</v>
      </c>
      <c r="CI49" s="357">
        <v>3059848</v>
      </c>
      <c r="CJ49" s="357">
        <v>0</v>
      </c>
      <c r="CK49" s="357">
        <v>0</v>
      </c>
      <c r="CL49" s="357">
        <v>206478</v>
      </c>
      <c r="CM49" s="357">
        <v>0</v>
      </c>
      <c r="CN49" s="357">
        <v>0</v>
      </c>
      <c r="CO49" s="357">
        <v>3266326</v>
      </c>
      <c r="CP49" s="357">
        <v>0</v>
      </c>
      <c r="CQ49" s="357">
        <v>0</v>
      </c>
      <c r="CR49" s="357">
        <v>3266326</v>
      </c>
      <c r="CS49" s="357">
        <v>255334</v>
      </c>
      <c r="CT49" s="357">
        <v>0</v>
      </c>
      <c r="CU49" s="357">
        <v>0</v>
      </c>
      <c r="CV49" s="357">
        <v>255334</v>
      </c>
      <c r="CW49" s="357">
        <v>258163</v>
      </c>
      <c r="CX49" s="357">
        <v>0</v>
      </c>
      <c r="CY49" s="357">
        <v>0</v>
      </c>
      <c r="CZ49" s="357">
        <v>258163</v>
      </c>
      <c r="DA49" s="357">
        <v>0</v>
      </c>
      <c r="DB49" s="357">
        <v>0</v>
      </c>
      <c r="DC49" s="357">
        <v>0</v>
      </c>
      <c r="DD49" s="357">
        <v>0</v>
      </c>
      <c r="DE49" s="357">
        <v>0</v>
      </c>
      <c r="DF49" s="357">
        <v>0</v>
      </c>
      <c r="DG49" s="357">
        <v>0</v>
      </c>
      <c r="DH49" s="357">
        <v>0</v>
      </c>
      <c r="DI49" s="357">
        <v>0</v>
      </c>
      <c r="DJ49" s="357">
        <v>0</v>
      </c>
      <c r="DK49" s="357">
        <v>0</v>
      </c>
      <c r="DL49" s="357">
        <v>0</v>
      </c>
      <c r="DM49" s="357">
        <v>0</v>
      </c>
      <c r="DN49" s="357">
        <v>0</v>
      </c>
      <c r="DO49" s="357">
        <v>0</v>
      </c>
      <c r="DP49" s="357">
        <v>0</v>
      </c>
      <c r="DQ49" s="357">
        <v>513497</v>
      </c>
      <c r="DR49" s="357">
        <v>0</v>
      </c>
      <c r="DS49" s="357">
        <v>0</v>
      </c>
      <c r="DT49" s="357">
        <v>25533</v>
      </c>
      <c r="DU49" s="357">
        <v>0</v>
      </c>
      <c r="DV49" s="357">
        <v>0</v>
      </c>
      <c r="DW49" s="357">
        <v>539030</v>
      </c>
      <c r="DX49" s="357">
        <v>0</v>
      </c>
      <c r="DY49" s="357">
        <v>0</v>
      </c>
      <c r="DZ49" s="357">
        <v>539030</v>
      </c>
      <c r="EA49" s="357">
        <v>0</v>
      </c>
      <c r="EB49" s="357">
        <v>0</v>
      </c>
      <c r="EC49" s="357">
        <v>0</v>
      </c>
      <c r="ED49" s="357">
        <v>0</v>
      </c>
      <c r="EE49" s="357">
        <v>0</v>
      </c>
      <c r="EF49" s="357">
        <v>0</v>
      </c>
      <c r="EG49" s="357">
        <v>0</v>
      </c>
      <c r="EH49" s="357">
        <v>0</v>
      </c>
      <c r="EI49" s="357">
        <v>0</v>
      </c>
      <c r="EJ49" s="357">
        <v>0</v>
      </c>
      <c r="EK49" s="357">
        <v>1000000</v>
      </c>
      <c r="EL49" s="357">
        <v>0</v>
      </c>
      <c r="EM49" s="357">
        <v>0</v>
      </c>
      <c r="EN49" s="357">
        <v>1000000</v>
      </c>
      <c r="EO49" s="357">
        <v>1000000</v>
      </c>
      <c r="EP49" s="357">
        <v>0</v>
      </c>
      <c r="EQ49" s="357">
        <v>0</v>
      </c>
      <c r="ER49" s="357">
        <v>0</v>
      </c>
      <c r="ES49" s="357">
        <v>0</v>
      </c>
      <c r="ET49" s="357">
        <v>0</v>
      </c>
      <c r="EU49" s="357">
        <v>1000000</v>
      </c>
      <c r="EV49" s="357">
        <v>0</v>
      </c>
      <c r="EW49" s="357">
        <v>0</v>
      </c>
      <c r="EX49" s="357">
        <v>1000000</v>
      </c>
      <c r="EY49" s="357">
        <v>60399394</v>
      </c>
      <c r="EZ49" s="357">
        <v>0</v>
      </c>
      <c r="FA49" s="357">
        <v>0</v>
      </c>
      <c r="FB49" s="357">
        <v>60399394</v>
      </c>
      <c r="FC49" s="277">
        <v>0</v>
      </c>
      <c r="FD49" s="205"/>
    </row>
    <row r="50" spans="1:160" ht="12.75">
      <c r="A50" s="169">
        <v>43</v>
      </c>
      <c r="B50" s="172" t="s">
        <v>790</v>
      </c>
      <c r="C50" s="258" t="s">
        <v>791</v>
      </c>
      <c r="D50" s="235">
        <v>41639</v>
      </c>
      <c r="E50" s="357">
        <v>258515436</v>
      </c>
      <c r="F50" s="357">
        <v>0</v>
      </c>
      <c r="G50" s="357">
        <v>0</v>
      </c>
      <c r="H50" s="357">
        <v>258515436</v>
      </c>
      <c r="I50" s="357">
        <v>121760770</v>
      </c>
      <c r="J50" s="357">
        <v>0</v>
      </c>
      <c r="K50" s="357">
        <v>0</v>
      </c>
      <c r="L50" s="357">
        <v>639147</v>
      </c>
      <c r="M50" s="357">
        <v>0</v>
      </c>
      <c r="N50" s="357">
        <v>0</v>
      </c>
      <c r="O50" s="357">
        <v>122399917</v>
      </c>
      <c r="P50" s="357">
        <v>0</v>
      </c>
      <c r="Q50" s="357">
        <v>0</v>
      </c>
      <c r="R50" s="357">
        <v>122399917</v>
      </c>
      <c r="S50" s="357">
        <v>111427</v>
      </c>
      <c r="T50" s="357">
        <v>0</v>
      </c>
      <c r="U50" s="357">
        <v>0</v>
      </c>
      <c r="V50" s="357">
        <v>111427</v>
      </c>
      <c r="W50" s="357">
        <v>3673</v>
      </c>
      <c r="X50" s="357">
        <v>0</v>
      </c>
      <c r="Y50" s="357">
        <v>0</v>
      </c>
      <c r="Z50" s="357">
        <v>3673</v>
      </c>
      <c r="AA50" s="357">
        <v>107754</v>
      </c>
      <c r="AB50" s="357">
        <v>0</v>
      </c>
      <c r="AC50" s="357">
        <v>0</v>
      </c>
      <c r="AD50" s="357">
        <v>0</v>
      </c>
      <c r="AE50" s="357">
        <v>0</v>
      </c>
      <c r="AF50" s="357">
        <v>0</v>
      </c>
      <c r="AG50" s="357">
        <v>107754</v>
      </c>
      <c r="AH50" s="357">
        <v>0</v>
      </c>
      <c r="AI50" s="357">
        <v>0</v>
      </c>
      <c r="AJ50" s="357">
        <v>107754</v>
      </c>
      <c r="AK50" s="357">
        <v>107754</v>
      </c>
      <c r="AL50" s="357">
        <v>0</v>
      </c>
      <c r="AM50" s="357">
        <v>0</v>
      </c>
      <c r="AN50" s="357">
        <v>107754</v>
      </c>
      <c r="AO50" s="357">
        <v>1282350</v>
      </c>
      <c r="AP50" s="357">
        <v>0</v>
      </c>
      <c r="AQ50" s="357">
        <v>0</v>
      </c>
      <c r="AR50" s="357">
        <v>1282350</v>
      </c>
      <c r="AS50" s="357">
        <v>0</v>
      </c>
      <c r="AT50" s="357">
        <v>0</v>
      </c>
      <c r="AU50" s="357">
        <v>0</v>
      </c>
      <c r="AV50" s="357">
        <v>0</v>
      </c>
      <c r="AW50" s="357">
        <v>2707167</v>
      </c>
      <c r="AX50" s="357">
        <v>0</v>
      </c>
      <c r="AY50" s="357">
        <v>0</v>
      </c>
      <c r="AZ50" s="357">
        <v>2707167</v>
      </c>
      <c r="BA50" s="357">
        <v>-1424817</v>
      </c>
      <c r="BB50" s="357">
        <v>0</v>
      </c>
      <c r="BC50" s="357">
        <v>0</v>
      </c>
      <c r="BD50" s="357">
        <v>-1424817</v>
      </c>
      <c r="BE50" s="357">
        <v>21720871</v>
      </c>
      <c r="BF50" s="357">
        <v>0</v>
      </c>
      <c r="BG50" s="357">
        <v>0</v>
      </c>
      <c r="BH50" s="357">
        <v>21720871</v>
      </c>
      <c r="BI50" s="357">
        <v>14016</v>
      </c>
      <c r="BJ50" s="357">
        <v>0</v>
      </c>
      <c r="BK50" s="357">
        <v>0</v>
      </c>
      <c r="BL50" s="357">
        <v>14016</v>
      </c>
      <c r="BM50" s="357">
        <v>0</v>
      </c>
      <c r="BN50" s="357">
        <v>0</v>
      </c>
      <c r="BO50" s="357">
        <v>0</v>
      </c>
      <c r="BP50" s="357">
        <v>0</v>
      </c>
      <c r="BQ50" s="357">
        <v>20310070</v>
      </c>
      <c r="BR50" s="357">
        <v>0</v>
      </c>
      <c r="BS50" s="357">
        <v>0</v>
      </c>
      <c r="BT50" s="357">
        <v>0</v>
      </c>
      <c r="BU50" s="357">
        <v>0</v>
      </c>
      <c r="BV50" s="357">
        <v>0</v>
      </c>
      <c r="BW50" s="357">
        <v>20310070</v>
      </c>
      <c r="BX50" s="357">
        <v>0</v>
      </c>
      <c r="BY50" s="357">
        <v>0</v>
      </c>
      <c r="BZ50" s="357">
        <v>20310070</v>
      </c>
      <c r="CA50" s="357">
        <v>20000</v>
      </c>
      <c r="CB50" s="357">
        <v>0</v>
      </c>
      <c r="CC50" s="357">
        <v>0</v>
      </c>
      <c r="CD50" s="357">
        <v>20000</v>
      </c>
      <c r="CE50" s="357">
        <v>1929908</v>
      </c>
      <c r="CF50" s="357">
        <v>0</v>
      </c>
      <c r="CG50" s="357">
        <v>0</v>
      </c>
      <c r="CH50" s="357">
        <v>1929908</v>
      </c>
      <c r="CI50" s="357">
        <v>1949908</v>
      </c>
      <c r="CJ50" s="357">
        <v>0</v>
      </c>
      <c r="CK50" s="357">
        <v>0</v>
      </c>
      <c r="CL50" s="357">
        <v>0</v>
      </c>
      <c r="CM50" s="357">
        <v>0</v>
      </c>
      <c r="CN50" s="357">
        <v>0</v>
      </c>
      <c r="CO50" s="357">
        <v>1949908</v>
      </c>
      <c r="CP50" s="357">
        <v>0</v>
      </c>
      <c r="CQ50" s="357">
        <v>0</v>
      </c>
      <c r="CR50" s="357">
        <v>1949908</v>
      </c>
      <c r="CS50" s="357">
        <v>169983</v>
      </c>
      <c r="CT50" s="357">
        <v>0</v>
      </c>
      <c r="CU50" s="357">
        <v>0</v>
      </c>
      <c r="CV50" s="357">
        <v>169983</v>
      </c>
      <c r="CW50" s="357">
        <v>7900</v>
      </c>
      <c r="CX50" s="357">
        <v>0</v>
      </c>
      <c r="CY50" s="357">
        <v>0</v>
      </c>
      <c r="CZ50" s="357">
        <v>7900</v>
      </c>
      <c r="DA50" s="357">
        <v>0</v>
      </c>
      <c r="DB50" s="357">
        <v>0</v>
      </c>
      <c r="DC50" s="357">
        <v>0</v>
      </c>
      <c r="DD50" s="357">
        <v>0</v>
      </c>
      <c r="DE50" s="357">
        <v>0</v>
      </c>
      <c r="DF50" s="357">
        <v>0</v>
      </c>
      <c r="DG50" s="357">
        <v>0</v>
      </c>
      <c r="DH50" s="357">
        <v>0</v>
      </c>
      <c r="DI50" s="357">
        <v>0</v>
      </c>
      <c r="DJ50" s="357">
        <v>0</v>
      </c>
      <c r="DK50" s="357">
        <v>0</v>
      </c>
      <c r="DL50" s="357">
        <v>0</v>
      </c>
      <c r="DM50" s="357">
        <v>0</v>
      </c>
      <c r="DN50" s="357">
        <v>0</v>
      </c>
      <c r="DO50" s="357">
        <v>0</v>
      </c>
      <c r="DP50" s="357">
        <v>0</v>
      </c>
      <c r="DQ50" s="357">
        <v>177883</v>
      </c>
      <c r="DR50" s="357">
        <v>0</v>
      </c>
      <c r="DS50" s="357">
        <v>0</v>
      </c>
      <c r="DT50" s="357">
        <v>0</v>
      </c>
      <c r="DU50" s="357">
        <v>0</v>
      </c>
      <c r="DV50" s="357">
        <v>0</v>
      </c>
      <c r="DW50" s="357">
        <v>177883</v>
      </c>
      <c r="DX50" s="357">
        <v>0</v>
      </c>
      <c r="DY50" s="357">
        <v>0</v>
      </c>
      <c r="DZ50" s="357">
        <v>177883</v>
      </c>
      <c r="EA50" s="357">
        <v>0</v>
      </c>
      <c r="EB50" s="357">
        <v>0</v>
      </c>
      <c r="EC50" s="357">
        <v>89000</v>
      </c>
      <c r="ED50" s="357">
        <v>0</v>
      </c>
      <c r="EE50" s="357">
        <v>0</v>
      </c>
      <c r="EF50" s="357">
        <v>89000</v>
      </c>
      <c r="EG50" s="357">
        <v>0</v>
      </c>
      <c r="EH50" s="357">
        <v>0</v>
      </c>
      <c r="EI50" s="357">
        <v>0</v>
      </c>
      <c r="EJ50" s="357">
        <v>0</v>
      </c>
      <c r="EK50" s="357">
        <v>780000</v>
      </c>
      <c r="EL50" s="357">
        <v>0</v>
      </c>
      <c r="EM50" s="357">
        <v>0</v>
      </c>
      <c r="EN50" s="357">
        <v>780000</v>
      </c>
      <c r="EO50" s="357">
        <v>869000</v>
      </c>
      <c r="EP50" s="357">
        <v>0</v>
      </c>
      <c r="EQ50" s="357">
        <v>0</v>
      </c>
      <c r="ER50" s="357">
        <v>0</v>
      </c>
      <c r="ES50" s="357">
        <v>0</v>
      </c>
      <c r="ET50" s="357">
        <v>0</v>
      </c>
      <c r="EU50" s="357">
        <v>869000</v>
      </c>
      <c r="EV50" s="357">
        <v>0</v>
      </c>
      <c r="EW50" s="357">
        <v>0</v>
      </c>
      <c r="EX50" s="357">
        <v>869000</v>
      </c>
      <c r="EY50" s="357">
        <v>98985302</v>
      </c>
      <c r="EZ50" s="357">
        <v>0</v>
      </c>
      <c r="FA50" s="357">
        <v>0</v>
      </c>
      <c r="FB50" s="357">
        <v>98985302</v>
      </c>
      <c r="FC50" s="277">
        <v>0</v>
      </c>
      <c r="FD50" s="205"/>
    </row>
    <row r="51" spans="1:160" ht="12.75">
      <c r="A51" s="169">
        <v>44</v>
      </c>
      <c r="B51" s="172" t="s">
        <v>792</v>
      </c>
      <c r="C51" s="258" t="s">
        <v>793</v>
      </c>
      <c r="D51" s="235">
        <v>41547</v>
      </c>
      <c r="E51" s="357">
        <v>1232034342</v>
      </c>
      <c r="F51" s="357">
        <v>0</v>
      </c>
      <c r="G51" s="357">
        <v>0</v>
      </c>
      <c r="H51" s="357">
        <v>1232034342</v>
      </c>
      <c r="I51" s="357">
        <v>580288175</v>
      </c>
      <c r="J51" s="357">
        <v>0</v>
      </c>
      <c r="K51" s="357">
        <v>0</v>
      </c>
      <c r="L51" s="357">
        <v>-9931648</v>
      </c>
      <c r="M51" s="357">
        <v>0</v>
      </c>
      <c r="N51" s="357">
        <v>0</v>
      </c>
      <c r="O51" s="357">
        <v>570356527</v>
      </c>
      <c r="P51" s="357">
        <v>0</v>
      </c>
      <c r="Q51" s="357">
        <v>0</v>
      </c>
      <c r="R51" s="357">
        <v>570356527</v>
      </c>
      <c r="S51" s="357">
        <v>997171</v>
      </c>
      <c r="T51" s="357">
        <v>0</v>
      </c>
      <c r="U51" s="357">
        <v>0</v>
      </c>
      <c r="V51" s="357">
        <v>997171</v>
      </c>
      <c r="W51" s="357">
        <v>14494</v>
      </c>
      <c r="X51" s="357">
        <v>0</v>
      </c>
      <c r="Y51" s="357">
        <v>0</v>
      </c>
      <c r="Z51" s="357">
        <v>14494</v>
      </c>
      <c r="AA51" s="357">
        <v>982677</v>
      </c>
      <c r="AB51" s="357">
        <v>0</v>
      </c>
      <c r="AC51" s="357">
        <v>0</v>
      </c>
      <c r="AD51" s="357">
        <v>0</v>
      </c>
      <c r="AE51" s="357">
        <v>0</v>
      </c>
      <c r="AF51" s="357">
        <v>0</v>
      </c>
      <c r="AG51" s="357">
        <v>982677</v>
      </c>
      <c r="AH51" s="357">
        <v>0</v>
      </c>
      <c r="AI51" s="357">
        <v>0</v>
      </c>
      <c r="AJ51" s="357">
        <v>982677</v>
      </c>
      <c r="AK51" s="357">
        <v>982677</v>
      </c>
      <c r="AL51" s="357">
        <v>0</v>
      </c>
      <c r="AM51" s="357">
        <v>0</v>
      </c>
      <c r="AN51" s="357">
        <v>982677</v>
      </c>
      <c r="AO51" s="357">
        <v>2879883</v>
      </c>
      <c r="AP51" s="357">
        <v>0</v>
      </c>
      <c r="AQ51" s="357">
        <v>0</v>
      </c>
      <c r="AR51" s="357">
        <v>2879883</v>
      </c>
      <c r="AS51" s="357">
        <v>0</v>
      </c>
      <c r="AT51" s="357">
        <v>0</v>
      </c>
      <c r="AU51" s="357">
        <v>0</v>
      </c>
      <c r="AV51" s="357">
        <v>0</v>
      </c>
      <c r="AW51" s="357">
        <v>12608046</v>
      </c>
      <c r="AX51" s="357">
        <v>0</v>
      </c>
      <c r="AY51" s="357">
        <v>0</v>
      </c>
      <c r="AZ51" s="357">
        <v>12608046</v>
      </c>
      <c r="BA51" s="357">
        <v>-9728163</v>
      </c>
      <c r="BB51" s="357">
        <v>0</v>
      </c>
      <c r="BC51" s="357">
        <v>0</v>
      </c>
      <c r="BD51" s="357">
        <v>-9728163</v>
      </c>
      <c r="BE51" s="357">
        <v>54767408</v>
      </c>
      <c r="BF51" s="357">
        <v>0</v>
      </c>
      <c r="BG51" s="357">
        <v>0</v>
      </c>
      <c r="BH51" s="357">
        <v>54767408</v>
      </c>
      <c r="BI51" s="357">
        <v>13785</v>
      </c>
      <c r="BJ51" s="357">
        <v>0</v>
      </c>
      <c r="BK51" s="357">
        <v>0</v>
      </c>
      <c r="BL51" s="357">
        <v>13785</v>
      </c>
      <c r="BM51" s="357">
        <v>0</v>
      </c>
      <c r="BN51" s="357">
        <v>0</v>
      </c>
      <c r="BO51" s="357">
        <v>0</v>
      </c>
      <c r="BP51" s="357">
        <v>0</v>
      </c>
      <c r="BQ51" s="357">
        <v>45053030</v>
      </c>
      <c r="BR51" s="357">
        <v>0</v>
      </c>
      <c r="BS51" s="357">
        <v>0</v>
      </c>
      <c r="BT51" s="357">
        <v>0</v>
      </c>
      <c r="BU51" s="357">
        <v>0</v>
      </c>
      <c r="BV51" s="357">
        <v>0</v>
      </c>
      <c r="BW51" s="357">
        <v>45053030</v>
      </c>
      <c r="BX51" s="357">
        <v>0</v>
      </c>
      <c r="BY51" s="357">
        <v>0</v>
      </c>
      <c r="BZ51" s="357">
        <v>45053030</v>
      </c>
      <c r="CA51" s="357">
        <v>551278</v>
      </c>
      <c r="CB51" s="357">
        <v>0</v>
      </c>
      <c r="CC51" s="357">
        <v>0</v>
      </c>
      <c r="CD51" s="357">
        <v>551278</v>
      </c>
      <c r="CE51" s="357">
        <v>13258492</v>
      </c>
      <c r="CF51" s="357">
        <v>0</v>
      </c>
      <c r="CG51" s="357">
        <v>0</v>
      </c>
      <c r="CH51" s="357">
        <v>13258492</v>
      </c>
      <c r="CI51" s="357">
        <v>13809770</v>
      </c>
      <c r="CJ51" s="357">
        <v>0</v>
      </c>
      <c r="CK51" s="357">
        <v>0</v>
      </c>
      <c r="CL51" s="357">
        <v>0</v>
      </c>
      <c r="CM51" s="357">
        <v>0</v>
      </c>
      <c r="CN51" s="357">
        <v>0</v>
      </c>
      <c r="CO51" s="357">
        <v>13809770</v>
      </c>
      <c r="CP51" s="357">
        <v>0</v>
      </c>
      <c r="CQ51" s="357">
        <v>0</v>
      </c>
      <c r="CR51" s="357">
        <v>13809770</v>
      </c>
      <c r="CS51" s="357">
        <v>180260</v>
      </c>
      <c r="CT51" s="357">
        <v>0</v>
      </c>
      <c r="CU51" s="357">
        <v>0</v>
      </c>
      <c r="CV51" s="357">
        <v>180260</v>
      </c>
      <c r="CW51" s="357">
        <v>0</v>
      </c>
      <c r="CX51" s="357">
        <v>0</v>
      </c>
      <c r="CY51" s="357">
        <v>0</v>
      </c>
      <c r="CZ51" s="357">
        <v>0</v>
      </c>
      <c r="DA51" s="357">
        <v>0</v>
      </c>
      <c r="DB51" s="357">
        <v>0</v>
      </c>
      <c r="DC51" s="357">
        <v>0</v>
      </c>
      <c r="DD51" s="357">
        <v>0</v>
      </c>
      <c r="DE51" s="357">
        <v>0</v>
      </c>
      <c r="DF51" s="357">
        <v>0</v>
      </c>
      <c r="DG51" s="357">
        <v>0</v>
      </c>
      <c r="DH51" s="357">
        <v>0</v>
      </c>
      <c r="DI51" s="357">
        <v>0</v>
      </c>
      <c r="DJ51" s="357">
        <v>0</v>
      </c>
      <c r="DK51" s="357">
        <v>0</v>
      </c>
      <c r="DL51" s="357">
        <v>0</v>
      </c>
      <c r="DM51" s="357">
        <v>0</v>
      </c>
      <c r="DN51" s="357">
        <v>0</v>
      </c>
      <c r="DO51" s="357">
        <v>0</v>
      </c>
      <c r="DP51" s="357">
        <v>0</v>
      </c>
      <c r="DQ51" s="357">
        <v>180260</v>
      </c>
      <c r="DR51" s="357">
        <v>0</v>
      </c>
      <c r="DS51" s="357">
        <v>0</v>
      </c>
      <c r="DT51" s="357">
        <v>0</v>
      </c>
      <c r="DU51" s="357">
        <v>0</v>
      </c>
      <c r="DV51" s="357">
        <v>0</v>
      </c>
      <c r="DW51" s="357">
        <v>180260</v>
      </c>
      <c r="DX51" s="357">
        <v>0</v>
      </c>
      <c r="DY51" s="357">
        <v>0</v>
      </c>
      <c r="DZ51" s="357">
        <v>180260</v>
      </c>
      <c r="EA51" s="357">
        <v>0</v>
      </c>
      <c r="EB51" s="357">
        <v>0</v>
      </c>
      <c r="EC51" s="357">
        <v>0</v>
      </c>
      <c r="ED51" s="357">
        <v>0</v>
      </c>
      <c r="EE51" s="357">
        <v>0</v>
      </c>
      <c r="EF51" s="357">
        <v>0</v>
      </c>
      <c r="EG51" s="357">
        <v>740000</v>
      </c>
      <c r="EH51" s="357">
        <v>0</v>
      </c>
      <c r="EI51" s="357">
        <v>0</v>
      </c>
      <c r="EJ51" s="357">
        <v>740000</v>
      </c>
      <c r="EK51" s="357">
        <v>2280000</v>
      </c>
      <c r="EL51" s="357">
        <v>0</v>
      </c>
      <c r="EM51" s="357">
        <v>0</v>
      </c>
      <c r="EN51" s="357">
        <v>2280000</v>
      </c>
      <c r="EO51" s="357">
        <v>3020000</v>
      </c>
      <c r="EP51" s="357">
        <v>0</v>
      </c>
      <c r="EQ51" s="357">
        <v>0</v>
      </c>
      <c r="ER51" s="357">
        <v>0</v>
      </c>
      <c r="ES51" s="357">
        <v>0</v>
      </c>
      <c r="ET51" s="357">
        <v>0</v>
      </c>
      <c r="EU51" s="357">
        <v>3020000</v>
      </c>
      <c r="EV51" s="357">
        <v>0</v>
      </c>
      <c r="EW51" s="357">
        <v>0</v>
      </c>
      <c r="EX51" s="357">
        <v>3020000</v>
      </c>
      <c r="EY51" s="357">
        <v>507310790</v>
      </c>
      <c r="EZ51" s="357">
        <v>0</v>
      </c>
      <c r="FA51" s="357">
        <v>0</v>
      </c>
      <c r="FB51" s="357">
        <v>507310790</v>
      </c>
      <c r="FC51" s="277">
        <v>0</v>
      </c>
      <c r="FD51" s="205"/>
    </row>
    <row r="52" spans="1:160" ht="12.75">
      <c r="A52" s="169">
        <v>45</v>
      </c>
      <c r="B52" s="172" t="s">
        <v>794</v>
      </c>
      <c r="C52" s="258" t="s">
        <v>795</v>
      </c>
      <c r="D52" s="235">
        <v>241213</v>
      </c>
      <c r="E52" s="357">
        <v>86816705</v>
      </c>
      <c r="F52" s="357">
        <v>0</v>
      </c>
      <c r="G52" s="357">
        <v>0</v>
      </c>
      <c r="H52" s="357">
        <v>86816705</v>
      </c>
      <c r="I52" s="357">
        <v>40890668</v>
      </c>
      <c r="J52" s="357">
        <v>0</v>
      </c>
      <c r="K52" s="357">
        <v>0</v>
      </c>
      <c r="L52" s="357">
        <v>0</v>
      </c>
      <c r="M52" s="357">
        <v>0</v>
      </c>
      <c r="N52" s="357">
        <v>0</v>
      </c>
      <c r="O52" s="357">
        <v>40890668</v>
      </c>
      <c r="P52" s="357">
        <v>0</v>
      </c>
      <c r="Q52" s="357">
        <v>0</v>
      </c>
      <c r="R52" s="357">
        <v>40890668</v>
      </c>
      <c r="S52" s="357">
        <v>293041.7</v>
      </c>
      <c r="T52" s="357">
        <v>0</v>
      </c>
      <c r="U52" s="357">
        <v>0</v>
      </c>
      <c r="V52" s="357">
        <v>293041.7</v>
      </c>
      <c r="W52" s="357">
        <v>0</v>
      </c>
      <c r="X52" s="357">
        <v>0</v>
      </c>
      <c r="Y52" s="357">
        <v>0</v>
      </c>
      <c r="Z52" s="357">
        <v>0</v>
      </c>
      <c r="AA52" s="357">
        <v>293041.7</v>
      </c>
      <c r="AB52" s="357">
        <v>0</v>
      </c>
      <c r="AC52" s="357">
        <v>0</v>
      </c>
      <c r="AD52" s="357">
        <v>0</v>
      </c>
      <c r="AE52" s="357">
        <v>0</v>
      </c>
      <c r="AF52" s="357">
        <v>0</v>
      </c>
      <c r="AG52" s="357">
        <v>293041.7</v>
      </c>
      <c r="AH52" s="357">
        <v>0</v>
      </c>
      <c r="AI52" s="357">
        <v>0</v>
      </c>
      <c r="AJ52" s="357">
        <v>293041.7</v>
      </c>
      <c r="AK52" s="357">
        <v>293041.7</v>
      </c>
      <c r="AL52" s="357">
        <v>0</v>
      </c>
      <c r="AM52" s="357">
        <v>0</v>
      </c>
      <c r="AN52" s="357">
        <v>293041.7</v>
      </c>
      <c r="AO52" s="357">
        <v>2228508.3</v>
      </c>
      <c r="AP52" s="357">
        <v>0</v>
      </c>
      <c r="AQ52" s="357">
        <v>0</v>
      </c>
      <c r="AR52" s="357">
        <v>2228508.3</v>
      </c>
      <c r="AS52" s="357">
        <v>0</v>
      </c>
      <c r="AT52" s="357">
        <v>0</v>
      </c>
      <c r="AU52" s="357">
        <v>0</v>
      </c>
      <c r="AV52" s="357">
        <v>0</v>
      </c>
      <c r="AW52" s="357">
        <v>804715.34</v>
      </c>
      <c r="AX52" s="357">
        <v>0</v>
      </c>
      <c r="AY52" s="357">
        <v>0</v>
      </c>
      <c r="AZ52" s="357">
        <v>804715.34</v>
      </c>
      <c r="BA52" s="357">
        <v>1423792.96</v>
      </c>
      <c r="BB52" s="357">
        <v>0</v>
      </c>
      <c r="BC52" s="357">
        <v>0</v>
      </c>
      <c r="BD52" s="357">
        <v>1423792.96</v>
      </c>
      <c r="BE52" s="357">
        <v>1344460.31</v>
      </c>
      <c r="BF52" s="357">
        <v>0</v>
      </c>
      <c r="BG52" s="357">
        <v>0</v>
      </c>
      <c r="BH52" s="357">
        <v>1344460.31</v>
      </c>
      <c r="BI52" s="357">
        <v>1446</v>
      </c>
      <c r="BJ52" s="357">
        <v>0</v>
      </c>
      <c r="BK52" s="357">
        <v>0</v>
      </c>
      <c r="BL52" s="357">
        <v>1446</v>
      </c>
      <c r="BM52" s="357">
        <v>0</v>
      </c>
      <c r="BN52" s="357">
        <v>0</v>
      </c>
      <c r="BO52" s="357">
        <v>0</v>
      </c>
      <c r="BP52" s="357">
        <v>0</v>
      </c>
      <c r="BQ52" s="357">
        <v>2769699.27</v>
      </c>
      <c r="BR52" s="357">
        <v>0</v>
      </c>
      <c r="BS52" s="357">
        <v>0</v>
      </c>
      <c r="BT52" s="357">
        <v>0</v>
      </c>
      <c r="BU52" s="357">
        <v>0</v>
      </c>
      <c r="BV52" s="357">
        <v>0</v>
      </c>
      <c r="BW52" s="357">
        <v>2769699.27</v>
      </c>
      <c r="BX52" s="357">
        <v>0</v>
      </c>
      <c r="BY52" s="357">
        <v>0</v>
      </c>
      <c r="BZ52" s="357">
        <v>2769699.27</v>
      </c>
      <c r="CA52" s="357">
        <v>0</v>
      </c>
      <c r="CB52" s="357">
        <v>0</v>
      </c>
      <c r="CC52" s="357">
        <v>0</v>
      </c>
      <c r="CD52" s="357">
        <v>0</v>
      </c>
      <c r="CE52" s="357">
        <v>877477.67</v>
      </c>
      <c r="CF52" s="357">
        <v>0</v>
      </c>
      <c r="CG52" s="357">
        <v>0</v>
      </c>
      <c r="CH52" s="357">
        <v>877477.67</v>
      </c>
      <c r="CI52" s="357">
        <v>877477.67</v>
      </c>
      <c r="CJ52" s="357">
        <v>0</v>
      </c>
      <c r="CK52" s="357">
        <v>0</v>
      </c>
      <c r="CL52" s="357">
        <v>0</v>
      </c>
      <c r="CM52" s="357">
        <v>0</v>
      </c>
      <c r="CN52" s="357">
        <v>0</v>
      </c>
      <c r="CO52" s="357">
        <v>877477.67</v>
      </c>
      <c r="CP52" s="357">
        <v>0</v>
      </c>
      <c r="CQ52" s="357">
        <v>0</v>
      </c>
      <c r="CR52" s="357">
        <v>877477.67</v>
      </c>
      <c r="CS52" s="357">
        <v>46845.05</v>
      </c>
      <c r="CT52" s="357">
        <v>0</v>
      </c>
      <c r="CU52" s="357">
        <v>0</v>
      </c>
      <c r="CV52" s="357">
        <v>46845.05</v>
      </c>
      <c r="CW52" s="357">
        <v>10515.44</v>
      </c>
      <c r="CX52" s="357">
        <v>0</v>
      </c>
      <c r="CY52" s="357">
        <v>0</v>
      </c>
      <c r="CZ52" s="357">
        <v>10515.44</v>
      </c>
      <c r="DA52" s="357">
        <v>90.38</v>
      </c>
      <c r="DB52" s="357">
        <v>0</v>
      </c>
      <c r="DC52" s="357">
        <v>0</v>
      </c>
      <c r="DD52" s="357">
        <v>90.38</v>
      </c>
      <c r="DE52" s="357">
        <v>0</v>
      </c>
      <c r="DF52" s="357">
        <v>0</v>
      </c>
      <c r="DG52" s="357">
        <v>0</v>
      </c>
      <c r="DH52" s="357">
        <v>0</v>
      </c>
      <c r="DI52" s="357">
        <v>0</v>
      </c>
      <c r="DJ52" s="357">
        <v>0</v>
      </c>
      <c r="DK52" s="357">
        <v>0</v>
      </c>
      <c r="DL52" s="357">
        <v>0</v>
      </c>
      <c r="DM52" s="357">
        <v>0</v>
      </c>
      <c r="DN52" s="357">
        <v>0</v>
      </c>
      <c r="DO52" s="357">
        <v>0</v>
      </c>
      <c r="DP52" s="357">
        <v>0</v>
      </c>
      <c r="DQ52" s="357">
        <v>57450.87</v>
      </c>
      <c r="DR52" s="357">
        <v>0</v>
      </c>
      <c r="DS52" s="357">
        <v>0</v>
      </c>
      <c r="DT52" s="357">
        <v>0</v>
      </c>
      <c r="DU52" s="357">
        <v>0</v>
      </c>
      <c r="DV52" s="357">
        <v>0</v>
      </c>
      <c r="DW52" s="357">
        <v>57450.87</v>
      </c>
      <c r="DX52" s="357">
        <v>0</v>
      </c>
      <c r="DY52" s="357">
        <v>0</v>
      </c>
      <c r="DZ52" s="357">
        <v>57450.87</v>
      </c>
      <c r="EA52" s="357">
        <v>0</v>
      </c>
      <c r="EB52" s="357">
        <v>0</v>
      </c>
      <c r="EC52" s="357">
        <v>0</v>
      </c>
      <c r="ED52" s="357">
        <v>0</v>
      </c>
      <c r="EE52" s="357">
        <v>0</v>
      </c>
      <c r="EF52" s="357">
        <v>0</v>
      </c>
      <c r="EG52" s="357">
        <v>0</v>
      </c>
      <c r="EH52" s="357">
        <v>0</v>
      </c>
      <c r="EI52" s="357">
        <v>0</v>
      </c>
      <c r="EJ52" s="357">
        <v>0</v>
      </c>
      <c r="EK52" s="357">
        <v>475764</v>
      </c>
      <c r="EL52" s="357">
        <v>0</v>
      </c>
      <c r="EM52" s="357">
        <v>0</v>
      </c>
      <c r="EN52" s="357">
        <v>475764</v>
      </c>
      <c r="EO52" s="357">
        <v>475764</v>
      </c>
      <c r="EP52" s="357">
        <v>0</v>
      </c>
      <c r="EQ52" s="357">
        <v>0</v>
      </c>
      <c r="ER52" s="357">
        <v>0</v>
      </c>
      <c r="ES52" s="357">
        <v>0</v>
      </c>
      <c r="ET52" s="357">
        <v>0</v>
      </c>
      <c r="EU52" s="357">
        <v>475764</v>
      </c>
      <c r="EV52" s="357">
        <v>0</v>
      </c>
      <c r="EW52" s="357">
        <v>0</v>
      </c>
      <c r="EX52" s="357">
        <v>475764</v>
      </c>
      <c r="EY52" s="357">
        <v>36417234.5</v>
      </c>
      <c r="EZ52" s="357">
        <v>0</v>
      </c>
      <c r="FA52" s="357">
        <v>0</v>
      </c>
      <c r="FB52" s="357">
        <v>36417234.5</v>
      </c>
      <c r="FC52" s="277">
        <v>0</v>
      </c>
      <c r="FD52" s="205"/>
    </row>
    <row r="53" spans="1:160" ht="12.75">
      <c r="A53" s="169">
        <v>46</v>
      </c>
      <c r="B53" s="172" t="s">
        <v>796</v>
      </c>
      <c r="C53" s="258" t="s">
        <v>797</v>
      </c>
      <c r="D53" s="235">
        <v>41664</v>
      </c>
      <c r="E53" s="357">
        <v>136482257</v>
      </c>
      <c r="F53" s="357">
        <v>0</v>
      </c>
      <c r="G53" s="357">
        <v>0</v>
      </c>
      <c r="H53" s="357">
        <v>136482257</v>
      </c>
      <c r="I53" s="357">
        <v>64283143</v>
      </c>
      <c r="J53" s="357">
        <v>0</v>
      </c>
      <c r="K53" s="357">
        <v>0</v>
      </c>
      <c r="L53" s="357">
        <v>0</v>
      </c>
      <c r="M53" s="357">
        <v>0</v>
      </c>
      <c r="N53" s="357">
        <v>0</v>
      </c>
      <c r="O53" s="357">
        <v>64283143</v>
      </c>
      <c r="P53" s="357">
        <v>0</v>
      </c>
      <c r="Q53" s="357">
        <v>0</v>
      </c>
      <c r="R53" s="357">
        <v>64283143</v>
      </c>
      <c r="S53" s="357">
        <v>68199</v>
      </c>
      <c r="T53" s="357">
        <v>0</v>
      </c>
      <c r="U53" s="357">
        <v>0</v>
      </c>
      <c r="V53" s="357">
        <v>68199</v>
      </c>
      <c r="W53" s="357">
        <v>11623.25</v>
      </c>
      <c r="X53" s="357">
        <v>0</v>
      </c>
      <c r="Y53" s="357">
        <v>0</v>
      </c>
      <c r="Z53" s="357">
        <v>11623.25</v>
      </c>
      <c r="AA53" s="357">
        <v>56575.75</v>
      </c>
      <c r="AB53" s="357">
        <v>0</v>
      </c>
      <c r="AC53" s="357">
        <v>0</v>
      </c>
      <c r="AD53" s="357">
        <v>0</v>
      </c>
      <c r="AE53" s="357">
        <v>0</v>
      </c>
      <c r="AF53" s="357">
        <v>0</v>
      </c>
      <c r="AG53" s="357">
        <v>56575.75</v>
      </c>
      <c r="AH53" s="357">
        <v>0</v>
      </c>
      <c r="AI53" s="357">
        <v>0</v>
      </c>
      <c r="AJ53" s="357">
        <v>56575.75</v>
      </c>
      <c r="AK53" s="357">
        <v>56575.75</v>
      </c>
      <c r="AL53" s="357">
        <v>0</v>
      </c>
      <c r="AM53" s="357">
        <v>0</v>
      </c>
      <c r="AN53" s="357">
        <v>56575.75</v>
      </c>
      <c r="AO53" s="357">
        <v>3089233.62</v>
      </c>
      <c r="AP53" s="357">
        <v>0</v>
      </c>
      <c r="AQ53" s="357">
        <v>0</v>
      </c>
      <c r="AR53" s="357">
        <v>3089233.62</v>
      </c>
      <c r="AS53" s="357">
        <v>3500</v>
      </c>
      <c r="AT53" s="357">
        <v>0</v>
      </c>
      <c r="AU53" s="357">
        <v>0</v>
      </c>
      <c r="AV53" s="357">
        <v>3500</v>
      </c>
      <c r="AW53" s="357">
        <v>1292026.51</v>
      </c>
      <c r="AX53" s="357">
        <v>0</v>
      </c>
      <c r="AY53" s="357">
        <v>0</v>
      </c>
      <c r="AZ53" s="357">
        <v>1292026.51</v>
      </c>
      <c r="BA53" s="357">
        <v>1797207.11</v>
      </c>
      <c r="BB53" s="357">
        <v>0</v>
      </c>
      <c r="BC53" s="357">
        <v>0</v>
      </c>
      <c r="BD53" s="357">
        <v>1797207.11</v>
      </c>
      <c r="BE53" s="357">
        <v>6788888.11</v>
      </c>
      <c r="BF53" s="357">
        <v>0</v>
      </c>
      <c r="BG53" s="357">
        <v>0</v>
      </c>
      <c r="BH53" s="357">
        <v>6788888.11</v>
      </c>
      <c r="BI53" s="357">
        <v>100350.47</v>
      </c>
      <c r="BJ53" s="357">
        <v>0</v>
      </c>
      <c r="BK53" s="357">
        <v>0</v>
      </c>
      <c r="BL53" s="357">
        <v>100350.47</v>
      </c>
      <c r="BM53" s="357">
        <v>16689.25</v>
      </c>
      <c r="BN53" s="357">
        <v>0</v>
      </c>
      <c r="BO53" s="357">
        <v>0</v>
      </c>
      <c r="BP53" s="357">
        <v>16689.25</v>
      </c>
      <c r="BQ53" s="357">
        <v>8703134.94</v>
      </c>
      <c r="BR53" s="357">
        <v>0</v>
      </c>
      <c r="BS53" s="357">
        <v>0</v>
      </c>
      <c r="BT53" s="357">
        <v>500000</v>
      </c>
      <c r="BU53" s="357">
        <v>0</v>
      </c>
      <c r="BV53" s="357">
        <v>0</v>
      </c>
      <c r="BW53" s="357">
        <v>9203134.94</v>
      </c>
      <c r="BX53" s="357">
        <v>0</v>
      </c>
      <c r="BY53" s="357">
        <v>0</v>
      </c>
      <c r="BZ53" s="357">
        <v>9203134.94</v>
      </c>
      <c r="CA53" s="357">
        <v>0</v>
      </c>
      <c r="CB53" s="357">
        <v>0</v>
      </c>
      <c r="CC53" s="357">
        <v>0</v>
      </c>
      <c r="CD53" s="357">
        <v>0</v>
      </c>
      <c r="CE53" s="357">
        <v>1051118</v>
      </c>
      <c r="CF53" s="357">
        <v>0</v>
      </c>
      <c r="CG53" s="357">
        <v>0</v>
      </c>
      <c r="CH53" s="357">
        <v>1051118</v>
      </c>
      <c r="CI53" s="357">
        <v>1051118</v>
      </c>
      <c r="CJ53" s="357">
        <v>0</v>
      </c>
      <c r="CK53" s="357">
        <v>0</v>
      </c>
      <c r="CL53" s="357">
        <v>0</v>
      </c>
      <c r="CM53" s="357">
        <v>0</v>
      </c>
      <c r="CN53" s="357">
        <v>0</v>
      </c>
      <c r="CO53" s="357">
        <v>1051118</v>
      </c>
      <c r="CP53" s="357">
        <v>0</v>
      </c>
      <c r="CQ53" s="357">
        <v>0</v>
      </c>
      <c r="CR53" s="357">
        <v>1051118</v>
      </c>
      <c r="CS53" s="357">
        <v>251328</v>
      </c>
      <c r="CT53" s="357">
        <v>0</v>
      </c>
      <c r="CU53" s="357">
        <v>0</v>
      </c>
      <c r="CV53" s="357">
        <v>251328</v>
      </c>
      <c r="CW53" s="357">
        <v>66966.67</v>
      </c>
      <c r="CX53" s="357">
        <v>0</v>
      </c>
      <c r="CY53" s="357">
        <v>0</v>
      </c>
      <c r="CZ53" s="357">
        <v>66966.67</v>
      </c>
      <c r="DA53" s="357">
        <v>4545.26</v>
      </c>
      <c r="DB53" s="357">
        <v>0</v>
      </c>
      <c r="DC53" s="357">
        <v>0</v>
      </c>
      <c r="DD53" s="357">
        <v>4545.26</v>
      </c>
      <c r="DE53" s="357">
        <v>0</v>
      </c>
      <c r="DF53" s="357">
        <v>0</v>
      </c>
      <c r="DG53" s="357">
        <v>0</v>
      </c>
      <c r="DH53" s="357">
        <v>0</v>
      </c>
      <c r="DI53" s="357">
        <v>8836</v>
      </c>
      <c r="DJ53" s="357">
        <v>0</v>
      </c>
      <c r="DK53" s="357">
        <v>0</v>
      </c>
      <c r="DL53" s="357">
        <v>8836</v>
      </c>
      <c r="DM53" s="357">
        <v>0</v>
      </c>
      <c r="DN53" s="357">
        <v>0</v>
      </c>
      <c r="DO53" s="357">
        <v>0</v>
      </c>
      <c r="DP53" s="357">
        <v>0</v>
      </c>
      <c r="DQ53" s="357">
        <v>331675.93</v>
      </c>
      <c r="DR53" s="357">
        <v>0</v>
      </c>
      <c r="DS53" s="357">
        <v>0</v>
      </c>
      <c r="DT53" s="357">
        <v>0</v>
      </c>
      <c r="DU53" s="357">
        <v>0</v>
      </c>
      <c r="DV53" s="357">
        <v>0</v>
      </c>
      <c r="DW53" s="357">
        <v>331675.93</v>
      </c>
      <c r="DX53" s="357">
        <v>0</v>
      </c>
      <c r="DY53" s="357">
        <v>0</v>
      </c>
      <c r="DZ53" s="357">
        <v>331675.93</v>
      </c>
      <c r="EA53" s="357">
        <v>0</v>
      </c>
      <c r="EB53" s="357">
        <v>0</v>
      </c>
      <c r="EC53" s="357">
        <v>0</v>
      </c>
      <c r="ED53" s="357">
        <v>0</v>
      </c>
      <c r="EE53" s="357">
        <v>0</v>
      </c>
      <c r="EF53" s="357">
        <v>0</v>
      </c>
      <c r="EG53" s="357">
        <v>100000</v>
      </c>
      <c r="EH53" s="357">
        <v>0</v>
      </c>
      <c r="EI53" s="357">
        <v>0</v>
      </c>
      <c r="EJ53" s="357">
        <v>100000</v>
      </c>
      <c r="EK53" s="357">
        <v>891500</v>
      </c>
      <c r="EL53" s="357">
        <v>0</v>
      </c>
      <c r="EM53" s="357">
        <v>0</v>
      </c>
      <c r="EN53" s="357">
        <v>891500</v>
      </c>
      <c r="EO53" s="357">
        <v>991500</v>
      </c>
      <c r="EP53" s="357">
        <v>0</v>
      </c>
      <c r="EQ53" s="357">
        <v>0</v>
      </c>
      <c r="ER53" s="357">
        <v>0</v>
      </c>
      <c r="ES53" s="357">
        <v>0</v>
      </c>
      <c r="ET53" s="357">
        <v>0</v>
      </c>
      <c r="EU53" s="357">
        <v>991500</v>
      </c>
      <c r="EV53" s="357">
        <v>0</v>
      </c>
      <c r="EW53" s="357">
        <v>0</v>
      </c>
      <c r="EX53" s="357">
        <v>991500</v>
      </c>
      <c r="EY53" s="357">
        <v>52649138.4</v>
      </c>
      <c r="EZ53" s="357">
        <v>0</v>
      </c>
      <c r="FA53" s="357">
        <v>0</v>
      </c>
      <c r="FB53" s="357">
        <v>52649138.4</v>
      </c>
      <c r="FC53" s="277">
        <v>0</v>
      </c>
      <c r="FD53" s="205"/>
    </row>
    <row r="54" spans="1:160" ht="12.75">
      <c r="A54" s="169">
        <v>47</v>
      </c>
      <c r="B54" s="172" t="s">
        <v>798</v>
      </c>
      <c r="C54" s="258" t="s">
        <v>799</v>
      </c>
      <c r="D54" s="235">
        <v>290114</v>
      </c>
      <c r="E54" s="357">
        <v>105613826</v>
      </c>
      <c r="F54" s="357">
        <v>0</v>
      </c>
      <c r="G54" s="357">
        <v>0</v>
      </c>
      <c r="H54" s="357">
        <v>105613826</v>
      </c>
      <c r="I54" s="357">
        <v>49744112</v>
      </c>
      <c r="J54" s="357">
        <v>0</v>
      </c>
      <c r="K54" s="357">
        <v>0</v>
      </c>
      <c r="L54" s="357">
        <v>139295</v>
      </c>
      <c r="M54" s="357">
        <v>0</v>
      </c>
      <c r="N54" s="357">
        <v>0</v>
      </c>
      <c r="O54" s="357">
        <v>49883407</v>
      </c>
      <c r="P54" s="357">
        <v>0</v>
      </c>
      <c r="Q54" s="357">
        <v>0</v>
      </c>
      <c r="R54" s="357">
        <v>49883407</v>
      </c>
      <c r="S54" s="357">
        <v>28891</v>
      </c>
      <c r="T54" s="357">
        <v>0</v>
      </c>
      <c r="U54" s="357">
        <v>0</v>
      </c>
      <c r="V54" s="357">
        <v>28891</v>
      </c>
      <c r="W54" s="357">
        <v>5600</v>
      </c>
      <c r="X54" s="357">
        <v>0</v>
      </c>
      <c r="Y54" s="357">
        <v>0</v>
      </c>
      <c r="Z54" s="357">
        <v>5600</v>
      </c>
      <c r="AA54" s="357">
        <v>23291</v>
      </c>
      <c r="AB54" s="357">
        <v>0</v>
      </c>
      <c r="AC54" s="357">
        <v>0</v>
      </c>
      <c r="AD54" s="357">
        <v>0</v>
      </c>
      <c r="AE54" s="357">
        <v>0</v>
      </c>
      <c r="AF54" s="357">
        <v>0</v>
      </c>
      <c r="AG54" s="357">
        <v>23291</v>
      </c>
      <c r="AH54" s="357">
        <v>0</v>
      </c>
      <c r="AI54" s="357">
        <v>0</v>
      </c>
      <c r="AJ54" s="357">
        <v>23291</v>
      </c>
      <c r="AK54" s="357">
        <v>23291</v>
      </c>
      <c r="AL54" s="357">
        <v>0</v>
      </c>
      <c r="AM54" s="357">
        <v>0</v>
      </c>
      <c r="AN54" s="357">
        <v>23291</v>
      </c>
      <c r="AO54" s="357">
        <v>2374943</v>
      </c>
      <c r="AP54" s="357">
        <v>0</v>
      </c>
      <c r="AQ54" s="357">
        <v>0</v>
      </c>
      <c r="AR54" s="357">
        <v>2374943</v>
      </c>
      <c r="AS54" s="357">
        <v>15000</v>
      </c>
      <c r="AT54" s="357">
        <v>0</v>
      </c>
      <c r="AU54" s="357">
        <v>0</v>
      </c>
      <c r="AV54" s="357">
        <v>15000</v>
      </c>
      <c r="AW54" s="357">
        <v>992434</v>
      </c>
      <c r="AX54" s="357">
        <v>0</v>
      </c>
      <c r="AY54" s="357">
        <v>0</v>
      </c>
      <c r="AZ54" s="357">
        <v>992434</v>
      </c>
      <c r="BA54" s="357">
        <v>1382509</v>
      </c>
      <c r="BB54" s="357">
        <v>0</v>
      </c>
      <c r="BC54" s="357">
        <v>0</v>
      </c>
      <c r="BD54" s="357">
        <v>1382509</v>
      </c>
      <c r="BE54" s="357">
        <v>3084416</v>
      </c>
      <c r="BF54" s="357">
        <v>0</v>
      </c>
      <c r="BG54" s="357">
        <v>0</v>
      </c>
      <c r="BH54" s="357">
        <v>3084416</v>
      </c>
      <c r="BI54" s="357">
        <v>87322</v>
      </c>
      <c r="BJ54" s="357">
        <v>0</v>
      </c>
      <c r="BK54" s="357">
        <v>0</v>
      </c>
      <c r="BL54" s="357">
        <v>87322</v>
      </c>
      <c r="BM54" s="357">
        <v>33027</v>
      </c>
      <c r="BN54" s="357">
        <v>0</v>
      </c>
      <c r="BO54" s="357">
        <v>0</v>
      </c>
      <c r="BP54" s="357">
        <v>33027</v>
      </c>
      <c r="BQ54" s="357">
        <v>4587274</v>
      </c>
      <c r="BR54" s="357">
        <v>0</v>
      </c>
      <c r="BS54" s="357">
        <v>0</v>
      </c>
      <c r="BT54" s="357">
        <v>0</v>
      </c>
      <c r="BU54" s="357">
        <v>0</v>
      </c>
      <c r="BV54" s="357">
        <v>0</v>
      </c>
      <c r="BW54" s="357">
        <v>4587274</v>
      </c>
      <c r="BX54" s="357">
        <v>0</v>
      </c>
      <c r="BY54" s="357">
        <v>0</v>
      </c>
      <c r="BZ54" s="357">
        <v>4587274</v>
      </c>
      <c r="CA54" s="357">
        <v>0</v>
      </c>
      <c r="CB54" s="357">
        <v>0</v>
      </c>
      <c r="CC54" s="357">
        <v>0</v>
      </c>
      <c r="CD54" s="357">
        <v>0</v>
      </c>
      <c r="CE54" s="357">
        <v>1943739</v>
      </c>
      <c r="CF54" s="357">
        <v>0</v>
      </c>
      <c r="CG54" s="357">
        <v>0</v>
      </c>
      <c r="CH54" s="357">
        <v>1943739</v>
      </c>
      <c r="CI54" s="357">
        <v>1943739</v>
      </c>
      <c r="CJ54" s="357">
        <v>0</v>
      </c>
      <c r="CK54" s="357">
        <v>0</v>
      </c>
      <c r="CL54" s="357">
        <v>0</v>
      </c>
      <c r="CM54" s="357">
        <v>0</v>
      </c>
      <c r="CN54" s="357">
        <v>0</v>
      </c>
      <c r="CO54" s="357">
        <v>1943739</v>
      </c>
      <c r="CP54" s="357">
        <v>0</v>
      </c>
      <c r="CQ54" s="357">
        <v>0</v>
      </c>
      <c r="CR54" s="357">
        <v>1943739</v>
      </c>
      <c r="CS54" s="357">
        <v>58140</v>
      </c>
      <c r="CT54" s="357">
        <v>0</v>
      </c>
      <c r="CU54" s="357">
        <v>0</v>
      </c>
      <c r="CV54" s="357">
        <v>58140</v>
      </c>
      <c r="CW54" s="357">
        <v>29731</v>
      </c>
      <c r="CX54" s="357">
        <v>0</v>
      </c>
      <c r="CY54" s="357">
        <v>0</v>
      </c>
      <c r="CZ54" s="357">
        <v>29731</v>
      </c>
      <c r="DA54" s="357">
        <v>3261</v>
      </c>
      <c r="DB54" s="357">
        <v>0</v>
      </c>
      <c r="DC54" s="357">
        <v>0</v>
      </c>
      <c r="DD54" s="357">
        <v>3261</v>
      </c>
      <c r="DE54" s="357">
        <v>0</v>
      </c>
      <c r="DF54" s="357">
        <v>0</v>
      </c>
      <c r="DG54" s="357">
        <v>0</v>
      </c>
      <c r="DH54" s="357">
        <v>0</v>
      </c>
      <c r="DI54" s="357">
        <v>3684</v>
      </c>
      <c r="DJ54" s="357">
        <v>0</v>
      </c>
      <c r="DK54" s="357">
        <v>0</v>
      </c>
      <c r="DL54" s="357">
        <v>3684</v>
      </c>
      <c r="DM54" s="357">
        <v>0</v>
      </c>
      <c r="DN54" s="357">
        <v>0</v>
      </c>
      <c r="DO54" s="357">
        <v>0</v>
      </c>
      <c r="DP54" s="357">
        <v>0</v>
      </c>
      <c r="DQ54" s="357">
        <v>94816</v>
      </c>
      <c r="DR54" s="357">
        <v>0</v>
      </c>
      <c r="DS54" s="357">
        <v>0</v>
      </c>
      <c r="DT54" s="357">
        <v>0</v>
      </c>
      <c r="DU54" s="357">
        <v>0</v>
      </c>
      <c r="DV54" s="357">
        <v>0</v>
      </c>
      <c r="DW54" s="357">
        <v>94816</v>
      </c>
      <c r="DX54" s="357">
        <v>0</v>
      </c>
      <c r="DY54" s="357">
        <v>0</v>
      </c>
      <c r="DZ54" s="357">
        <v>94816</v>
      </c>
      <c r="EA54" s="357">
        <v>0</v>
      </c>
      <c r="EB54" s="357">
        <v>0</v>
      </c>
      <c r="EC54" s="357">
        <v>0</v>
      </c>
      <c r="ED54" s="357">
        <v>0</v>
      </c>
      <c r="EE54" s="357">
        <v>0</v>
      </c>
      <c r="EF54" s="357">
        <v>0</v>
      </c>
      <c r="EG54" s="357">
        <v>36328</v>
      </c>
      <c r="EH54" s="357">
        <v>0</v>
      </c>
      <c r="EI54" s="357">
        <v>0</v>
      </c>
      <c r="EJ54" s="357">
        <v>36328</v>
      </c>
      <c r="EK54" s="357">
        <v>623180</v>
      </c>
      <c r="EL54" s="357">
        <v>0</v>
      </c>
      <c r="EM54" s="357">
        <v>0</v>
      </c>
      <c r="EN54" s="357">
        <v>623180</v>
      </c>
      <c r="EO54" s="357">
        <v>659508</v>
      </c>
      <c r="EP54" s="357">
        <v>0</v>
      </c>
      <c r="EQ54" s="357">
        <v>0</v>
      </c>
      <c r="ER54" s="357">
        <v>0</v>
      </c>
      <c r="ES54" s="357">
        <v>0</v>
      </c>
      <c r="ET54" s="357">
        <v>0</v>
      </c>
      <c r="EU54" s="357">
        <v>659508</v>
      </c>
      <c r="EV54" s="357">
        <v>0</v>
      </c>
      <c r="EW54" s="357">
        <v>0</v>
      </c>
      <c r="EX54" s="357">
        <v>659508</v>
      </c>
      <c r="EY54" s="357">
        <v>42574779</v>
      </c>
      <c r="EZ54" s="357">
        <v>0</v>
      </c>
      <c r="FA54" s="357">
        <v>0</v>
      </c>
      <c r="FB54" s="357">
        <v>42574779</v>
      </c>
      <c r="FC54" s="277">
        <v>0</v>
      </c>
      <c r="FD54" s="205"/>
    </row>
    <row r="55" spans="1:160" ht="12.75">
      <c r="A55" s="169">
        <v>48</v>
      </c>
      <c r="B55" s="172" t="s">
        <v>800</v>
      </c>
      <c r="C55" s="258" t="s">
        <v>801</v>
      </c>
      <c r="D55" s="235">
        <v>41654</v>
      </c>
      <c r="E55" s="357">
        <v>39706479</v>
      </c>
      <c r="F55" s="357">
        <v>0</v>
      </c>
      <c r="G55" s="357">
        <v>0</v>
      </c>
      <c r="H55" s="357">
        <v>39706479</v>
      </c>
      <c r="I55" s="357">
        <v>18701752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18701752</v>
      </c>
      <c r="P55" s="357">
        <v>0</v>
      </c>
      <c r="Q55" s="357">
        <v>0</v>
      </c>
      <c r="R55" s="357">
        <v>18701752</v>
      </c>
      <c r="S55" s="357">
        <v>119939</v>
      </c>
      <c r="T55" s="357">
        <v>0</v>
      </c>
      <c r="U55" s="357">
        <v>0</v>
      </c>
      <c r="V55" s="357">
        <v>119939</v>
      </c>
      <c r="W55" s="357">
        <v>12154</v>
      </c>
      <c r="X55" s="357">
        <v>0</v>
      </c>
      <c r="Y55" s="357">
        <v>0</v>
      </c>
      <c r="Z55" s="357">
        <v>12154</v>
      </c>
      <c r="AA55" s="357">
        <v>107785</v>
      </c>
      <c r="AB55" s="357">
        <v>0</v>
      </c>
      <c r="AC55" s="357">
        <v>0</v>
      </c>
      <c r="AD55" s="357">
        <v>0</v>
      </c>
      <c r="AE55" s="357">
        <v>0</v>
      </c>
      <c r="AF55" s="357">
        <v>0</v>
      </c>
      <c r="AG55" s="357">
        <v>107785</v>
      </c>
      <c r="AH55" s="357">
        <v>0</v>
      </c>
      <c r="AI55" s="357">
        <v>0</v>
      </c>
      <c r="AJ55" s="357">
        <v>107785</v>
      </c>
      <c r="AK55" s="357">
        <v>107785</v>
      </c>
      <c r="AL55" s="357">
        <v>0</v>
      </c>
      <c r="AM55" s="357">
        <v>0</v>
      </c>
      <c r="AN55" s="357">
        <v>107785</v>
      </c>
      <c r="AO55" s="357">
        <v>1695483</v>
      </c>
      <c r="AP55" s="357">
        <v>0</v>
      </c>
      <c r="AQ55" s="357">
        <v>0</v>
      </c>
      <c r="AR55" s="357">
        <v>1695483</v>
      </c>
      <c r="AS55" s="357">
        <v>33850</v>
      </c>
      <c r="AT55" s="357">
        <v>0</v>
      </c>
      <c r="AU55" s="357">
        <v>0</v>
      </c>
      <c r="AV55" s="357">
        <v>33850</v>
      </c>
      <c r="AW55" s="357">
        <v>333200</v>
      </c>
      <c r="AX55" s="357">
        <v>0</v>
      </c>
      <c r="AY55" s="357">
        <v>0</v>
      </c>
      <c r="AZ55" s="357">
        <v>333200</v>
      </c>
      <c r="BA55" s="357">
        <v>1362283</v>
      </c>
      <c r="BB55" s="357">
        <v>0</v>
      </c>
      <c r="BC55" s="357">
        <v>0</v>
      </c>
      <c r="BD55" s="357">
        <v>1362283</v>
      </c>
      <c r="BE55" s="357">
        <v>1304071</v>
      </c>
      <c r="BF55" s="357">
        <v>0</v>
      </c>
      <c r="BG55" s="357">
        <v>0</v>
      </c>
      <c r="BH55" s="357">
        <v>1304071</v>
      </c>
      <c r="BI55" s="357">
        <v>9139</v>
      </c>
      <c r="BJ55" s="357">
        <v>0</v>
      </c>
      <c r="BK55" s="357">
        <v>0</v>
      </c>
      <c r="BL55" s="357">
        <v>9139</v>
      </c>
      <c r="BM55" s="357">
        <v>0</v>
      </c>
      <c r="BN55" s="357">
        <v>0</v>
      </c>
      <c r="BO55" s="357">
        <v>0</v>
      </c>
      <c r="BP55" s="357">
        <v>0</v>
      </c>
      <c r="BQ55" s="357">
        <v>2675493</v>
      </c>
      <c r="BR55" s="357">
        <v>0</v>
      </c>
      <c r="BS55" s="357">
        <v>0</v>
      </c>
      <c r="BT55" s="357">
        <v>0</v>
      </c>
      <c r="BU55" s="357">
        <v>0</v>
      </c>
      <c r="BV55" s="357">
        <v>0</v>
      </c>
      <c r="BW55" s="357">
        <v>2675493</v>
      </c>
      <c r="BX55" s="357">
        <v>0</v>
      </c>
      <c r="BY55" s="357">
        <v>0</v>
      </c>
      <c r="BZ55" s="357">
        <v>2675493</v>
      </c>
      <c r="CA55" s="357">
        <v>1000</v>
      </c>
      <c r="CB55" s="357">
        <v>0</v>
      </c>
      <c r="CC55" s="357">
        <v>0</v>
      </c>
      <c r="CD55" s="357">
        <v>1000</v>
      </c>
      <c r="CE55" s="357">
        <v>137349</v>
      </c>
      <c r="CF55" s="357">
        <v>0</v>
      </c>
      <c r="CG55" s="357">
        <v>0</v>
      </c>
      <c r="CH55" s="357">
        <v>137349</v>
      </c>
      <c r="CI55" s="357">
        <v>138349</v>
      </c>
      <c r="CJ55" s="357">
        <v>0</v>
      </c>
      <c r="CK55" s="357">
        <v>0</v>
      </c>
      <c r="CL55" s="357">
        <v>0</v>
      </c>
      <c r="CM55" s="357">
        <v>0</v>
      </c>
      <c r="CN55" s="357">
        <v>0</v>
      </c>
      <c r="CO55" s="357">
        <v>138349</v>
      </c>
      <c r="CP55" s="357">
        <v>0</v>
      </c>
      <c r="CQ55" s="357">
        <v>0</v>
      </c>
      <c r="CR55" s="357">
        <v>138349</v>
      </c>
      <c r="CS55" s="357">
        <v>57129</v>
      </c>
      <c r="CT55" s="357">
        <v>0</v>
      </c>
      <c r="CU55" s="357">
        <v>0</v>
      </c>
      <c r="CV55" s="357">
        <v>57129</v>
      </c>
      <c r="CW55" s="357">
        <v>34115</v>
      </c>
      <c r="CX55" s="357">
        <v>0</v>
      </c>
      <c r="CY55" s="357">
        <v>0</v>
      </c>
      <c r="CZ55" s="357">
        <v>34115</v>
      </c>
      <c r="DA55" s="357">
        <v>2300</v>
      </c>
      <c r="DB55" s="357">
        <v>0</v>
      </c>
      <c r="DC55" s="357">
        <v>0</v>
      </c>
      <c r="DD55" s="357">
        <v>2300</v>
      </c>
      <c r="DE55" s="357">
        <v>0</v>
      </c>
      <c r="DF55" s="357">
        <v>0</v>
      </c>
      <c r="DG55" s="357">
        <v>0</v>
      </c>
      <c r="DH55" s="357">
        <v>0</v>
      </c>
      <c r="DI55" s="357">
        <v>0</v>
      </c>
      <c r="DJ55" s="357">
        <v>0</v>
      </c>
      <c r="DK55" s="357">
        <v>0</v>
      </c>
      <c r="DL55" s="357">
        <v>0</v>
      </c>
      <c r="DM55" s="357">
        <v>0</v>
      </c>
      <c r="DN55" s="357">
        <v>0</v>
      </c>
      <c r="DO55" s="357">
        <v>0</v>
      </c>
      <c r="DP55" s="357">
        <v>0</v>
      </c>
      <c r="DQ55" s="357">
        <v>93544</v>
      </c>
      <c r="DR55" s="357">
        <v>0</v>
      </c>
      <c r="DS55" s="357">
        <v>0</v>
      </c>
      <c r="DT55" s="357">
        <v>0</v>
      </c>
      <c r="DU55" s="357">
        <v>0</v>
      </c>
      <c r="DV55" s="357">
        <v>0</v>
      </c>
      <c r="DW55" s="357">
        <v>93544</v>
      </c>
      <c r="DX55" s="357">
        <v>0</v>
      </c>
      <c r="DY55" s="357">
        <v>0</v>
      </c>
      <c r="DZ55" s="357">
        <v>93544</v>
      </c>
      <c r="EA55" s="357">
        <v>0</v>
      </c>
      <c r="EB55" s="357">
        <v>0</v>
      </c>
      <c r="EC55" s="357">
        <v>7500</v>
      </c>
      <c r="ED55" s="357">
        <v>0</v>
      </c>
      <c r="EE55" s="357">
        <v>0</v>
      </c>
      <c r="EF55" s="357">
        <v>7500</v>
      </c>
      <c r="EG55" s="357">
        <v>39240</v>
      </c>
      <c r="EH55" s="357">
        <v>0</v>
      </c>
      <c r="EI55" s="357">
        <v>0</v>
      </c>
      <c r="EJ55" s="357">
        <v>39240</v>
      </c>
      <c r="EK55" s="357">
        <v>429500</v>
      </c>
      <c r="EL55" s="357">
        <v>0</v>
      </c>
      <c r="EM55" s="357">
        <v>0</v>
      </c>
      <c r="EN55" s="357">
        <v>429500</v>
      </c>
      <c r="EO55" s="357">
        <v>476240</v>
      </c>
      <c r="EP55" s="357">
        <v>0</v>
      </c>
      <c r="EQ55" s="357">
        <v>0</v>
      </c>
      <c r="ER55" s="357">
        <v>0</v>
      </c>
      <c r="ES55" s="357">
        <v>0</v>
      </c>
      <c r="ET55" s="357">
        <v>0</v>
      </c>
      <c r="EU55" s="357">
        <v>476240</v>
      </c>
      <c r="EV55" s="357">
        <v>0</v>
      </c>
      <c r="EW55" s="357">
        <v>0</v>
      </c>
      <c r="EX55" s="357">
        <v>476240</v>
      </c>
      <c r="EY55" s="357">
        <v>15210341</v>
      </c>
      <c r="EZ55" s="357">
        <v>0</v>
      </c>
      <c r="FA55" s="357">
        <v>0</v>
      </c>
      <c r="FB55" s="357">
        <v>15210341</v>
      </c>
      <c r="FC55" s="277">
        <v>0</v>
      </c>
      <c r="FD55" s="205"/>
    </row>
    <row r="56" spans="1:160" ht="12.75">
      <c r="A56" s="169">
        <v>49</v>
      </c>
      <c r="B56" s="173" t="s">
        <v>802</v>
      </c>
      <c r="C56" s="259" t="s">
        <v>803</v>
      </c>
      <c r="D56" s="235">
        <v>41664</v>
      </c>
      <c r="E56" s="357">
        <v>196591634</v>
      </c>
      <c r="F56" s="357">
        <v>0</v>
      </c>
      <c r="G56" s="357">
        <v>0</v>
      </c>
      <c r="H56" s="357">
        <v>196591634</v>
      </c>
      <c r="I56" s="357">
        <v>92594660</v>
      </c>
      <c r="J56" s="357">
        <v>0</v>
      </c>
      <c r="K56" s="357">
        <v>0</v>
      </c>
      <c r="L56" s="357">
        <v>-1307207</v>
      </c>
      <c r="M56" s="357">
        <v>0</v>
      </c>
      <c r="N56" s="357">
        <v>0</v>
      </c>
      <c r="O56" s="357">
        <v>91287453</v>
      </c>
      <c r="P56" s="357">
        <v>0</v>
      </c>
      <c r="Q56" s="357">
        <v>0</v>
      </c>
      <c r="R56" s="357">
        <v>91287453</v>
      </c>
      <c r="S56" s="357">
        <v>230817</v>
      </c>
      <c r="T56" s="357">
        <v>0</v>
      </c>
      <c r="U56" s="357">
        <v>0</v>
      </c>
      <c r="V56" s="357">
        <v>230817</v>
      </c>
      <c r="W56" s="357">
        <v>28193</v>
      </c>
      <c r="X56" s="357">
        <v>0</v>
      </c>
      <c r="Y56" s="357">
        <v>0</v>
      </c>
      <c r="Z56" s="357">
        <v>28193</v>
      </c>
      <c r="AA56" s="357">
        <v>202624</v>
      </c>
      <c r="AB56" s="357">
        <v>0</v>
      </c>
      <c r="AC56" s="357">
        <v>0</v>
      </c>
      <c r="AD56" s="357">
        <v>-2857</v>
      </c>
      <c r="AE56" s="357">
        <v>0</v>
      </c>
      <c r="AF56" s="357">
        <v>0</v>
      </c>
      <c r="AG56" s="357">
        <v>199767</v>
      </c>
      <c r="AH56" s="357">
        <v>0</v>
      </c>
      <c r="AI56" s="357">
        <v>0</v>
      </c>
      <c r="AJ56" s="357">
        <v>199767</v>
      </c>
      <c r="AK56" s="357">
        <v>199767</v>
      </c>
      <c r="AL56" s="357">
        <v>0</v>
      </c>
      <c r="AM56" s="357">
        <v>0</v>
      </c>
      <c r="AN56" s="357">
        <v>199767</v>
      </c>
      <c r="AO56" s="357">
        <v>4255707</v>
      </c>
      <c r="AP56" s="357">
        <v>0</v>
      </c>
      <c r="AQ56" s="357">
        <v>0</v>
      </c>
      <c r="AR56" s="357">
        <v>4255707</v>
      </c>
      <c r="AS56" s="357">
        <v>-70650</v>
      </c>
      <c r="AT56" s="357">
        <v>0</v>
      </c>
      <c r="AU56" s="357">
        <v>0</v>
      </c>
      <c r="AV56" s="357">
        <v>-70650</v>
      </c>
      <c r="AW56" s="357">
        <v>1827215</v>
      </c>
      <c r="AX56" s="357">
        <v>0</v>
      </c>
      <c r="AY56" s="357">
        <v>0</v>
      </c>
      <c r="AZ56" s="357">
        <v>1827215</v>
      </c>
      <c r="BA56" s="357">
        <v>2428492</v>
      </c>
      <c r="BB56" s="357">
        <v>0</v>
      </c>
      <c r="BC56" s="357">
        <v>0</v>
      </c>
      <c r="BD56" s="357">
        <v>2428492</v>
      </c>
      <c r="BE56" s="357">
        <v>5901483</v>
      </c>
      <c r="BF56" s="357">
        <v>0</v>
      </c>
      <c r="BG56" s="357">
        <v>0</v>
      </c>
      <c r="BH56" s="357">
        <v>5901483</v>
      </c>
      <c r="BI56" s="357">
        <v>111882</v>
      </c>
      <c r="BJ56" s="357">
        <v>0</v>
      </c>
      <c r="BK56" s="357">
        <v>0</v>
      </c>
      <c r="BL56" s="357">
        <v>111882</v>
      </c>
      <c r="BM56" s="357">
        <v>49965</v>
      </c>
      <c r="BN56" s="357">
        <v>0</v>
      </c>
      <c r="BO56" s="357">
        <v>0</v>
      </c>
      <c r="BP56" s="357">
        <v>49965</v>
      </c>
      <c r="BQ56" s="357">
        <v>8491822</v>
      </c>
      <c r="BR56" s="357">
        <v>0</v>
      </c>
      <c r="BS56" s="357">
        <v>0</v>
      </c>
      <c r="BT56" s="357">
        <v>-119735</v>
      </c>
      <c r="BU56" s="357">
        <v>0</v>
      </c>
      <c r="BV56" s="357">
        <v>0</v>
      </c>
      <c r="BW56" s="357">
        <v>8372087</v>
      </c>
      <c r="BX56" s="357">
        <v>0</v>
      </c>
      <c r="BY56" s="357">
        <v>0</v>
      </c>
      <c r="BZ56" s="357">
        <v>8372087</v>
      </c>
      <c r="CA56" s="357">
        <v>310794</v>
      </c>
      <c r="CB56" s="357">
        <v>0</v>
      </c>
      <c r="CC56" s="357">
        <v>0</v>
      </c>
      <c r="CD56" s="357">
        <v>310794</v>
      </c>
      <c r="CE56" s="357">
        <v>2275648</v>
      </c>
      <c r="CF56" s="357">
        <v>0</v>
      </c>
      <c r="CG56" s="357">
        <v>0</v>
      </c>
      <c r="CH56" s="357">
        <v>2275648</v>
      </c>
      <c r="CI56" s="357">
        <v>2586442</v>
      </c>
      <c r="CJ56" s="357">
        <v>0</v>
      </c>
      <c r="CK56" s="357">
        <v>0</v>
      </c>
      <c r="CL56" s="357">
        <v>-36469</v>
      </c>
      <c r="CM56" s="357">
        <v>0</v>
      </c>
      <c r="CN56" s="357">
        <v>0</v>
      </c>
      <c r="CO56" s="357">
        <v>2549973</v>
      </c>
      <c r="CP56" s="357">
        <v>0</v>
      </c>
      <c r="CQ56" s="357">
        <v>0</v>
      </c>
      <c r="CR56" s="357">
        <v>2549973</v>
      </c>
      <c r="CS56" s="357">
        <v>333509</v>
      </c>
      <c r="CT56" s="357">
        <v>0</v>
      </c>
      <c r="CU56" s="357">
        <v>0</v>
      </c>
      <c r="CV56" s="357">
        <v>333509</v>
      </c>
      <c r="CW56" s="357">
        <v>255514</v>
      </c>
      <c r="CX56" s="357">
        <v>0</v>
      </c>
      <c r="CY56" s="357">
        <v>0</v>
      </c>
      <c r="CZ56" s="357">
        <v>255514</v>
      </c>
      <c r="DA56" s="357">
        <v>0</v>
      </c>
      <c r="DB56" s="357">
        <v>0</v>
      </c>
      <c r="DC56" s="357">
        <v>0</v>
      </c>
      <c r="DD56" s="357">
        <v>0</v>
      </c>
      <c r="DE56" s="357">
        <v>30999</v>
      </c>
      <c r="DF56" s="357">
        <v>0</v>
      </c>
      <c r="DG56" s="357">
        <v>0</v>
      </c>
      <c r="DH56" s="357">
        <v>30999</v>
      </c>
      <c r="DI56" s="357">
        <v>13188</v>
      </c>
      <c r="DJ56" s="357">
        <v>0</v>
      </c>
      <c r="DK56" s="357">
        <v>0</v>
      </c>
      <c r="DL56" s="357">
        <v>13188</v>
      </c>
      <c r="DM56" s="357">
        <v>0</v>
      </c>
      <c r="DN56" s="357">
        <v>0</v>
      </c>
      <c r="DO56" s="357">
        <v>0</v>
      </c>
      <c r="DP56" s="357">
        <v>0</v>
      </c>
      <c r="DQ56" s="357">
        <v>633210</v>
      </c>
      <c r="DR56" s="357">
        <v>0</v>
      </c>
      <c r="DS56" s="357">
        <v>0</v>
      </c>
      <c r="DT56" s="357">
        <v>-8928</v>
      </c>
      <c r="DU56" s="357">
        <v>0</v>
      </c>
      <c r="DV56" s="357">
        <v>0</v>
      </c>
      <c r="DW56" s="357">
        <v>624282</v>
      </c>
      <c r="DX56" s="357">
        <v>0</v>
      </c>
      <c r="DY56" s="357">
        <v>0</v>
      </c>
      <c r="DZ56" s="357">
        <v>624282</v>
      </c>
      <c r="EA56" s="357">
        <v>0</v>
      </c>
      <c r="EB56" s="357">
        <v>0</v>
      </c>
      <c r="EC56" s="357">
        <v>0</v>
      </c>
      <c r="ED56" s="357">
        <v>0</v>
      </c>
      <c r="EE56" s="357">
        <v>0</v>
      </c>
      <c r="EF56" s="357">
        <v>0</v>
      </c>
      <c r="EG56" s="357">
        <v>300000</v>
      </c>
      <c r="EH56" s="357">
        <v>0</v>
      </c>
      <c r="EI56" s="357">
        <v>0</v>
      </c>
      <c r="EJ56" s="357">
        <v>300000</v>
      </c>
      <c r="EK56" s="357">
        <v>1072625</v>
      </c>
      <c r="EL56" s="357">
        <v>0</v>
      </c>
      <c r="EM56" s="357">
        <v>0</v>
      </c>
      <c r="EN56" s="357">
        <v>1072625</v>
      </c>
      <c r="EO56" s="357">
        <v>1372625</v>
      </c>
      <c r="EP56" s="357">
        <v>0</v>
      </c>
      <c r="EQ56" s="357">
        <v>0</v>
      </c>
      <c r="ER56" s="357">
        <v>-19354</v>
      </c>
      <c r="ES56" s="357">
        <v>0</v>
      </c>
      <c r="ET56" s="357">
        <v>0</v>
      </c>
      <c r="EU56" s="357">
        <v>1353271</v>
      </c>
      <c r="EV56" s="357">
        <v>0</v>
      </c>
      <c r="EW56" s="357">
        <v>0</v>
      </c>
      <c r="EX56" s="357">
        <v>1353271</v>
      </c>
      <c r="EY56" s="357">
        <v>78188073</v>
      </c>
      <c r="EZ56" s="357">
        <v>0</v>
      </c>
      <c r="FA56" s="357">
        <v>0</v>
      </c>
      <c r="FB56" s="357">
        <v>78188073</v>
      </c>
      <c r="FC56" s="277">
        <v>0</v>
      </c>
      <c r="FD56" s="205"/>
    </row>
    <row r="57" spans="1:160" ht="12.75">
      <c r="A57" s="169">
        <v>50</v>
      </c>
      <c r="B57" s="172" t="s">
        <v>804</v>
      </c>
      <c r="C57" s="258" t="s">
        <v>805</v>
      </c>
      <c r="D57" s="235">
        <v>41651</v>
      </c>
      <c r="E57" s="357">
        <v>113265559</v>
      </c>
      <c r="F57" s="357">
        <v>0</v>
      </c>
      <c r="G57" s="357">
        <v>0</v>
      </c>
      <c r="H57" s="357">
        <v>113265559</v>
      </c>
      <c r="I57" s="357">
        <v>53348078</v>
      </c>
      <c r="J57" s="357">
        <v>0</v>
      </c>
      <c r="K57" s="357">
        <v>0</v>
      </c>
      <c r="L57" s="357">
        <v>-2667404</v>
      </c>
      <c r="M57" s="357">
        <v>0</v>
      </c>
      <c r="N57" s="357">
        <v>0</v>
      </c>
      <c r="O57" s="357">
        <v>50680674</v>
      </c>
      <c r="P57" s="357">
        <v>0</v>
      </c>
      <c r="Q57" s="357">
        <v>0</v>
      </c>
      <c r="R57" s="357">
        <v>50680674</v>
      </c>
      <c r="S57" s="357">
        <v>59056.6</v>
      </c>
      <c r="T57" s="357">
        <v>0</v>
      </c>
      <c r="U57" s="357">
        <v>0</v>
      </c>
      <c r="V57" s="357">
        <v>59056.6</v>
      </c>
      <c r="W57" s="357">
        <v>4634.02</v>
      </c>
      <c r="X57" s="357">
        <v>0</v>
      </c>
      <c r="Y57" s="357">
        <v>0</v>
      </c>
      <c r="Z57" s="357">
        <v>4634.02</v>
      </c>
      <c r="AA57" s="357">
        <v>54422.58</v>
      </c>
      <c r="AB57" s="357">
        <v>0</v>
      </c>
      <c r="AC57" s="357">
        <v>0</v>
      </c>
      <c r="AD57" s="357">
        <v>0</v>
      </c>
      <c r="AE57" s="357">
        <v>0</v>
      </c>
      <c r="AF57" s="357">
        <v>0</v>
      </c>
      <c r="AG57" s="357">
        <v>54422.58</v>
      </c>
      <c r="AH57" s="357">
        <v>0</v>
      </c>
      <c r="AI57" s="357">
        <v>0</v>
      </c>
      <c r="AJ57" s="357">
        <v>54422.58</v>
      </c>
      <c r="AK57" s="357">
        <v>54422.58</v>
      </c>
      <c r="AL57" s="357">
        <v>0</v>
      </c>
      <c r="AM57" s="357">
        <v>0</v>
      </c>
      <c r="AN57" s="357">
        <v>54422.58</v>
      </c>
      <c r="AO57" s="357">
        <v>2958523.55</v>
      </c>
      <c r="AP57" s="357">
        <v>0</v>
      </c>
      <c r="AQ57" s="357">
        <v>0</v>
      </c>
      <c r="AR57" s="357">
        <v>2958523.55</v>
      </c>
      <c r="AS57" s="357">
        <v>10000</v>
      </c>
      <c r="AT57" s="357">
        <v>0</v>
      </c>
      <c r="AU57" s="357">
        <v>0</v>
      </c>
      <c r="AV57" s="357">
        <v>10000</v>
      </c>
      <c r="AW57" s="357">
        <v>1042948.21</v>
      </c>
      <c r="AX57" s="357">
        <v>0</v>
      </c>
      <c r="AY57" s="357">
        <v>0</v>
      </c>
      <c r="AZ57" s="357">
        <v>1042948.21</v>
      </c>
      <c r="BA57" s="357">
        <v>1915575.34</v>
      </c>
      <c r="BB57" s="357">
        <v>0</v>
      </c>
      <c r="BC57" s="357">
        <v>0</v>
      </c>
      <c r="BD57" s="357">
        <v>1915575.34</v>
      </c>
      <c r="BE57" s="357">
        <v>5374274.95</v>
      </c>
      <c r="BF57" s="357">
        <v>0</v>
      </c>
      <c r="BG57" s="357">
        <v>0</v>
      </c>
      <c r="BH57" s="357">
        <v>5374274.95</v>
      </c>
      <c r="BI57" s="357">
        <v>14737.73</v>
      </c>
      <c r="BJ57" s="357">
        <v>0</v>
      </c>
      <c r="BK57" s="357">
        <v>0</v>
      </c>
      <c r="BL57" s="357">
        <v>14737.73</v>
      </c>
      <c r="BM57" s="357">
        <v>1534.9</v>
      </c>
      <c r="BN57" s="357">
        <v>0</v>
      </c>
      <c r="BO57" s="357">
        <v>0</v>
      </c>
      <c r="BP57" s="357">
        <v>1534.9</v>
      </c>
      <c r="BQ57" s="357">
        <v>7306122.92</v>
      </c>
      <c r="BR57" s="357">
        <v>0</v>
      </c>
      <c r="BS57" s="357">
        <v>0</v>
      </c>
      <c r="BT57" s="357">
        <v>400000</v>
      </c>
      <c r="BU57" s="357">
        <v>0</v>
      </c>
      <c r="BV57" s="357">
        <v>0</v>
      </c>
      <c r="BW57" s="357">
        <v>7706122.92</v>
      </c>
      <c r="BX57" s="357">
        <v>0</v>
      </c>
      <c r="BY57" s="357">
        <v>0</v>
      </c>
      <c r="BZ57" s="357">
        <v>7706122.92</v>
      </c>
      <c r="CA57" s="357">
        <v>50000</v>
      </c>
      <c r="CB57" s="357">
        <v>0</v>
      </c>
      <c r="CC57" s="357">
        <v>0</v>
      </c>
      <c r="CD57" s="357">
        <v>50000</v>
      </c>
      <c r="CE57" s="357">
        <v>947586.74</v>
      </c>
      <c r="CF57" s="357">
        <v>0</v>
      </c>
      <c r="CG57" s="357">
        <v>0</v>
      </c>
      <c r="CH57" s="357">
        <v>947586.74</v>
      </c>
      <c r="CI57" s="357">
        <v>997586.74</v>
      </c>
      <c r="CJ57" s="357">
        <v>0</v>
      </c>
      <c r="CK57" s="357">
        <v>0</v>
      </c>
      <c r="CL57" s="357">
        <v>600000</v>
      </c>
      <c r="CM57" s="357">
        <v>0</v>
      </c>
      <c r="CN57" s="357">
        <v>0</v>
      </c>
      <c r="CO57" s="357">
        <v>1597586.74</v>
      </c>
      <c r="CP57" s="357">
        <v>0</v>
      </c>
      <c r="CQ57" s="357">
        <v>0</v>
      </c>
      <c r="CR57" s="357">
        <v>1597586.74</v>
      </c>
      <c r="CS57" s="357">
        <v>64216.37</v>
      </c>
      <c r="CT57" s="357">
        <v>0</v>
      </c>
      <c r="CU57" s="357">
        <v>0</v>
      </c>
      <c r="CV57" s="357">
        <v>64216.37</v>
      </c>
      <c r="CW57" s="357">
        <v>183480</v>
      </c>
      <c r="CX57" s="357">
        <v>0</v>
      </c>
      <c r="CY57" s="357">
        <v>0</v>
      </c>
      <c r="CZ57" s="357">
        <v>183480</v>
      </c>
      <c r="DA57" s="357">
        <v>412.11</v>
      </c>
      <c r="DB57" s="357">
        <v>0</v>
      </c>
      <c r="DC57" s="357">
        <v>0</v>
      </c>
      <c r="DD57" s="357">
        <v>412.11</v>
      </c>
      <c r="DE57" s="357">
        <v>0</v>
      </c>
      <c r="DF57" s="357">
        <v>0</v>
      </c>
      <c r="DG57" s="357">
        <v>0</v>
      </c>
      <c r="DH57" s="357">
        <v>0</v>
      </c>
      <c r="DI57" s="357">
        <v>406.61</v>
      </c>
      <c r="DJ57" s="357">
        <v>0</v>
      </c>
      <c r="DK57" s="357">
        <v>0</v>
      </c>
      <c r="DL57" s="357">
        <v>406.61</v>
      </c>
      <c r="DM57" s="357">
        <v>26799</v>
      </c>
      <c r="DN57" s="357">
        <v>0</v>
      </c>
      <c r="DO57" s="357">
        <v>0</v>
      </c>
      <c r="DP57" s="357">
        <v>26799</v>
      </c>
      <c r="DQ57" s="357">
        <v>275314.09</v>
      </c>
      <c r="DR57" s="357">
        <v>0</v>
      </c>
      <c r="DS57" s="357">
        <v>0</v>
      </c>
      <c r="DT57" s="357">
        <v>0</v>
      </c>
      <c r="DU57" s="357">
        <v>0</v>
      </c>
      <c r="DV57" s="357">
        <v>0</v>
      </c>
      <c r="DW57" s="357">
        <v>275314.09</v>
      </c>
      <c r="DX57" s="357">
        <v>0</v>
      </c>
      <c r="DY57" s="357">
        <v>0</v>
      </c>
      <c r="DZ57" s="357">
        <v>275314.09</v>
      </c>
      <c r="EA57" s="357">
        <v>0</v>
      </c>
      <c r="EB57" s="357">
        <v>0</v>
      </c>
      <c r="EC57" s="357">
        <v>0</v>
      </c>
      <c r="ED57" s="357">
        <v>0</v>
      </c>
      <c r="EE57" s="357">
        <v>0</v>
      </c>
      <c r="EF57" s="357">
        <v>0</v>
      </c>
      <c r="EG57" s="357">
        <v>40811</v>
      </c>
      <c r="EH57" s="357">
        <v>0</v>
      </c>
      <c r="EI57" s="357">
        <v>0</v>
      </c>
      <c r="EJ57" s="357">
        <v>40811</v>
      </c>
      <c r="EK57" s="357">
        <v>582150</v>
      </c>
      <c r="EL57" s="357">
        <v>0</v>
      </c>
      <c r="EM57" s="357">
        <v>0</v>
      </c>
      <c r="EN57" s="357">
        <v>582150</v>
      </c>
      <c r="EO57" s="357">
        <v>622961</v>
      </c>
      <c r="EP57" s="357">
        <v>0</v>
      </c>
      <c r="EQ57" s="357">
        <v>0</v>
      </c>
      <c r="ER57" s="357">
        <v>0</v>
      </c>
      <c r="ES57" s="357">
        <v>0</v>
      </c>
      <c r="ET57" s="357">
        <v>0</v>
      </c>
      <c r="EU57" s="357">
        <v>622961</v>
      </c>
      <c r="EV57" s="357">
        <v>0</v>
      </c>
      <c r="EW57" s="357">
        <v>0</v>
      </c>
      <c r="EX57" s="357">
        <v>622961</v>
      </c>
      <c r="EY57" s="357">
        <v>40424266.7</v>
      </c>
      <c r="EZ57" s="357">
        <v>0</v>
      </c>
      <c r="FA57" s="357">
        <v>0</v>
      </c>
      <c r="FB57" s="357">
        <v>40424266.7</v>
      </c>
      <c r="FC57" s="277">
        <v>0</v>
      </c>
      <c r="FD57" s="205"/>
    </row>
    <row r="58" spans="1:160" ht="12.75">
      <c r="A58" s="169">
        <v>51</v>
      </c>
      <c r="B58" s="172" t="s">
        <v>806</v>
      </c>
      <c r="C58" s="258" t="s">
        <v>807</v>
      </c>
      <c r="D58" s="235">
        <v>41639</v>
      </c>
      <c r="E58" s="357">
        <v>187478162</v>
      </c>
      <c r="F58" s="357">
        <v>0</v>
      </c>
      <c r="G58" s="357">
        <v>0</v>
      </c>
      <c r="H58" s="357">
        <v>187478162</v>
      </c>
      <c r="I58" s="357">
        <v>88302214</v>
      </c>
      <c r="J58" s="357">
        <v>0</v>
      </c>
      <c r="K58" s="357">
        <v>0</v>
      </c>
      <c r="L58" s="357">
        <v>-750000</v>
      </c>
      <c r="M58" s="357">
        <v>0</v>
      </c>
      <c r="N58" s="357">
        <v>0</v>
      </c>
      <c r="O58" s="357">
        <v>87552214</v>
      </c>
      <c r="P58" s="357">
        <v>0</v>
      </c>
      <c r="Q58" s="357">
        <v>0</v>
      </c>
      <c r="R58" s="357">
        <v>87552214</v>
      </c>
      <c r="S58" s="357">
        <v>75786.81</v>
      </c>
      <c r="T58" s="357">
        <v>0</v>
      </c>
      <c r="U58" s="357">
        <v>0</v>
      </c>
      <c r="V58" s="357">
        <v>75786.81</v>
      </c>
      <c r="W58" s="357">
        <v>31783.64</v>
      </c>
      <c r="X58" s="357">
        <v>0</v>
      </c>
      <c r="Y58" s="357">
        <v>0</v>
      </c>
      <c r="Z58" s="357">
        <v>31783.64</v>
      </c>
      <c r="AA58" s="357">
        <v>44003.17</v>
      </c>
      <c r="AB58" s="357">
        <v>0</v>
      </c>
      <c r="AC58" s="357">
        <v>0</v>
      </c>
      <c r="AD58" s="357">
        <v>0</v>
      </c>
      <c r="AE58" s="357">
        <v>0</v>
      </c>
      <c r="AF58" s="357">
        <v>0</v>
      </c>
      <c r="AG58" s="357">
        <v>44003.17</v>
      </c>
      <c r="AH58" s="357">
        <v>0</v>
      </c>
      <c r="AI58" s="357">
        <v>0</v>
      </c>
      <c r="AJ58" s="357">
        <v>44003.17</v>
      </c>
      <c r="AK58" s="357">
        <v>44003.17</v>
      </c>
      <c r="AL58" s="357">
        <v>0</v>
      </c>
      <c r="AM58" s="357">
        <v>0</v>
      </c>
      <c r="AN58" s="357">
        <v>44003.17</v>
      </c>
      <c r="AO58" s="357">
        <v>2353029.43</v>
      </c>
      <c r="AP58" s="357">
        <v>0</v>
      </c>
      <c r="AQ58" s="357">
        <v>0</v>
      </c>
      <c r="AR58" s="357">
        <v>2353029.43</v>
      </c>
      <c r="AS58" s="357">
        <v>0</v>
      </c>
      <c r="AT58" s="357">
        <v>0</v>
      </c>
      <c r="AU58" s="357">
        <v>0</v>
      </c>
      <c r="AV58" s="357">
        <v>0</v>
      </c>
      <c r="AW58" s="357">
        <v>1860472.81</v>
      </c>
      <c r="AX58" s="357">
        <v>0</v>
      </c>
      <c r="AY58" s="357">
        <v>0</v>
      </c>
      <c r="AZ58" s="357">
        <v>1860472.81</v>
      </c>
      <c r="BA58" s="357">
        <v>492556.62</v>
      </c>
      <c r="BB58" s="357">
        <v>0</v>
      </c>
      <c r="BC58" s="357">
        <v>0</v>
      </c>
      <c r="BD58" s="357">
        <v>492556.62</v>
      </c>
      <c r="BE58" s="357">
        <v>4376922.46</v>
      </c>
      <c r="BF58" s="357">
        <v>0</v>
      </c>
      <c r="BG58" s="357">
        <v>0</v>
      </c>
      <c r="BH58" s="357">
        <v>4376922.46</v>
      </c>
      <c r="BI58" s="357">
        <v>32776</v>
      </c>
      <c r="BJ58" s="357">
        <v>0</v>
      </c>
      <c r="BK58" s="357">
        <v>0</v>
      </c>
      <c r="BL58" s="357">
        <v>32776</v>
      </c>
      <c r="BM58" s="357">
        <v>8447.05</v>
      </c>
      <c r="BN58" s="357">
        <v>0</v>
      </c>
      <c r="BO58" s="357">
        <v>0</v>
      </c>
      <c r="BP58" s="357">
        <v>8447.05</v>
      </c>
      <c r="BQ58" s="357">
        <v>4910702.13</v>
      </c>
      <c r="BR58" s="357">
        <v>0</v>
      </c>
      <c r="BS58" s="357">
        <v>0</v>
      </c>
      <c r="BT58" s="357">
        <v>0</v>
      </c>
      <c r="BU58" s="357">
        <v>0</v>
      </c>
      <c r="BV58" s="357">
        <v>0</v>
      </c>
      <c r="BW58" s="357">
        <v>4910702.13</v>
      </c>
      <c r="BX58" s="357">
        <v>0</v>
      </c>
      <c r="BY58" s="357">
        <v>0</v>
      </c>
      <c r="BZ58" s="357">
        <v>4910702.13</v>
      </c>
      <c r="CA58" s="357">
        <v>0</v>
      </c>
      <c r="CB58" s="357">
        <v>0</v>
      </c>
      <c r="CC58" s="357">
        <v>0</v>
      </c>
      <c r="CD58" s="357">
        <v>0</v>
      </c>
      <c r="CE58" s="357">
        <v>2002445</v>
      </c>
      <c r="CF58" s="357">
        <v>0</v>
      </c>
      <c r="CG58" s="357">
        <v>0</v>
      </c>
      <c r="CH58" s="357">
        <v>2002445</v>
      </c>
      <c r="CI58" s="357">
        <v>2002445</v>
      </c>
      <c r="CJ58" s="357">
        <v>0</v>
      </c>
      <c r="CK58" s="357">
        <v>0</v>
      </c>
      <c r="CL58" s="357">
        <v>500000</v>
      </c>
      <c r="CM58" s="357">
        <v>0</v>
      </c>
      <c r="CN58" s="357">
        <v>0</v>
      </c>
      <c r="CO58" s="357">
        <v>2502445</v>
      </c>
      <c r="CP58" s="357">
        <v>0</v>
      </c>
      <c r="CQ58" s="357">
        <v>0</v>
      </c>
      <c r="CR58" s="357">
        <v>2502445</v>
      </c>
      <c r="CS58" s="357">
        <v>7524.98</v>
      </c>
      <c r="CT58" s="357">
        <v>0</v>
      </c>
      <c r="CU58" s="357">
        <v>0</v>
      </c>
      <c r="CV58" s="357">
        <v>7524.98</v>
      </c>
      <c r="CW58" s="357">
        <v>103420.92</v>
      </c>
      <c r="CX58" s="357">
        <v>0</v>
      </c>
      <c r="CY58" s="357">
        <v>0</v>
      </c>
      <c r="CZ58" s="357">
        <v>103420.92</v>
      </c>
      <c r="DA58" s="357">
        <v>0</v>
      </c>
      <c r="DB58" s="357">
        <v>0</v>
      </c>
      <c r="DC58" s="357">
        <v>0</v>
      </c>
      <c r="DD58" s="357">
        <v>0</v>
      </c>
      <c r="DE58" s="357">
        <v>1539.99</v>
      </c>
      <c r="DF58" s="357">
        <v>0</v>
      </c>
      <c r="DG58" s="357">
        <v>0</v>
      </c>
      <c r="DH58" s="357">
        <v>1539.99</v>
      </c>
      <c r="DI58" s="357">
        <v>8084.79</v>
      </c>
      <c r="DJ58" s="357">
        <v>0</v>
      </c>
      <c r="DK58" s="357">
        <v>0</v>
      </c>
      <c r="DL58" s="357">
        <v>8084.79</v>
      </c>
      <c r="DM58" s="357">
        <v>0</v>
      </c>
      <c r="DN58" s="357">
        <v>0</v>
      </c>
      <c r="DO58" s="357">
        <v>0</v>
      </c>
      <c r="DP58" s="357">
        <v>0</v>
      </c>
      <c r="DQ58" s="357">
        <v>120570.68</v>
      </c>
      <c r="DR58" s="357">
        <v>0</v>
      </c>
      <c r="DS58" s="357">
        <v>0</v>
      </c>
      <c r="DT58" s="357">
        <v>0</v>
      </c>
      <c r="DU58" s="357">
        <v>0</v>
      </c>
      <c r="DV58" s="357">
        <v>0</v>
      </c>
      <c r="DW58" s="357">
        <v>120570.68</v>
      </c>
      <c r="DX58" s="357">
        <v>0</v>
      </c>
      <c r="DY58" s="357">
        <v>0</v>
      </c>
      <c r="DZ58" s="357">
        <v>120570.68</v>
      </c>
      <c r="EA58" s="357">
        <v>0</v>
      </c>
      <c r="EB58" s="357">
        <v>0</v>
      </c>
      <c r="EC58" s="357">
        <v>0</v>
      </c>
      <c r="ED58" s="357">
        <v>0</v>
      </c>
      <c r="EE58" s="357">
        <v>0</v>
      </c>
      <c r="EF58" s="357">
        <v>0</v>
      </c>
      <c r="EG58" s="357">
        <v>150000</v>
      </c>
      <c r="EH58" s="357">
        <v>0</v>
      </c>
      <c r="EI58" s="357">
        <v>0</v>
      </c>
      <c r="EJ58" s="357">
        <v>150000</v>
      </c>
      <c r="EK58" s="357">
        <v>810000</v>
      </c>
      <c r="EL58" s="357">
        <v>0</v>
      </c>
      <c r="EM58" s="357">
        <v>0</v>
      </c>
      <c r="EN58" s="357">
        <v>810000</v>
      </c>
      <c r="EO58" s="357">
        <v>960000</v>
      </c>
      <c r="EP58" s="357">
        <v>0</v>
      </c>
      <c r="EQ58" s="357">
        <v>0</v>
      </c>
      <c r="ER58" s="357">
        <v>0</v>
      </c>
      <c r="ES58" s="357">
        <v>0</v>
      </c>
      <c r="ET58" s="357">
        <v>0</v>
      </c>
      <c r="EU58" s="357">
        <v>960000</v>
      </c>
      <c r="EV58" s="357">
        <v>0</v>
      </c>
      <c r="EW58" s="357">
        <v>0</v>
      </c>
      <c r="EX58" s="357">
        <v>960000</v>
      </c>
      <c r="EY58" s="357">
        <v>79014493</v>
      </c>
      <c r="EZ58" s="357">
        <v>0</v>
      </c>
      <c r="FA58" s="357">
        <v>0</v>
      </c>
      <c r="FB58" s="357">
        <v>79014493</v>
      </c>
      <c r="FC58" s="277">
        <v>0</v>
      </c>
      <c r="FD58" s="205"/>
    </row>
    <row r="59" spans="1:160" ht="12.75">
      <c r="A59" s="169">
        <v>52</v>
      </c>
      <c r="B59" s="172" t="s">
        <v>808</v>
      </c>
      <c r="C59" s="258" t="s">
        <v>809</v>
      </c>
      <c r="D59" s="235">
        <v>311213</v>
      </c>
      <c r="E59" s="357">
        <v>133397579</v>
      </c>
      <c r="F59" s="357">
        <v>0</v>
      </c>
      <c r="G59" s="357">
        <v>0</v>
      </c>
      <c r="H59" s="357">
        <v>133397579</v>
      </c>
      <c r="I59" s="357">
        <v>62830260</v>
      </c>
      <c r="J59" s="357">
        <v>0</v>
      </c>
      <c r="K59" s="357">
        <v>0</v>
      </c>
      <c r="L59" s="357">
        <v>0</v>
      </c>
      <c r="M59" s="357">
        <v>0</v>
      </c>
      <c r="N59" s="357">
        <v>0</v>
      </c>
      <c r="O59" s="357">
        <v>62830260</v>
      </c>
      <c r="P59" s="357">
        <v>0</v>
      </c>
      <c r="Q59" s="357">
        <v>0</v>
      </c>
      <c r="R59" s="357">
        <v>62830260</v>
      </c>
      <c r="S59" s="357">
        <v>17574</v>
      </c>
      <c r="T59" s="357">
        <v>0</v>
      </c>
      <c r="U59" s="357">
        <v>0</v>
      </c>
      <c r="V59" s="357">
        <v>17574</v>
      </c>
      <c r="W59" s="357">
        <v>15435</v>
      </c>
      <c r="X59" s="357">
        <v>0</v>
      </c>
      <c r="Y59" s="357">
        <v>0</v>
      </c>
      <c r="Z59" s="357">
        <v>15435</v>
      </c>
      <c r="AA59" s="357">
        <v>2139</v>
      </c>
      <c r="AB59" s="357">
        <v>0</v>
      </c>
      <c r="AC59" s="357">
        <v>0</v>
      </c>
      <c r="AD59" s="357">
        <v>-20000</v>
      </c>
      <c r="AE59" s="357">
        <v>0</v>
      </c>
      <c r="AF59" s="357">
        <v>0</v>
      </c>
      <c r="AG59" s="357">
        <v>-17861</v>
      </c>
      <c r="AH59" s="357">
        <v>0</v>
      </c>
      <c r="AI59" s="357">
        <v>0</v>
      </c>
      <c r="AJ59" s="357">
        <v>-17861</v>
      </c>
      <c r="AK59" s="357">
        <v>-17861</v>
      </c>
      <c r="AL59" s="357">
        <v>0</v>
      </c>
      <c r="AM59" s="357">
        <v>0</v>
      </c>
      <c r="AN59" s="357">
        <v>-17861</v>
      </c>
      <c r="AO59" s="357">
        <v>2128096</v>
      </c>
      <c r="AP59" s="357">
        <v>0</v>
      </c>
      <c r="AQ59" s="357">
        <v>0</v>
      </c>
      <c r="AR59" s="357">
        <v>2128096</v>
      </c>
      <c r="AS59" s="357">
        <v>5000</v>
      </c>
      <c r="AT59" s="357">
        <v>0</v>
      </c>
      <c r="AU59" s="357">
        <v>0</v>
      </c>
      <c r="AV59" s="357">
        <v>5000</v>
      </c>
      <c r="AW59" s="357">
        <v>1314916</v>
      </c>
      <c r="AX59" s="357">
        <v>0</v>
      </c>
      <c r="AY59" s="357">
        <v>0</v>
      </c>
      <c r="AZ59" s="357">
        <v>1314916</v>
      </c>
      <c r="BA59" s="357">
        <v>813180</v>
      </c>
      <c r="BB59" s="357">
        <v>0</v>
      </c>
      <c r="BC59" s="357">
        <v>0</v>
      </c>
      <c r="BD59" s="357">
        <v>813180</v>
      </c>
      <c r="BE59" s="357">
        <v>3560000</v>
      </c>
      <c r="BF59" s="357">
        <v>0</v>
      </c>
      <c r="BG59" s="357">
        <v>0</v>
      </c>
      <c r="BH59" s="357">
        <v>3560000</v>
      </c>
      <c r="BI59" s="357">
        <v>28171</v>
      </c>
      <c r="BJ59" s="357">
        <v>0</v>
      </c>
      <c r="BK59" s="357">
        <v>0</v>
      </c>
      <c r="BL59" s="357">
        <v>28171</v>
      </c>
      <c r="BM59" s="357">
        <v>0</v>
      </c>
      <c r="BN59" s="357">
        <v>0</v>
      </c>
      <c r="BO59" s="357">
        <v>0</v>
      </c>
      <c r="BP59" s="357">
        <v>0</v>
      </c>
      <c r="BQ59" s="357">
        <v>4401351</v>
      </c>
      <c r="BR59" s="357">
        <v>0</v>
      </c>
      <c r="BS59" s="357">
        <v>0</v>
      </c>
      <c r="BT59" s="357">
        <v>190000</v>
      </c>
      <c r="BU59" s="357">
        <v>0</v>
      </c>
      <c r="BV59" s="357">
        <v>0</v>
      </c>
      <c r="BW59" s="357">
        <v>4591351</v>
      </c>
      <c r="BX59" s="357">
        <v>0</v>
      </c>
      <c r="BY59" s="357">
        <v>0</v>
      </c>
      <c r="BZ59" s="357">
        <v>4591351</v>
      </c>
      <c r="CA59" s="357">
        <v>15000</v>
      </c>
      <c r="CB59" s="357">
        <v>0</v>
      </c>
      <c r="CC59" s="357">
        <v>0</v>
      </c>
      <c r="CD59" s="357">
        <v>15000</v>
      </c>
      <c r="CE59" s="357">
        <v>1928000</v>
      </c>
      <c r="CF59" s="357">
        <v>0</v>
      </c>
      <c r="CG59" s="357">
        <v>0</v>
      </c>
      <c r="CH59" s="357">
        <v>1928000</v>
      </c>
      <c r="CI59" s="357">
        <v>1943000</v>
      </c>
      <c r="CJ59" s="357">
        <v>0</v>
      </c>
      <c r="CK59" s="357">
        <v>0</v>
      </c>
      <c r="CL59" s="357">
        <v>100000</v>
      </c>
      <c r="CM59" s="357">
        <v>0</v>
      </c>
      <c r="CN59" s="357">
        <v>0</v>
      </c>
      <c r="CO59" s="357">
        <v>2043000</v>
      </c>
      <c r="CP59" s="357">
        <v>0</v>
      </c>
      <c r="CQ59" s="357">
        <v>0</v>
      </c>
      <c r="CR59" s="357">
        <v>2043000</v>
      </c>
      <c r="CS59" s="357">
        <v>15000</v>
      </c>
      <c r="CT59" s="357">
        <v>0</v>
      </c>
      <c r="CU59" s="357">
        <v>0</v>
      </c>
      <c r="CV59" s="357">
        <v>15000</v>
      </c>
      <c r="CW59" s="357">
        <v>15000</v>
      </c>
      <c r="CX59" s="357">
        <v>0</v>
      </c>
      <c r="CY59" s="357">
        <v>0</v>
      </c>
      <c r="CZ59" s="357">
        <v>15000</v>
      </c>
      <c r="DA59" s="357">
        <v>0</v>
      </c>
      <c r="DB59" s="357">
        <v>0</v>
      </c>
      <c r="DC59" s="357">
        <v>0</v>
      </c>
      <c r="DD59" s="357">
        <v>0</v>
      </c>
      <c r="DE59" s="357">
        <v>0</v>
      </c>
      <c r="DF59" s="357">
        <v>0</v>
      </c>
      <c r="DG59" s="357">
        <v>0</v>
      </c>
      <c r="DH59" s="357">
        <v>0</v>
      </c>
      <c r="DI59" s="357">
        <v>0</v>
      </c>
      <c r="DJ59" s="357">
        <v>0</v>
      </c>
      <c r="DK59" s="357">
        <v>0</v>
      </c>
      <c r="DL59" s="357">
        <v>0</v>
      </c>
      <c r="DM59" s="357">
        <v>0</v>
      </c>
      <c r="DN59" s="357">
        <v>0</v>
      </c>
      <c r="DO59" s="357">
        <v>0</v>
      </c>
      <c r="DP59" s="357">
        <v>0</v>
      </c>
      <c r="DQ59" s="357">
        <v>30000</v>
      </c>
      <c r="DR59" s="357">
        <v>0</v>
      </c>
      <c r="DS59" s="357">
        <v>0</v>
      </c>
      <c r="DT59" s="357">
        <v>0</v>
      </c>
      <c r="DU59" s="357">
        <v>0</v>
      </c>
      <c r="DV59" s="357">
        <v>0</v>
      </c>
      <c r="DW59" s="357">
        <v>30000</v>
      </c>
      <c r="DX59" s="357">
        <v>0</v>
      </c>
      <c r="DY59" s="357">
        <v>0</v>
      </c>
      <c r="DZ59" s="357">
        <v>30000</v>
      </c>
      <c r="EA59" s="357">
        <v>0</v>
      </c>
      <c r="EB59" s="357">
        <v>0</v>
      </c>
      <c r="EC59" s="357">
        <v>30000</v>
      </c>
      <c r="ED59" s="357">
        <v>0</v>
      </c>
      <c r="EE59" s="357">
        <v>0</v>
      </c>
      <c r="EF59" s="357">
        <v>30000</v>
      </c>
      <c r="EG59" s="357">
        <v>75000</v>
      </c>
      <c r="EH59" s="357">
        <v>0</v>
      </c>
      <c r="EI59" s="357">
        <v>0</v>
      </c>
      <c r="EJ59" s="357">
        <v>75000</v>
      </c>
      <c r="EK59" s="357">
        <v>750000</v>
      </c>
      <c r="EL59" s="357">
        <v>0</v>
      </c>
      <c r="EM59" s="357">
        <v>0</v>
      </c>
      <c r="EN59" s="357">
        <v>750000</v>
      </c>
      <c r="EO59" s="357">
        <v>855000</v>
      </c>
      <c r="EP59" s="357">
        <v>0</v>
      </c>
      <c r="EQ59" s="357">
        <v>0</v>
      </c>
      <c r="ER59" s="357">
        <v>0</v>
      </c>
      <c r="ES59" s="357">
        <v>0</v>
      </c>
      <c r="ET59" s="357">
        <v>0</v>
      </c>
      <c r="EU59" s="357">
        <v>855000</v>
      </c>
      <c r="EV59" s="357">
        <v>0</v>
      </c>
      <c r="EW59" s="357">
        <v>0</v>
      </c>
      <c r="EX59" s="357">
        <v>855000</v>
      </c>
      <c r="EY59" s="357">
        <v>55328770</v>
      </c>
      <c r="EZ59" s="357">
        <v>0</v>
      </c>
      <c r="FA59" s="357">
        <v>0</v>
      </c>
      <c r="FB59" s="357">
        <v>55328770</v>
      </c>
      <c r="FC59" s="277">
        <v>0</v>
      </c>
      <c r="FD59" s="205"/>
    </row>
    <row r="60" spans="1:160" ht="12.75">
      <c r="A60" s="169">
        <v>53</v>
      </c>
      <c r="B60" s="172" t="s">
        <v>810</v>
      </c>
      <c r="C60" s="258" t="s">
        <v>811</v>
      </c>
      <c r="D60" s="235">
        <v>41639</v>
      </c>
      <c r="E60" s="357">
        <v>167590530</v>
      </c>
      <c r="F60" s="357">
        <v>0</v>
      </c>
      <c r="G60" s="357">
        <v>0</v>
      </c>
      <c r="H60" s="357">
        <v>167590530</v>
      </c>
      <c r="I60" s="357">
        <v>78935140</v>
      </c>
      <c r="J60" s="357">
        <v>0</v>
      </c>
      <c r="K60" s="357">
        <v>0</v>
      </c>
      <c r="L60" s="357">
        <v>1425000</v>
      </c>
      <c r="M60" s="357">
        <v>0</v>
      </c>
      <c r="N60" s="357">
        <v>0</v>
      </c>
      <c r="O60" s="357">
        <v>80360140</v>
      </c>
      <c r="P60" s="357">
        <v>0</v>
      </c>
      <c r="Q60" s="357">
        <v>0</v>
      </c>
      <c r="R60" s="357">
        <v>80360140</v>
      </c>
      <c r="S60" s="357">
        <v>88459</v>
      </c>
      <c r="T60" s="357">
        <v>0</v>
      </c>
      <c r="U60" s="357">
        <v>0</v>
      </c>
      <c r="V60" s="357">
        <v>88459</v>
      </c>
      <c r="W60" s="357">
        <v>3921</v>
      </c>
      <c r="X60" s="357">
        <v>0</v>
      </c>
      <c r="Y60" s="357">
        <v>0</v>
      </c>
      <c r="Z60" s="357">
        <v>3921</v>
      </c>
      <c r="AA60" s="357">
        <v>84538</v>
      </c>
      <c r="AB60" s="357">
        <v>0</v>
      </c>
      <c r="AC60" s="357">
        <v>0</v>
      </c>
      <c r="AD60" s="357">
        <v>0</v>
      </c>
      <c r="AE60" s="357">
        <v>0</v>
      </c>
      <c r="AF60" s="357">
        <v>0</v>
      </c>
      <c r="AG60" s="357">
        <v>84538</v>
      </c>
      <c r="AH60" s="357">
        <v>0</v>
      </c>
      <c r="AI60" s="357">
        <v>0</v>
      </c>
      <c r="AJ60" s="357">
        <v>84538</v>
      </c>
      <c r="AK60" s="357">
        <v>84538</v>
      </c>
      <c r="AL60" s="357">
        <v>0</v>
      </c>
      <c r="AM60" s="357">
        <v>0</v>
      </c>
      <c r="AN60" s="357">
        <v>84538</v>
      </c>
      <c r="AO60" s="357">
        <v>1909193</v>
      </c>
      <c r="AP60" s="357">
        <v>0</v>
      </c>
      <c r="AQ60" s="357">
        <v>0</v>
      </c>
      <c r="AR60" s="357">
        <v>1909193</v>
      </c>
      <c r="AS60" s="357">
        <v>56520</v>
      </c>
      <c r="AT60" s="357">
        <v>0</v>
      </c>
      <c r="AU60" s="357">
        <v>0</v>
      </c>
      <c r="AV60" s="357">
        <v>56520</v>
      </c>
      <c r="AW60" s="357">
        <v>1380324</v>
      </c>
      <c r="AX60" s="357">
        <v>0</v>
      </c>
      <c r="AY60" s="357">
        <v>0</v>
      </c>
      <c r="AZ60" s="357">
        <v>1380324</v>
      </c>
      <c r="BA60" s="357">
        <v>528869</v>
      </c>
      <c r="BB60" s="357">
        <v>0</v>
      </c>
      <c r="BC60" s="357">
        <v>0</v>
      </c>
      <c r="BD60" s="357">
        <v>528869</v>
      </c>
      <c r="BE60" s="357">
        <v>2380975</v>
      </c>
      <c r="BF60" s="357">
        <v>0</v>
      </c>
      <c r="BG60" s="357">
        <v>0</v>
      </c>
      <c r="BH60" s="357">
        <v>2380975</v>
      </c>
      <c r="BI60" s="357">
        <v>50680</v>
      </c>
      <c r="BJ60" s="357">
        <v>0</v>
      </c>
      <c r="BK60" s="357">
        <v>0</v>
      </c>
      <c r="BL60" s="357">
        <v>50680</v>
      </c>
      <c r="BM60" s="357">
        <v>50417</v>
      </c>
      <c r="BN60" s="357">
        <v>0</v>
      </c>
      <c r="BO60" s="357">
        <v>0</v>
      </c>
      <c r="BP60" s="357">
        <v>50417</v>
      </c>
      <c r="BQ60" s="357">
        <v>3010941</v>
      </c>
      <c r="BR60" s="357">
        <v>0</v>
      </c>
      <c r="BS60" s="357">
        <v>0</v>
      </c>
      <c r="BT60" s="357">
        <v>0</v>
      </c>
      <c r="BU60" s="357">
        <v>0</v>
      </c>
      <c r="BV60" s="357">
        <v>0</v>
      </c>
      <c r="BW60" s="357">
        <v>3010941</v>
      </c>
      <c r="BX60" s="357">
        <v>0</v>
      </c>
      <c r="BY60" s="357">
        <v>0</v>
      </c>
      <c r="BZ60" s="357">
        <v>3010941</v>
      </c>
      <c r="CA60" s="357">
        <v>245000</v>
      </c>
      <c r="CB60" s="357">
        <v>0</v>
      </c>
      <c r="CC60" s="357">
        <v>0</v>
      </c>
      <c r="CD60" s="357">
        <v>245000</v>
      </c>
      <c r="CE60" s="357">
        <v>2441366</v>
      </c>
      <c r="CF60" s="357">
        <v>0</v>
      </c>
      <c r="CG60" s="357">
        <v>0</v>
      </c>
      <c r="CH60" s="357">
        <v>2441366</v>
      </c>
      <c r="CI60" s="357">
        <v>2686366</v>
      </c>
      <c r="CJ60" s="357">
        <v>0</v>
      </c>
      <c r="CK60" s="357">
        <v>0</v>
      </c>
      <c r="CL60" s="357">
        <v>404000</v>
      </c>
      <c r="CM60" s="357">
        <v>0</v>
      </c>
      <c r="CN60" s="357">
        <v>0</v>
      </c>
      <c r="CO60" s="357">
        <v>3090366</v>
      </c>
      <c r="CP60" s="357">
        <v>0</v>
      </c>
      <c r="CQ60" s="357">
        <v>0</v>
      </c>
      <c r="CR60" s="357">
        <v>3090366</v>
      </c>
      <c r="CS60" s="357">
        <v>60163</v>
      </c>
      <c r="CT60" s="357">
        <v>0</v>
      </c>
      <c r="CU60" s="357">
        <v>0</v>
      </c>
      <c r="CV60" s="357">
        <v>60163</v>
      </c>
      <c r="CW60" s="357">
        <v>318717</v>
      </c>
      <c r="CX60" s="357">
        <v>0</v>
      </c>
      <c r="CY60" s="357">
        <v>0</v>
      </c>
      <c r="CZ60" s="357">
        <v>318717</v>
      </c>
      <c r="DA60" s="357">
        <v>0</v>
      </c>
      <c r="DB60" s="357">
        <v>0</v>
      </c>
      <c r="DC60" s="357">
        <v>0</v>
      </c>
      <c r="DD60" s="357">
        <v>0</v>
      </c>
      <c r="DE60" s="357">
        <v>46343</v>
      </c>
      <c r="DF60" s="357">
        <v>0</v>
      </c>
      <c r="DG60" s="357">
        <v>0</v>
      </c>
      <c r="DH60" s="357">
        <v>46343</v>
      </c>
      <c r="DI60" s="357">
        <v>18499</v>
      </c>
      <c r="DJ60" s="357">
        <v>0</v>
      </c>
      <c r="DK60" s="357">
        <v>0</v>
      </c>
      <c r="DL60" s="357">
        <v>18499</v>
      </c>
      <c r="DM60" s="357">
        <v>0</v>
      </c>
      <c r="DN60" s="357">
        <v>0</v>
      </c>
      <c r="DO60" s="357">
        <v>0</v>
      </c>
      <c r="DP60" s="357">
        <v>0</v>
      </c>
      <c r="DQ60" s="357">
        <v>443722</v>
      </c>
      <c r="DR60" s="357">
        <v>0</v>
      </c>
      <c r="DS60" s="357">
        <v>0</v>
      </c>
      <c r="DT60" s="357">
        <v>0</v>
      </c>
      <c r="DU60" s="357">
        <v>0</v>
      </c>
      <c r="DV60" s="357">
        <v>0</v>
      </c>
      <c r="DW60" s="357">
        <v>443722</v>
      </c>
      <c r="DX60" s="357">
        <v>0</v>
      </c>
      <c r="DY60" s="357">
        <v>0</v>
      </c>
      <c r="DZ60" s="357">
        <v>443722</v>
      </c>
      <c r="EA60" s="357">
        <v>0</v>
      </c>
      <c r="EB60" s="357">
        <v>0</v>
      </c>
      <c r="EC60" s="357">
        <v>404000</v>
      </c>
      <c r="ED60" s="357">
        <v>0</v>
      </c>
      <c r="EE60" s="357">
        <v>0</v>
      </c>
      <c r="EF60" s="357">
        <v>404000</v>
      </c>
      <c r="EG60" s="357">
        <v>338000</v>
      </c>
      <c r="EH60" s="357">
        <v>0</v>
      </c>
      <c r="EI60" s="357">
        <v>0</v>
      </c>
      <c r="EJ60" s="357">
        <v>338000</v>
      </c>
      <c r="EK60" s="357">
        <v>427000</v>
      </c>
      <c r="EL60" s="357">
        <v>0</v>
      </c>
      <c r="EM60" s="357">
        <v>0</v>
      </c>
      <c r="EN60" s="357">
        <v>427000</v>
      </c>
      <c r="EO60" s="357">
        <v>1169000</v>
      </c>
      <c r="EP60" s="357">
        <v>0</v>
      </c>
      <c r="EQ60" s="357">
        <v>0</v>
      </c>
      <c r="ER60" s="357">
        <v>0</v>
      </c>
      <c r="ES60" s="357">
        <v>0</v>
      </c>
      <c r="ET60" s="357">
        <v>0</v>
      </c>
      <c r="EU60" s="357">
        <v>1169000</v>
      </c>
      <c r="EV60" s="357">
        <v>0</v>
      </c>
      <c r="EW60" s="357">
        <v>0</v>
      </c>
      <c r="EX60" s="357">
        <v>1169000</v>
      </c>
      <c r="EY60" s="357">
        <v>72561573</v>
      </c>
      <c r="EZ60" s="357">
        <v>0</v>
      </c>
      <c r="FA60" s="357">
        <v>0</v>
      </c>
      <c r="FB60" s="357">
        <v>72561573</v>
      </c>
      <c r="FC60" s="277">
        <v>0</v>
      </c>
      <c r="FD60" s="205"/>
    </row>
    <row r="61" spans="1:160" ht="12.75">
      <c r="A61" s="169">
        <v>54</v>
      </c>
      <c r="B61" s="172" t="s">
        <v>812</v>
      </c>
      <c r="C61" s="258" t="s">
        <v>813</v>
      </c>
      <c r="D61" s="235">
        <v>311213</v>
      </c>
      <c r="E61" s="357">
        <v>338564186</v>
      </c>
      <c r="F61" s="357">
        <v>0</v>
      </c>
      <c r="G61" s="357">
        <v>0</v>
      </c>
      <c r="H61" s="357">
        <v>338564186</v>
      </c>
      <c r="I61" s="357">
        <v>159463732</v>
      </c>
      <c r="J61" s="357">
        <v>0</v>
      </c>
      <c r="K61" s="357">
        <v>0</v>
      </c>
      <c r="L61" s="357">
        <v>301400</v>
      </c>
      <c r="M61" s="357">
        <v>0</v>
      </c>
      <c r="N61" s="357">
        <v>0</v>
      </c>
      <c r="O61" s="357">
        <v>159765132</v>
      </c>
      <c r="P61" s="357">
        <v>0</v>
      </c>
      <c r="Q61" s="357">
        <v>0</v>
      </c>
      <c r="R61" s="357">
        <v>159765132</v>
      </c>
      <c r="S61" s="357">
        <v>139616</v>
      </c>
      <c r="T61" s="357">
        <v>0</v>
      </c>
      <c r="U61" s="357">
        <v>0</v>
      </c>
      <c r="V61" s="357">
        <v>139616</v>
      </c>
      <c r="W61" s="357">
        <v>49516</v>
      </c>
      <c r="X61" s="357">
        <v>0</v>
      </c>
      <c r="Y61" s="357">
        <v>0</v>
      </c>
      <c r="Z61" s="357">
        <v>49516</v>
      </c>
      <c r="AA61" s="357">
        <v>90100</v>
      </c>
      <c r="AB61" s="357">
        <v>0</v>
      </c>
      <c r="AC61" s="357">
        <v>0</v>
      </c>
      <c r="AD61" s="357">
        <v>0</v>
      </c>
      <c r="AE61" s="357">
        <v>0</v>
      </c>
      <c r="AF61" s="357">
        <v>0</v>
      </c>
      <c r="AG61" s="357">
        <v>90100</v>
      </c>
      <c r="AH61" s="357">
        <v>0</v>
      </c>
      <c r="AI61" s="357">
        <v>0</v>
      </c>
      <c r="AJ61" s="357">
        <v>90100</v>
      </c>
      <c r="AK61" s="357">
        <v>90100</v>
      </c>
      <c r="AL61" s="357">
        <v>0</v>
      </c>
      <c r="AM61" s="357">
        <v>0</v>
      </c>
      <c r="AN61" s="357">
        <v>90100</v>
      </c>
      <c r="AO61" s="357">
        <v>8083112</v>
      </c>
      <c r="AP61" s="357">
        <v>0</v>
      </c>
      <c r="AQ61" s="357">
        <v>0</v>
      </c>
      <c r="AR61" s="357">
        <v>8083112</v>
      </c>
      <c r="AS61" s="357">
        <v>0</v>
      </c>
      <c r="AT61" s="357">
        <v>0</v>
      </c>
      <c r="AU61" s="357">
        <v>0</v>
      </c>
      <c r="AV61" s="357">
        <v>0</v>
      </c>
      <c r="AW61" s="357">
        <v>3158439</v>
      </c>
      <c r="AX61" s="357">
        <v>0</v>
      </c>
      <c r="AY61" s="357">
        <v>0</v>
      </c>
      <c r="AZ61" s="357">
        <v>3158439</v>
      </c>
      <c r="BA61" s="357">
        <v>4924673</v>
      </c>
      <c r="BB61" s="357">
        <v>0</v>
      </c>
      <c r="BC61" s="357">
        <v>0</v>
      </c>
      <c r="BD61" s="357">
        <v>4924673</v>
      </c>
      <c r="BE61" s="357">
        <v>5855690</v>
      </c>
      <c r="BF61" s="357">
        <v>0</v>
      </c>
      <c r="BG61" s="357">
        <v>0</v>
      </c>
      <c r="BH61" s="357">
        <v>5855690</v>
      </c>
      <c r="BI61" s="357">
        <v>88027</v>
      </c>
      <c r="BJ61" s="357">
        <v>0</v>
      </c>
      <c r="BK61" s="357">
        <v>0</v>
      </c>
      <c r="BL61" s="357">
        <v>88027</v>
      </c>
      <c r="BM61" s="357">
        <v>24672</v>
      </c>
      <c r="BN61" s="357">
        <v>0</v>
      </c>
      <c r="BO61" s="357">
        <v>0</v>
      </c>
      <c r="BP61" s="357">
        <v>24672</v>
      </c>
      <c r="BQ61" s="357">
        <v>10893062</v>
      </c>
      <c r="BR61" s="357">
        <v>0</v>
      </c>
      <c r="BS61" s="357">
        <v>0</v>
      </c>
      <c r="BT61" s="357">
        <v>832715</v>
      </c>
      <c r="BU61" s="357">
        <v>0</v>
      </c>
      <c r="BV61" s="357">
        <v>0</v>
      </c>
      <c r="BW61" s="357">
        <v>11725777</v>
      </c>
      <c r="BX61" s="357">
        <v>0</v>
      </c>
      <c r="BY61" s="357">
        <v>0</v>
      </c>
      <c r="BZ61" s="357">
        <v>11725777</v>
      </c>
      <c r="CA61" s="357">
        <v>316653</v>
      </c>
      <c r="CB61" s="357">
        <v>0</v>
      </c>
      <c r="CC61" s="357">
        <v>0</v>
      </c>
      <c r="CD61" s="357">
        <v>316653</v>
      </c>
      <c r="CE61" s="357">
        <v>4875135</v>
      </c>
      <c r="CF61" s="357">
        <v>0</v>
      </c>
      <c r="CG61" s="357">
        <v>0</v>
      </c>
      <c r="CH61" s="357">
        <v>4875135</v>
      </c>
      <c r="CI61" s="357">
        <v>5191788</v>
      </c>
      <c r="CJ61" s="357">
        <v>0</v>
      </c>
      <c r="CK61" s="357">
        <v>0</v>
      </c>
      <c r="CL61" s="357">
        <v>50331</v>
      </c>
      <c r="CM61" s="357">
        <v>0</v>
      </c>
      <c r="CN61" s="357">
        <v>0</v>
      </c>
      <c r="CO61" s="357">
        <v>5242119</v>
      </c>
      <c r="CP61" s="357">
        <v>0</v>
      </c>
      <c r="CQ61" s="357">
        <v>0</v>
      </c>
      <c r="CR61" s="357">
        <v>5242119</v>
      </c>
      <c r="CS61" s="357">
        <v>188494</v>
      </c>
      <c r="CT61" s="357">
        <v>0</v>
      </c>
      <c r="CU61" s="357">
        <v>0</v>
      </c>
      <c r="CV61" s="357">
        <v>188494</v>
      </c>
      <c r="CW61" s="357">
        <v>41501</v>
      </c>
      <c r="CX61" s="357">
        <v>0</v>
      </c>
      <c r="CY61" s="357">
        <v>0</v>
      </c>
      <c r="CZ61" s="357">
        <v>41501</v>
      </c>
      <c r="DA61" s="357">
        <v>8211</v>
      </c>
      <c r="DB61" s="357">
        <v>0</v>
      </c>
      <c r="DC61" s="357">
        <v>0</v>
      </c>
      <c r="DD61" s="357">
        <v>8211</v>
      </c>
      <c r="DE61" s="357">
        <v>24672</v>
      </c>
      <c r="DF61" s="357">
        <v>0</v>
      </c>
      <c r="DG61" s="357">
        <v>0</v>
      </c>
      <c r="DH61" s="357">
        <v>24672</v>
      </c>
      <c r="DI61" s="357">
        <v>13061</v>
      </c>
      <c r="DJ61" s="357">
        <v>0</v>
      </c>
      <c r="DK61" s="357">
        <v>0</v>
      </c>
      <c r="DL61" s="357">
        <v>13061</v>
      </c>
      <c r="DM61" s="357">
        <v>0</v>
      </c>
      <c r="DN61" s="357">
        <v>0</v>
      </c>
      <c r="DO61" s="357">
        <v>0</v>
      </c>
      <c r="DP61" s="357">
        <v>0</v>
      </c>
      <c r="DQ61" s="357">
        <v>275939</v>
      </c>
      <c r="DR61" s="357">
        <v>0</v>
      </c>
      <c r="DS61" s="357">
        <v>0</v>
      </c>
      <c r="DT61" s="357">
        <v>-7223</v>
      </c>
      <c r="DU61" s="357">
        <v>0</v>
      </c>
      <c r="DV61" s="357">
        <v>0</v>
      </c>
      <c r="DW61" s="357">
        <v>268716</v>
      </c>
      <c r="DX61" s="357">
        <v>0</v>
      </c>
      <c r="DY61" s="357">
        <v>0</v>
      </c>
      <c r="DZ61" s="357">
        <v>268716</v>
      </c>
      <c r="EA61" s="357">
        <v>0</v>
      </c>
      <c r="EB61" s="357">
        <v>0</v>
      </c>
      <c r="EC61" s="357">
        <v>0</v>
      </c>
      <c r="ED61" s="357">
        <v>0</v>
      </c>
      <c r="EE61" s="357">
        <v>0</v>
      </c>
      <c r="EF61" s="357">
        <v>0</v>
      </c>
      <c r="EG61" s="357">
        <v>155996</v>
      </c>
      <c r="EH61" s="357">
        <v>0</v>
      </c>
      <c r="EI61" s="357">
        <v>0</v>
      </c>
      <c r="EJ61" s="357">
        <v>155996</v>
      </c>
      <c r="EK61" s="357">
        <v>3252365</v>
      </c>
      <c r="EL61" s="357">
        <v>0</v>
      </c>
      <c r="EM61" s="357">
        <v>0</v>
      </c>
      <c r="EN61" s="357">
        <v>3252365</v>
      </c>
      <c r="EO61" s="357">
        <v>3408361</v>
      </c>
      <c r="EP61" s="357">
        <v>0</v>
      </c>
      <c r="EQ61" s="357">
        <v>0</v>
      </c>
      <c r="ER61" s="357">
        <v>0</v>
      </c>
      <c r="ES61" s="357">
        <v>0</v>
      </c>
      <c r="ET61" s="357">
        <v>0</v>
      </c>
      <c r="EU61" s="357">
        <v>3408361</v>
      </c>
      <c r="EV61" s="357">
        <v>0</v>
      </c>
      <c r="EW61" s="357">
        <v>0</v>
      </c>
      <c r="EX61" s="357">
        <v>3408361</v>
      </c>
      <c r="EY61" s="357">
        <v>139030059</v>
      </c>
      <c r="EZ61" s="357">
        <v>0</v>
      </c>
      <c r="FA61" s="357">
        <v>0</v>
      </c>
      <c r="FB61" s="357">
        <v>139030059</v>
      </c>
      <c r="FC61" s="277">
        <v>0</v>
      </c>
      <c r="FD61" s="205"/>
    </row>
    <row r="62" spans="1:160" ht="12.75">
      <c r="A62" s="169">
        <v>55</v>
      </c>
      <c r="B62" s="172" t="s">
        <v>814</v>
      </c>
      <c r="C62" s="258" t="s">
        <v>815</v>
      </c>
      <c r="D62" s="235">
        <v>41639</v>
      </c>
      <c r="E62" s="357">
        <v>380091835</v>
      </c>
      <c r="F62" s="357">
        <v>0</v>
      </c>
      <c r="G62" s="357">
        <v>0</v>
      </c>
      <c r="H62" s="357">
        <v>380091835</v>
      </c>
      <c r="I62" s="357">
        <v>179023254</v>
      </c>
      <c r="J62" s="357">
        <v>0</v>
      </c>
      <c r="K62" s="357">
        <v>0</v>
      </c>
      <c r="L62" s="357">
        <v>-500000</v>
      </c>
      <c r="M62" s="357">
        <v>0</v>
      </c>
      <c r="N62" s="357">
        <v>0</v>
      </c>
      <c r="O62" s="357">
        <v>178523254</v>
      </c>
      <c r="P62" s="357">
        <v>0</v>
      </c>
      <c r="Q62" s="357">
        <v>0</v>
      </c>
      <c r="R62" s="357">
        <v>178523254</v>
      </c>
      <c r="S62" s="357">
        <v>63676</v>
      </c>
      <c r="T62" s="357">
        <v>0</v>
      </c>
      <c r="U62" s="357">
        <v>0</v>
      </c>
      <c r="V62" s="357">
        <v>63676</v>
      </c>
      <c r="W62" s="357">
        <v>114102</v>
      </c>
      <c r="X62" s="357">
        <v>0</v>
      </c>
      <c r="Y62" s="357">
        <v>0</v>
      </c>
      <c r="Z62" s="357">
        <v>114102</v>
      </c>
      <c r="AA62" s="357">
        <v>-50426</v>
      </c>
      <c r="AB62" s="357">
        <v>0</v>
      </c>
      <c r="AC62" s="357">
        <v>0</v>
      </c>
      <c r="AD62" s="357">
        <v>0</v>
      </c>
      <c r="AE62" s="357">
        <v>0</v>
      </c>
      <c r="AF62" s="357">
        <v>0</v>
      </c>
      <c r="AG62" s="357">
        <v>-50426</v>
      </c>
      <c r="AH62" s="357">
        <v>0</v>
      </c>
      <c r="AI62" s="357">
        <v>0</v>
      </c>
      <c r="AJ62" s="357">
        <v>-50426</v>
      </c>
      <c r="AK62" s="357">
        <v>-50426</v>
      </c>
      <c r="AL62" s="357">
        <v>0</v>
      </c>
      <c r="AM62" s="357">
        <v>0</v>
      </c>
      <c r="AN62" s="357">
        <v>-50426</v>
      </c>
      <c r="AO62" s="357">
        <v>5887134</v>
      </c>
      <c r="AP62" s="357">
        <v>0</v>
      </c>
      <c r="AQ62" s="357">
        <v>0</v>
      </c>
      <c r="AR62" s="357">
        <v>5887134</v>
      </c>
      <c r="AS62" s="357">
        <v>20000</v>
      </c>
      <c r="AT62" s="357">
        <v>0</v>
      </c>
      <c r="AU62" s="357">
        <v>0</v>
      </c>
      <c r="AV62" s="357">
        <v>20000</v>
      </c>
      <c r="AW62" s="357">
        <v>3761090</v>
      </c>
      <c r="AX62" s="357">
        <v>0</v>
      </c>
      <c r="AY62" s="357">
        <v>0</v>
      </c>
      <c r="AZ62" s="357">
        <v>3761090</v>
      </c>
      <c r="BA62" s="357">
        <v>2126044</v>
      </c>
      <c r="BB62" s="357">
        <v>0</v>
      </c>
      <c r="BC62" s="357">
        <v>0</v>
      </c>
      <c r="BD62" s="357">
        <v>2126044</v>
      </c>
      <c r="BE62" s="357">
        <v>7361331</v>
      </c>
      <c r="BF62" s="357">
        <v>0</v>
      </c>
      <c r="BG62" s="357">
        <v>0</v>
      </c>
      <c r="BH62" s="357">
        <v>7361331</v>
      </c>
      <c r="BI62" s="357">
        <v>64214</v>
      </c>
      <c r="BJ62" s="357">
        <v>0</v>
      </c>
      <c r="BK62" s="357">
        <v>0</v>
      </c>
      <c r="BL62" s="357">
        <v>64214</v>
      </c>
      <c r="BM62" s="357">
        <v>63647</v>
      </c>
      <c r="BN62" s="357">
        <v>0</v>
      </c>
      <c r="BO62" s="357">
        <v>0</v>
      </c>
      <c r="BP62" s="357">
        <v>63647</v>
      </c>
      <c r="BQ62" s="357">
        <v>9615236</v>
      </c>
      <c r="BR62" s="357">
        <v>0</v>
      </c>
      <c r="BS62" s="357">
        <v>0</v>
      </c>
      <c r="BT62" s="357">
        <v>0</v>
      </c>
      <c r="BU62" s="357">
        <v>0</v>
      </c>
      <c r="BV62" s="357">
        <v>0</v>
      </c>
      <c r="BW62" s="357">
        <v>9615236</v>
      </c>
      <c r="BX62" s="357">
        <v>0</v>
      </c>
      <c r="BY62" s="357">
        <v>0</v>
      </c>
      <c r="BZ62" s="357">
        <v>9615236</v>
      </c>
      <c r="CA62" s="357">
        <v>500000</v>
      </c>
      <c r="CB62" s="357">
        <v>0</v>
      </c>
      <c r="CC62" s="357">
        <v>0</v>
      </c>
      <c r="CD62" s="357">
        <v>500000</v>
      </c>
      <c r="CE62" s="357">
        <v>7700000</v>
      </c>
      <c r="CF62" s="357">
        <v>0</v>
      </c>
      <c r="CG62" s="357">
        <v>0</v>
      </c>
      <c r="CH62" s="357">
        <v>7700000</v>
      </c>
      <c r="CI62" s="357">
        <v>8200000</v>
      </c>
      <c r="CJ62" s="357">
        <v>0</v>
      </c>
      <c r="CK62" s="357">
        <v>0</v>
      </c>
      <c r="CL62" s="357">
        <v>0</v>
      </c>
      <c r="CM62" s="357">
        <v>0</v>
      </c>
      <c r="CN62" s="357">
        <v>0</v>
      </c>
      <c r="CO62" s="357">
        <v>8200000</v>
      </c>
      <c r="CP62" s="357">
        <v>0</v>
      </c>
      <c r="CQ62" s="357">
        <v>0</v>
      </c>
      <c r="CR62" s="357">
        <v>8200000</v>
      </c>
      <c r="CS62" s="357">
        <v>764856</v>
      </c>
      <c r="CT62" s="357">
        <v>0</v>
      </c>
      <c r="CU62" s="357">
        <v>0</v>
      </c>
      <c r="CV62" s="357">
        <v>764856</v>
      </c>
      <c r="CW62" s="357">
        <v>835803</v>
      </c>
      <c r="CX62" s="357">
        <v>0</v>
      </c>
      <c r="CY62" s="357">
        <v>0</v>
      </c>
      <c r="CZ62" s="357">
        <v>835803</v>
      </c>
      <c r="DA62" s="357">
        <v>13134</v>
      </c>
      <c r="DB62" s="357">
        <v>0</v>
      </c>
      <c r="DC62" s="357">
        <v>0</v>
      </c>
      <c r="DD62" s="357">
        <v>13134</v>
      </c>
      <c r="DE62" s="357">
        <v>63467</v>
      </c>
      <c r="DF62" s="357">
        <v>0</v>
      </c>
      <c r="DG62" s="357">
        <v>0</v>
      </c>
      <c r="DH62" s="357">
        <v>63467</v>
      </c>
      <c r="DI62" s="357">
        <v>24457</v>
      </c>
      <c r="DJ62" s="357">
        <v>0</v>
      </c>
      <c r="DK62" s="357">
        <v>0</v>
      </c>
      <c r="DL62" s="357">
        <v>24457</v>
      </c>
      <c r="DM62" s="357">
        <v>0</v>
      </c>
      <c r="DN62" s="357">
        <v>0</v>
      </c>
      <c r="DO62" s="357">
        <v>0</v>
      </c>
      <c r="DP62" s="357">
        <v>0</v>
      </c>
      <c r="DQ62" s="357">
        <v>1701717</v>
      </c>
      <c r="DR62" s="357">
        <v>0</v>
      </c>
      <c r="DS62" s="357">
        <v>0</v>
      </c>
      <c r="DT62" s="357">
        <v>0</v>
      </c>
      <c r="DU62" s="357">
        <v>0</v>
      </c>
      <c r="DV62" s="357">
        <v>0</v>
      </c>
      <c r="DW62" s="357">
        <v>1701717</v>
      </c>
      <c r="DX62" s="357">
        <v>0</v>
      </c>
      <c r="DY62" s="357">
        <v>0</v>
      </c>
      <c r="DZ62" s="357">
        <v>1701717</v>
      </c>
      <c r="EA62" s="357">
        <v>0</v>
      </c>
      <c r="EB62" s="357">
        <v>0</v>
      </c>
      <c r="EC62" s="357">
        <v>20000</v>
      </c>
      <c r="ED62" s="357">
        <v>0</v>
      </c>
      <c r="EE62" s="357">
        <v>0</v>
      </c>
      <c r="EF62" s="357">
        <v>20000</v>
      </c>
      <c r="EG62" s="357">
        <v>310000</v>
      </c>
      <c r="EH62" s="357">
        <v>0</v>
      </c>
      <c r="EI62" s="357">
        <v>0</v>
      </c>
      <c r="EJ62" s="357">
        <v>310000</v>
      </c>
      <c r="EK62" s="357">
        <v>1750000</v>
      </c>
      <c r="EL62" s="357">
        <v>0</v>
      </c>
      <c r="EM62" s="357">
        <v>0</v>
      </c>
      <c r="EN62" s="357">
        <v>1750000</v>
      </c>
      <c r="EO62" s="357">
        <v>2080000</v>
      </c>
      <c r="EP62" s="357">
        <v>0</v>
      </c>
      <c r="EQ62" s="357">
        <v>0</v>
      </c>
      <c r="ER62" s="357">
        <v>0</v>
      </c>
      <c r="ES62" s="357">
        <v>0</v>
      </c>
      <c r="ET62" s="357">
        <v>0</v>
      </c>
      <c r="EU62" s="357">
        <v>2080000</v>
      </c>
      <c r="EV62" s="357">
        <v>0</v>
      </c>
      <c r="EW62" s="357">
        <v>0</v>
      </c>
      <c r="EX62" s="357">
        <v>2080000</v>
      </c>
      <c r="EY62" s="357">
        <v>156976727</v>
      </c>
      <c r="EZ62" s="357">
        <v>0</v>
      </c>
      <c r="FA62" s="357">
        <v>0</v>
      </c>
      <c r="FB62" s="357">
        <v>156976727</v>
      </c>
      <c r="FC62" s="277">
        <v>0</v>
      </c>
      <c r="FD62" s="205"/>
    </row>
    <row r="63" spans="1:160" ht="12.75">
      <c r="A63" s="169">
        <v>56</v>
      </c>
      <c r="B63" s="172" t="s">
        <v>816</v>
      </c>
      <c r="C63" s="258" t="s">
        <v>817</v>
      </c>
      <c r="D63" s="235">
        <v>41639</v>
      </c>
      <c r="E63" s="357">
        <v>88226039</v>
      </c>
      <c r="F63" s="357">
        <v>0</v>
      </c>
      <c r="G63" s="357">
        <v>0</v>
      </c>
      <c r="H63" s="357">
        <v>88226039</v>
      </c>
      <c r="I63" s="357">
        <v>41554464</v>
      </c>
      <c r="J63" s="357">
        <v>0</v>
      </c>
      <c r="K63" s="357">
        <v>0</v>
      </c>
      <c r="L63" s="357">
        <v>308034</v>
      </c>
      <c r="M63" s="357">
        <v>0</v>
      </c>
      <c r="N63" s="357">
        <v>0</v>
      </c>
      <c r="O63" s="357">
        <v>41862498</v>
      </c>
      <c r="P63" s="357">
        <v>0</v>
      </c>
      <c r="Q63" s="357">
        <v>0</v>
      </c>
      <c r="R63" s="357">
        <v>41862498</v>
      </c>
      <c r="S63" s="357">
        <v>31185</v>
      </c>
      <c r="T63" s="357">
        <v>0</v>
      </c>
      <c r="U63" s="357">
        <v>0</v>
      </c>
      <c r="V63" s="357">
        <v>31185</v>
      </c>
      <c r="W63" s="357">
        <v>47083</v>
      </c>
      <c r="X63" s="357">
        <v>0</v>
      </c>
      <c r="Y63" s="357">
        <v>0</v>
      </c>
      <c r="Z63" s="357">
        <v>47083</v>
      </c>
      <c r="AA63" s="357">
        <v>-15898</v>
      </c>
      <c r="AB63" s="357">
        <v>0</v>
      </c>
      <c r="AC63" s="357">
        <v>0</v>
      </c>
      <c r="AD63" s="357">
        <v>0</v>
      </c>
      <c r="AE63" s="357">
        <v>0</v>
      </c>
      <c r="AF63" s="357">
        <v>0</v>
      </c>
      <c r="AG63" s="357">
        <v>-15898</v>
      </c>
      <c r="AH63" s="357">
        <v>0</v>
      </c>
      <c r="AI63" s="357">
        <v>0</v>
      </c>
      <c r="AJ63" s="357">
        <v>-15898</v>
      </c>
      <c r="AK63" s="357">
        <v>-15898</v>
      </c>
      <c r="AL63" s="357">
        <v>0</v>
      </c>
      <c r="AM63" s="357">
        <v>0</v>
      </c>
      <c r="AN63" s="357">
        <v>-15898</v>
      </c>
      <c r="AO63" s="357">
        <v>2533843</v>
      </c>
      <c r="AP63" s="357">
        <v>0</v>
      </c>
      <c r="AQ63" s="357">
        <v>0</v>
      </c>
      <c r="AR63" s="357">
        <v>2533843</v>
      </c>
      <c r="AS63" s="357">
        <v>0</v>
      </c>
      <c r="AT63" s="357">
        <v>0</v>
      </c>
      <c r="AU63" s="357">
        <v>0</v>
      </c>
      <c r="AV63" s="357">
        <v>0</v>
      </c>
      <c r="AW63" s="357">
        <v>796635</v>
      </c>
      <c r="AX63" s="357">
        <v>0</v>
      </c>
      <c r="AY63" s="357">
        <v>0</v>
      </c>
      <c r="AZ63" s="357">
        <v>796635</v>
      </c>
      <c r="BA63" s="357">
        <v>1737208</v>
      </c>
      <c r="BB63" s="357">
        <v>0</v>
      </c>
      <c r="BC63" s="357">
        <v>0</v>
      </c>
      <c r="BD63" s="357">
        <v>1737208</v>
      </c>
      <c r="BE63" s="357">
        <v>1298614</v>
      </c>
      <c r="BF63" s="357">
        <v>0</v>
      </c>
      <c r="BG63" s="357">
        <v>0</v>
      </c>
      <c r="BH63" s="357">
        <v>1298614</v>
      </c>
      <c r="BI63" s="357">
        <v>20520</v>
      </c>
      <c r="BJ63" s="357">
        <v>0</v>
      </c>
      <c r="BK63" s="357">
        <v>0</v>
      </c>
      <c r="BL63" s="357">
        <v>20520</v>
      </c>
      <c r="BM63" s="357">
        <v>3229</v>
      </c>
      <c r="BN63" s="357">
        <v>0</v>
      </c>
      <c r="BO63" s="357">
        <v>0</v>
      </c>
      <c r="BP63" s="357">
        <v>3229</v>
      </c>
      <c r="BQ63" s="357">
        <v>3059571</v>
      </c>
      <c r="BR63" s="357">
        <v>0</v>
      </c>
      <c r="BS63" s="357">
        <v>0</v>
      </c>
      <c r="BT63" s="357">
        <v>0</v>
      </c>
      <c r="BU63" s="357">
        <v>0</v>
      </c>
      <c r="BV63" s="357">
        <v>0</v>
      </c>
      <c r="BW63" s="357">
        <v>3059571</v>
      </c>
      <c r="BX63" s="357">
        <v>0</v>
      </c>
      <c r="BY63" s="357">
        <v>0</v>
      </c>
      <c r="BZ63" s="357">
        <v>3059571</v>
      </c>
      <c r="CA63" s="357">
        <v>0</v>
      </c>
      <c r="CB63" s="357">
        <v>0</v>
      </c>
      <c r="CC63" s="357">
        <v>0</v>
      </c>
      <c r="CD63" s="357">
        <v>0</v>
      </c>
      <c r="CE63" s="357">
        <v>1372617</v>
      </c>
      <c r="CF63" s="357">
        <v>0</v>
      </c>
      <c r="CG63" s="357">
        <v>0</v>
      </c>
      <c r="CH63" s="357">
        <v>1372617</v>
      </c>
      <c r="CI63" s="357">
        <v>1372617</v>
      </c>
      <c r="CJ63" s="357">
        <v>0</v>
      </c>
      <c r="CK63" s="357">
        <v>0</v>
      </c>
      <c r="CL63" s="357">
        <v>38560</v>
      </c>
      <c r="CM63" s="357">
        <v>0</v>
      </c>
      <c r="CN63" s="357">
        <v>0</v>
      </c>
      <c r="CO63" s="357">
        <v>1411177</v>
      </c>
      <c r="CP63" s="357">
        <v>0</v>
      </c>
      <c r="CQ63" s="357">
        <v>0</v>
      </c>
      <c r="CR63" s="357">
        <v>1411177</v>
      </c>
      <c r="CS63" s="357">
        <v>30516</v>
      </c>
      <c r="CT63" s="357">
        <v>0</v>
      </c>
      <c r="CU63" s="357">
        <v>0</v>
      </c>
      <c r="CV63" s="357">
        <v>30516</v>
      </c>
      <c r="CW63" s="357">
        <v>21360</v>
      </c>
      <c r="CX63" s="357">
        <v>0</v>
      </c>
      <c r="CY63" s="357">
        <v>0</v>
      </c>
      <c r="CZ63" s="357">
        <v>21360</v>
      </c>
      <c r="DA63" s="357">
        <v>1309</v>
      </c>
      <c r="DB63" s="357">
        <v>0</v>
      </c>
      <c r="DC63" s="357">
        <v>0</v>
      </c>
      <c r="DD63" s="357">
        <v>1309</v>
      </c>
      <c r="DE63" s="357">
        <v>0</v>
      </c>
      <c r="DF63" s="357">
        <v>0</v>
      </c>
      <c r="DG63" s="357">
        <v>0</v>
      </c>
      <c r="DH63" s="357">
        <v>0</v>
      </c>
      <c r="DI63" s="357">
        <v>0</v>
      </c>
      <c r="DJ63" s="357">
        <v>0</v>
      </c>
      <c r="DK63" s="357">
        <v>0</v>
      </c>
      <c r="DL63" s="357">
        <v>0</v>
      </c>
      <c r="DM63" s="357">
        <v>0</v>
      </c>
      <c r="DN63" s="357">
        <v>0</v>
      </c>
      <c r="DO63" s="357">
        <v>0</v>
      </c>
      <c r="DP63" s="357">
        <v>0</v>
      </c>
      <c r="DQ63" s="357">
        <v>53185</v>
      </c>
      <c r="DR63" s="357">
        <v>0</v>
      </c>
      <c r="DS63" s="357">
        <v>0</v>
      </c>
      <c r="DT63" s="357">
        <v>0</v>
      </c>
      <c r="DU63" s="357">
        <v>0</v>
      </c>
      <c r="DV63" s="357">
        <v>0</v>
      </c>
      <c r="DW63" s="357">
        <v>53185</v>
      </c>
      <c r="DX63" s="357">
        <v>0</v>
      </c>
      <c r="DY63" s="357">
        <v>0</v>
      </c>
      <c r="DZ63" s="357">
        <v>53185</v>
      </c>
      <c r="EA63" s="357">
        <v>0</v>
      </c>
      <c r="EB63" s="357">
        <v>0</v>
      </c>
      <c r="EC63" s="357">
        <v>0</v>
      </c>
      <c r="ED63" s="357">
        <v>0</v>
      </c>
      <c r="EE63" s="357">
        <v>0</v>
      </c>
      <c r="EF63" s="357">
        <v>0</v>
      </c>
      <c r="EG63" s="357">
        <v>27597</v>
      </c>
      <c r="EH63" s="357">
        <v>0</v>
      </c>
      <c r="EI63" s="357">
        <v>0</v>
      </c>
      <c r="EJ63" s="357">
        <v>27597</v>
      </c>
      <c r="EK63" s="357">
        <v>583765</v>
      </c>
      <c r="EL63" s="357">
        <v>0</v>
      </c>
      <c r="EM63" s="357">
        <v>0</v>
      </c>
      <c r="EN63" s="357">
        <v>583765</v>
      </c>
      <c r="EO63" s="357">
        <v>611362</v>
      </c>
      <c r="EP63" s="357">
        <v>0</v>
      </c>
      <c r="EQ63" s="357">
        <v>0</v>
      </c>
      <c r="ER63" s="357">
        <v>0</v>
      </c>
      <c r="ES63" s="357">
        <v>0</v>
      </c>
      <c r="ET63" s="357">
        <v>0</v>
      </c>
      <c r="EU63" s="357">
        <v>611362</v>
      </c>
      <c r="EV63" s="357">
        <v>0</v>
      </c>
      <c r="EW63" s="357">
        <v>0</v>
      </c>
      <c r="EX63" s="357">
        <v>611362</v>
      </c>
      <c r="EY63" s="357">
        <v>36743101</v>
      </c>
      <c r="EZ63" s="357">
        <v>0</v>
      </c>
      <c r="FA63" s="357">
        <v>0</v>
      </c>
      <c r="FB63" s="357">
        <v>36743101</v>
      </c>
      <c r="FC63" s="277">
        <v>0</v>
      </c>
      <c r="FD63" s="205"/>
    </row>
    <row r="64" spans="1:160" ht="12.75">
      <c r="A64" s="169">
        <v>57</v>
      </c>
      <c r="B64" s="172" t="s">
        <v>818</v>
      </c>
      <c r="C64" s="258" t="s">
        <v>819</v>
      </c>
      <c r="D64" s="235">
        <v>41639</v>
      </c>
      <c r="E64" s="357">
        <v>108968932</v>
      </c>
      <c r="F64" s="357">
        <v>0</v>
      </c>
      <c r="G64" s="357">
        <v>0</v>
      </c>
      <c r="H64" s="357">
        <v>108968932</v>
      </c>
      <c r="I64" s="357">
        <v>51324367</v>
      </c>
      <c r="J64" s="357">
        <v>0</v>
      </c>
      <c r="K64" s="357">
        <v>0</v>
      </c>
      <c r="L64" s="357">
        <v>-1000000</v>
      </c>
      <c r="M64" s="357">
        <v>0</v>
      </c>
      <c r="N64" s="357">
        <v>0</v>
      </c>
      <c r="O64" s="357">
        <v>50324367</v>
      </c>
      <c r="P64" s="357">
        <v>0</v>
      </c>
      <c r="Q64" s="357">
        <v>0</v>
      </c>
      <c r="R64" s="357">
        <v>50324367</v>
      </c>
      <c r="S64" s="357">
        <v>20583.4</v>
      </c>
      <c r="T64" s="357">
        <v>0</v>
      </c>
      <c r="U64" s="357">
        <v>0</v>
      </c>
      <c r="V64" s="357">
        <v>20583.4</v>
      </c>
      <c r="W64" s="357">
        <v>3540.78</v>
      </c>
      <c r="X64" s="357">
        <v>0</v>
      </c>
      <c r="Y64" s="357">
        <v>0</v>
      </c>
      <c r="Z64" s="357">
        <v>3540.78</v>
      </c>
      <c r="AA64" s="357">
        <v>17042.62</v>
      </c>
      <c r="AB64" s="357">
        <v>0</v>
      </c>
      <c r="AC64" s="357">
        <v>0</v>
      </c>
      <c r="AD64" s="357">
        <v>-215000</v>
      </c>
      <c r="AE64" s="357">
        <v>0</v>
      </c>
      <c r="AF64" s="357">
        <v>0</v>
      </c>
      <c r="AG64" s="357">
        <v>-197957.38</v>
      </c>
      <c r="AH64" s="357">
        <v>0</v>
      </c>
      <c r="AI64" s="357">
        <v>0</v>
      </c>
      <c r="AJ64" s="357">
        <v>-197957.38</v>
      </c>
      <c r="AK64" s="357">
        <v>-197957.38</v>
      </c>
      <c r="AL64" s="357">
        <v>0</v>
      </c>
      <c r="AM64" s="357">
        <v>0</v>
      </c>
      <c r="AN64" s="357">
        <v>-197957.38</v>
      </c>
      <c r="AO64" s="357">
        <v>2836470.46</v>
      </c>
      <c r="AP64" s="357">
        <v>0</v>
      </c>
      <c r="AQ64" s="357">
        <v>0</v>
      </c>
      <c r="AR64" s="357">
        <v>2836470.46</v>
      </c>
      <c r="AS64" s="357">
        <v>30000</v>
      </c>
      <c r="AT64" s="357">
        <v>0</v>
      </c>
      <c r="AU64" s="357">
        <v>0</v>
      </c>
      <c r="AV64" s="357">
        <v>30000</v>
      </c>
      <c r="AW64" s="357">
        <v>1000046</v>
      </c>
      <c r="AX64" s="357">
        <v>0</v>
      </c>
      <c r="AY64" s="357">
        <v>0</v>
      </c>
      <c r="AZ64" s="357">
        <v>1000046</v>
      </c>
      <c r="BA64" s="357">
        <v>1836424.46</v>
      </c>
      <c r="BB64" s="357">
        <v>0</v>
      </c>
      <c r="BC64" s="357">
        <v>0</v>
      </c>
      <c r="BD64" s="357">
        <v>1836424.46</v>
      </c>
      <c r="BE64" s="357">
        <v>3307393.45</v>
      </c>
      <c r="BF64" s="357">
        <v>0</v>
      </c>
      <c r="BG64" s="357">
        <v>0</v>
      </c>
      <c r="BH64" s="357">
        <v>3307393.45</v>
      </c>
      <c r="BI64" s="357">
        <v>31125.05</v>
      </c>
      <c r="BJ64" s="357">
        <v>0</v>
      </c>
      <c r="BK64" s="357">
        <v>0</v>
      </c>
      <c r="BL64" s="357">
        <v>31125.05</v>
      </c>
      <c r="BM64" s="357">
        <v>44829.46</v>
      </c>
      <c r="BN64" s="357">
        <v>0</v>
      </c>
      <c r="BO64" s="357">
        <v>0</v>
      </c>
      <c r="BP64" s="357">
        <v>44829.46</v>
      </c>
      <c r="BQ64" s="357">
        <v>5219772.42</v>
      </c>
      <c r="BR64" s="357">
        <v>0</v>
      </c>
      <c r="BS64" s="357">
        <v>0</v>
      </c>
      <c r="BT64" s="357">
        <v>50000</v>
      </c>
      <c r="BU64" s="357">
        <v>0</v>
      </c>
      <c r="BV64" s="357">
        <v>0</v>
      </c>
      <c r="BW64" s="357">
        <v>5269772.42</v>
      </c>
      <c r="BX64" s="357">
        <v>0</v>
      </c>
      <c r="BY64" s="357">
        <v>0</v>
      </c>
      <c r="BZ64" s="357">
        <v>5269772.42</v>
      </c>
      <c r="CA64" s="357">
        <v>50000</v>
      </c>
      <c r="CB64" s="357">
        <v>0</v>
      </c>
      <c r="CC64" s="357">
        <v>0</v>
      </c>
      <c r="CD64" s="357">
        <v>50000</v>
      </c>
      <c r="CE64" s="357">
        <v>606768.69</v>
      </c>
      <c r="CF64" s="357">
        <v>0</v>
      </c>
      <c r="CG64" s="357">
        <v>0</v>
      </c>
      <c r="CH64" s="357">
        <v>606768.69</v>
      </c>
      <c r="CI64" s="357">
        <v>656768.69</v>
      </c>
      <c r="CJ64" s="357">
        <v>0</v>
      </c>
      <c r="CK64" s="357">
        <v>0</v>
      </c>
      <c r="CL64" s="357">
        <v>182030.7</v>
      </c>
      <c r="CM64" s="357">
        <v>0</v>
      </c>
      <c r="CN64" s="357">
        <v>0</v>
      </c>
      <c r="CO64" s="357">
        <v>838799.39</v>
      </c>
      <c r="CP64" s="357">
        <v>0</v>
      </c>
      <c r="CQ64" s="357">
        <v>0</v>
      </c>
      <c r="CR64" s="357">
        <v>838799.39</v>
      </c>
      <c r="CS64" s="357">
        <v>15000</v>
      </c>
      <c r="CT64" s="357">
        <v>0</v>
      </c>
      <c r="CU64" s="357">
        <v>0</v>
      </c>
      <c r="CV64" s="357">
        <v>15000</v>
      </c>
      <c r="CW64" s="357">
        <v>15000</v>
      </c>
      <c r="CX64" s="357">
        <v>0</v>
      </c>
      <c r="CY64" s="357">
        <v>0</v>
      </c>
      <c r="CZ64" s="357">
        <v>15000</v>
      </c>
      <c r="DA64" s="357">
        <v>0</v>
      </c>
      <c r="DB64" s="357">
        <v>0</v>
      </c>
      <c r="DC64" s="357">
        <v>0</v>
      </c>
      <c r="DD64" s="357">
        <v>0</v>
      </c>
      <c r="DE64" s="357">
        <v>46040.29</v>
      </c>
      <c r="DF64" s="357">
        <v>0</v>
      </c>
      <c r="DG64" s="357">
        <v>0</v>
      </c>
      <c r="DH64" s="357">
        <v>46040.29</v>
      </c>
      <c r="DI64" s="357">
        <v>8303.13</v>
      </c>
      <c r="DJ64" s="357">
        <v>0</v>
      </c>
      <c r="DK64" s="357">
        <v>0</v>
      </c>
      <c r="DL64" s="357">
        <v>8303.13</v>
      </c>
      <c r="DM64" s="357">
        <v>5000</v>
      </c>
      <c r="DN64" s="357">
        <v>0</v>
      </c>
      <c r="DO64" s="357">
        <v>0</v>
      </c>
      <c r="DP64" s="357">
        <v>5000</v>
      </c>
      <c r="DQ64" s="357">
        <v>89343.42</v>
      </c>
      <c r="DR64" s="357">
        <v>0</v>
      </c>
      <c r="DS64" s="357">
        <v>0</v>
      </c>
      <c r="DT64" s="357">
        <v>10000</v>
      </c>
      <c r="DU64" s="357">
        <v>0</v>
      </c>
      <c r="DV64" s="357">
        <v>0</v>
      </c>
      <c r="DW64" s="357">
        <v>99343.42</v>
      </c>
      <c r="DX64" s="357">
        <v>0</v>
      </c>
      <c r="DY64" s="357">
        <v>0</v>
      </c>
      <c r="DZ64" s="357">
        <v>99343.42</v>
      </c>
      <c r="EA64" s="357">
        <v>0</v>
      </c>
      <c r="EB64" s="357">
        <v>0</v>
      </c>
      <c r="EC64" s="357">
        <v>50000</v>
      </c>
      <c r="ED64" s="357">
        <v>0</v>
      </c>
      <c r="EE64" s="357">
        <v>0</v>
      </c>
      <c r="EF64" s="357">
        <v>50000</v>
      </c>
      <c r="EG64" s="357">
        <v>50000</v>
      </c>
      <c r="EH64" s="357">
        <v>0</v>
      </c>
      <c r="EI64" s="357">
        <v>0</v>
      </c>
      <c r="EJ64" s="357">
        <v>50000</v>
      </c>
      <c r="EK64" s="357">
        <v>650000</v>
      </c>
      <c r="EL64" s="357">
        <v>0</v>
      </c>
      <c r="EM64" s="357">
        <v>0</v>
      </c>
      <c r="EN64" s="357">
        <v>650000</v>
      </c>
      <c r="EO64" s="357">
        <v>750000</v>
      </c>
      <c r="EP64" s="357">
        <v>0</v>
      </c>
      <c r="EQ64" s="357">
        <v>0</v>
      </c>
      <c r="ER64" s="357">
        <v>0</v>
      </c>
      <c r="ES64" s="357">
        <v>0</v>
      </c>
      <c r="ET64" s="357">
        <v>0</v>
      </c>
      <c r="EU64" s="357">
        <v>750000</v>
      </c>
      <c r="EV64" s="357">
        <v>0</v>
      </c>
      <c r="EW64" s="357">
        <v>0</v>
      </c>
      <c r="EX64" s="357">
        <v>750000</v>
      </c>
      <c r="EY64" s="357">
        <v>43564409.2</v>
      </c>
      <c r="EZ64" s="357">
        <v>0</v>
      </c>
      <c r="FA64" s="357">
        <v>0</v>
      </c>
      <c r="FB64" s="357">
        <v>43564409.2</v>
      </c>
      <c r="FC64" s="277">
        <v>0</v>
      </c>
      <c r="FD64" s="205"/>
    </row>
    <row r="65" spans="1:160" ht="12.75">
      <c r="A65" s="169">
        <v>58</v>
      </c>
      <c r="B65" s="172" t="s">
        <v>820</v>
      </c>
      <c r="C65" s="258" t="s">
        <v>821</v>
      </c>
      <c r="D65" s="235">
        <v>41667</v>
      </c>
      <c r="E65" s="357">
        <v>54476519</v>
      </c>
      <c r="F65" s="357">
        <v>0</v>
      </c>
      <c r="G65" s="357">
        <v>0</v>
      </c>
      <c r="H65" s="357">
        <v>54476519</v>
      </c>
      <c r="I65" s="357">
        <v>25658440</v>
      </c>
      <c r="J65" s="357">
        <v>0</v>
      </c>
      <c r="K65" s="357">
        <v>0</v>
      </c>
      <c r="L65" s="357">
        <v>0</v>
      </c>
      <c r="M65" s="357">
        <v>0</v>
      </c>
      <c r="N65" s="357">
        <v>0</v>
      </c>
      <c r="O65" s="357">
        <v>25658440</v>
      </c>
      <c r="P65" s="357">
        <v>0</v>
      </c>
      <c r="Q65" s="357">
        <v>0</v>
      </c>
      <c r="R65" s="357">
        <v>25658440</v>
      </c>
      <c r="S65" s="357">
        <v>-16002.51</v>
      </c>
      <c r="T65" s="357">
        <v>0</v>
      </c>
      <c r="U65" s="357">
        <v>0</v>
      </c>
      <c r="V65" s="357">
        <v>-16002.51</v>
      </c>
      <c r="W65" s="357">
        <v>44409.42</v>
      </c>
      <c r="X65" s="357">
        <v>0</v>
      </c>
      <c r="Y65" s="357">
        <v>0</v>
      </c>
      <c r="Z65" s="357">
        <v>44409.42</v>
      </c>
      <c r="AA65" s="357">
        <v>-60411.93</v>
      </c>
      <c r="AB65" s="357">
        <v>0</v>
      </c>
      <c r="AC65" s="357">
        <v>0</v>
      </c>
      <c r="AD65" s="357">
        <v>0</v>
      </c>
      <c r="AE65" s="357">
        <v>0</v>
      </c>
      <c r="AF65" s="357">
        <v>0</v>
      </c>
      <c r="AG65" s="357">
        <v>-60411.93</v>
      </c>
      <c r="AH65" s="357">
        <v>0</v>
      </c>
      <c r="AI65" s="357">
        <v>0</v>
      </c>
      <c r="AJ65" s="357">
        <v>-60411.93</v>
      </c>
      <c r="AK65" s="357">
        <v>-60411.93</v>
      </c>
      <c r="AL65" s="357">
        <v>0</v>
      </c>
      <c r="AM65" s="357">
        <v>0</v>
      </c>
      <c r="AN65" s="357">
        <v>-60411.93</v>
      </c>
      <c r="AO65" s="357">
        <v>1343105.07</v>
      </c>
      <c r="AP65" s="357">
        <v>0</v>
      </c>
      <c r="AQ65" s="357">
        <v>0</v>
      </c>
      <c r="AR65" s="357">
        <v>1343105.07</v>
      </c>
      <c r="AS65" s="357">
        <v>0</v>
      </c>
      <c r="AT65" s="357">
        <v>0</v>
      </c>
      <c r="AU65" s="357">
        <v>0</v>
      </c>
      <c r="AV65" s="357">
        <v>0</v>
      </c>
      <c r="AW65" s="357">
        <v>469119.2</v>
      </c>
      <c r="AX65" s="357">
        <v>0</v>
      </c>
      <c r="AY65" s="357">
        <v>0</v>
      </c>
      <c r="AZ65" s="357">
        <v>469119.2</v>
      </c>
      <c r="BA65" s="357">
        <v>873985.87</v>
      </c>
      <c r="BB65" s="357">
        <v>0</v>
      </c>
      <c r="BC65" s="357">
        <v>0</v>
      </c>
      <c r="BD65" s="357">
        <v>873985.87</v>
      </c>
      <c r="BE65" s="357">
        <v>2273459.96</v>
      </c>
      <c r="BF65" s="357">
        <v>0</v>
      </c>
      <c r="BG65" s="357">
        <v>0</v>
      </c>
      <c r="BH65" s="357">
        <v>2273459.96</v>
      </c>
      <c r="BI65" s="357">
        <v>33691.81</v>
      </c>
      <c r="BJ65" s="357">
        <v>0</v>
      </c>
      <c r="BK65" s="357">
        <v>0</v>
      </c>
      <c r="BL65" s="357">
        <v>33691.81</v>
      </c>
      <c r="BM65" s="357">
        <v>18454.59</v>
      </c>
      <c r="BN65" s="357">
        <v>0</v>
      </c>
      <c r="BO65" s="357">
        <v>0</v>
      </c>
      <c r="BP65" s="357">
        <v>18454.59</v>
      </c>
      <c r="BQ65" s="357">
        <v>3199592.23</v>
      </c>
      <c r="BR65" s="357">
        <v>0</v>
      </c>
      <c r="BS65" s="357">
        <v>0</v>
      </c>
      <c r="BT65" s="357">
        <v>0</v>
      </c>
      <c r="BU65" s="357">
        <v>0</v>
      </c>
      <c r="BV65" s="357">
        <v>0</v>
      </c>
      <c r="BW65" s="357">
        <v>3199592.23</v>
      </c>
      <c r="BX65" s="357">
        <v>0</v>
      </c>
      <c r="BY65" s="357">
        <v>0</v>
      </c>
      <c r="BZ65" s="357">
        <v>3199592.23</v>
      </c>
      <c r="CA65" s="357">
        <v>0</v>
      </c>
      <c r="CB65" s="357">
        <v>0</v>
      </c>
      <c r="CC65" s="357">
        <v>0</v>
      </c>
      <c r="CD65" s="357">
        <v>0</v>
      </c>
      <c r="CE65" s="357">
        <v>615972.41</v>
      </c>
      <c r="CF65" s="357">
        <v>0</v>
      </c>
      <c r="CG65" s="357">
        <v>0</v>
      </c>
      <c r="CH65" s="357">
        <v>615972.41</v>
      </c>
      <c r="CI65" s="357">
        <v>615972.41</v>
      </c>
      <c r="CJ65" s="357">
        <v>0</v>
      </c>
      <c r="CK65" s="357">
        <v>0</v>
      </c>
      <c r="CL65" s="357">
        <v>0</v>
      </c>
      <c r="CM65" s="357">
        <v>0</v>
      </c>
      <c r="CN65" s="357">
        <v>0</v>
      </c>
      <c r="CO65" s="357">
        <v>615972.41</v>
      </c>
      <c r="CP65" s="357">
        <v>0</v>
      </c>
      <c r="CQ65" s="357">
        <v>0</v>
      </c>
      <c r="CR65" s="357">
        <v>615972.41</v>
      </c>
      <c r="CS65" s="357">
        <v>105880.94</v>
      </c>
      <c r="CT65" s="357">
        <v>0</v>
      </c>
      <c r="CU65" s="357">
        <v>0</v>
      </c>
      <c r="CV65" s="357">
        <v>105880.94</v>
      </c>
      <c r="CW65" s="357">
        <v>43305.99</v>
      </c>
      <c r="CX65" s="357">
        <v>0</v>
      </c>
      <c r="CY65" s="357">
        <v>0</v>
      </c>
      <c r="CZ65" s="357">
        <v>43305.99</v>
      </c>
      <c r="DA65" s="357">
        <v>4846.51</v>
      </c>
      <c r="DB65" s="357">
        <v>0</v>
      </c>
      <c r="DC65" s="357">
        <v>0</v>
      </c>
      <c r="DD65" s="357">
        <v>4846.51</v>
      </c>
      <c r="DE65" s="357">
        <v>5351.94</v>
      </c>
      <c r="DF65" s="357">
        <v>0</v>
      </c>
      <c r="DG65" s="357">
        <v>0</v>
      </c>
      <c r="DH65" s="357">
        <v>5351.94</v>
      </c>
      <c r="DI65" s="357">
        <v>0</v>
      </c>
      <c r="DJ65" s="357">
        <v>0</v>
      </c>
      <c r="DK65" s="357">
        <v>0</v>
      </c>
      <c r="DL65" s="357">
        <v>0</v>
      </c>
      <c r="DM65" s="357">
        <v>0</v>
      </c>
      <c r="DN65" s="357">
        <v>0</v>
      </c>
      <c r="DO65" s="357">
        <v>0</v>
      </c>
      <c r="DP65" s="357">
        <v>0</v>
      </c>
      <c r="DQ65" s="357">
        <v>159385.38</v>
      </c>
      <c r="DR65" s="357">
        <v>0</v>
      </c>
      <c r="DS65" s="357">
        <v>0</v>
      </c>
      <c r="DT65" s="357">
        <v>0</v>
      </c>
      <c r="DU65" s="357">
        <v>0</v>
      </c>
      <c r="DV65" s="357">
        <v>0</v>
      </c>
      <c r="DW65" s="357">
        <v>159385.38</v>
      </c>
      <c r="DX65" s="357">
        <v>0</v>
      </c>
      <c r="DY65" s="357">
        <v>0</v>
      </c>
      <c r="DZ65" s="357">
        <v>159385.38</v>
      </c>
      <c r="EA65" s="357">
        <v>0</v>
      </c>
      <c r="EB65" s="357">
        <v>0</v>
      </c>
      <c r="EC65" s="357">
        <v>0</v>
      </c>
      <c r="ED65" s="357">
        <v>0</v>
      </c>
      <c r="EE65" s="357">
        <v>0</v>
      </c>
      <c r="EF65" s="357">
        <v>0</v>
      </c>
      <c r="EG65" s="357">
        <v>0</v>
      </c>
      <c r="EH65" s="357">
        <v>0</v>
      </c>
      <c r="EI65" s="357">
        <v>0</v>
      </c>
      <c r="EJ65" s="357">
        <v>0</v>
      </c>
      <c r="EK65" s="357">
        <v>598000</v>
      </c>
      <c r="EL65" s="357">
        <v>0</v>
      </c>
      <c r="EM65" s="357">
        <v>0</v>
      </c>
      <c r="EN65" s="357">
        <v>598000</v>
      </c>
      <c r="EO65" s="357">
        <v>598000</v>
      </c>
      <c r="EP65" s="357">
        <v>0</v>
      </c>
      <c r="EQ65" s="357">
        <v>0</v>
      </c>
      <c r="ER65" s="357">
        <v>0</v>
      </c>
      <c r="ES65" s="357">
        <v>0</v>
      </c>
      <c r="ET65" s="357">
        <v>0</v>
      </c>
      <c r="EU65" s="357">
        <v>598000</v>
      </c>
      <c r="EV65" s="357">
        <v>0</v>
      </c>
      <c r="EW65" s="357">
        <v>0</v>
      </c>
      <c r="EX65" s="357">
        <v>598000</v>
      </c>
      <c r="EY65" s="357">
        <v>21145901.9</v>
      </c>
      <c r="EZ65" s="357">
        <v>0</v>
      </c>
      <c r="FA65" s="357">
        <v>0</v>
      </c>
      <c r="FB65" s="357">
        <v>21145901.9</v>
      </c>
      <c r="FC65" s="277">
        <v>0</v>
      </c>
      <c r="FD65" s="205"/>
    </row>
    <row r="66" spans="1:160" ht="12.75">
      <c r="A66" s="169">
        <v>59</v>
      </c>
      <c r="B66" s="172" t="s">
        <v>822</v>
      </c>
      <c r="C66" s="258" t="s">
        <v>823</v>
      </c>
      <c r="D66" s="235">
        <v>311213</v>
      </c>
      <c r="E66" s="357">
        <v>68858548</v>
      </c>
      <c r="F66" s="357">
        <v>0</v>
      </c>
      <c r="G66" s="357">
        <v>0</v>
      </c>
      <c r="H66" s="357">
        <v>68858548</v>
      </c>
      <c r="I66" s="357">
        <v>32432376</v>
      </c>
      <c r="J66" s="357">
        <v>0</v>
      </c>
      <c r="K66" s="357">
        <v>0</v>
      </c>
      <c r="L66" s="357">
        <v>269356</v>
      </c>
      <c r="M66" s="357">
        <v>0</v>
      </c>
      <c r="N66" s="357">
        <v>0</v>
      </c>
      <c r="O66" s="357">
        <v>32701732</v>
      </c>
      <c r="P66" s="357">
        <v>0</v>
      </c>
      <c r="Q66" s="357">
        <v>0</v>
      </c>
      <c r="R66" s="357">
        <v>32701732</v>
      </c>
      <c r="S66" s="357">
        <v>51088</v>
      </c>
      <c r="T66" s="357">
        <v>0</v>
      </c>
      <c r="U66" s="357">
        <v>0</v>
      </c>
      <c r="V66" s="357">
        <v>51088</v>
      </c>
      <c r="W66" s="357">
        <v>10058</v>
      </c>
      <c r="X66" s="357">
        <v>0</v>
      </c>
      <c r="Y66" s="357">
        <v>0</v>
      </c>
      <c r="Z66" s="357">
        <v>10058</v>
      </c>
      <c r="AA66" s="357">
        <v>41030</v>
      </c>
      <c r="AB66" s="357">
        <v>0</v>
      </c>
      <c r="AC66" s="357">
        <v>0</v>
      </c>
      <c r="AD66" s="357">
        <v>12529</v>
      </c>
      <c r="AE66" s="357">
        <v>0</v>
      </c>
      <c r="AF66" s="357">
        <v>0</v>
      </c>
      <c r="AG66" s="357">
        <v>53559</v>
      </c>
      <c r="AH66" s="357">
        <v>0</v>
      </c>
      <c r="AI66" s="357">
        <v>0</v>
      </c>
      <c r="AJ66" s="357">
        <v>53559</v>
      </c>
      <c r="AK66" s="357">
        <v>53559</v>
      </c>
      <c r="AL66" s="357">
        <v>0</v>
      </c>
      <c r="AM66" s="357">
        <v>0</v>
      </c>
      <c r="AN66" s="357">
        <v>53559</v>
      </c>
      <c r="AO66" s="357">
        <v>2381873</v>
      </c>
      <c r="AP66" s="357">
        <v>0</v>
      </c>
      <c r="AQ66" s="357">
        <v>0</v>
      </c>
      <c r="AR66" s="357">
        <v>2381873</v>
      </c>
      <c r="AS66" s="357">
        <v>13842</v>
      </c>
      <c r="AT66" s="357">
        <v>0</v>
      </c>
      <c r="AU66" s="357">
        <v>0</v>
      </c>
      <c r="AV66" s="357">
        <v>13842</v>
      </c>
      <c r="AW66" s="357">
        <v>627036</v>
      </c>
      <c r="AX66" s="357">
        <v>0</v>
      </c>
      <c r="AY66" s="357">
        <v>0</v>
      </c>
      <c r="AZ66" s="357">
        <v>627036</v>
      </c>
      <c r="BA66" s="357">
        <v>1754837</v>
      </c>
      <c r="BB66" s="357">
        <v>0</v>
      </c>
      <c r="BC66" s="357">
        <v>0</v>
      </c>
      <c r="BD66" s="357">
        <v>1754837</v>
      </c>
      <c r="BE66" s="357">
        <v>1961733</v>
      </c>
      <c r="BF66" s="357">
        <v>0</v>
      </c>
      <c r="BG66" s="357">
        <v>0</v>
      </c>
      <c r="BH66" s="357">
        <v>1961733</v>
      </c>
      <c r="BI66" s="357">
        <v>29890</v>
      </c>
      <c r="BJ66" s="357">
        <v>0</v>
      </c>
      <c r="BK66" s="357">
        <v>0</v>
      </c>
      <c r="BL66" s="357">
        <v>29890</v>
      </c>
      <c r="BM66" s="357">
        <v>6489</v>
      </c>
      <c r="BN66" s="357">
        <v>0</v>
      </c>
      <c r="BO66" s="357">
        <v>0</v>
      </c>
      <c r="BP66" s="357">
        <v>6489</v>
      </c>
      <c r="BQ66" s="357">
        <v>3752949</v>
      </c>
      <c r="BR66" s="357">
        <v>0</v>
      </c>
      <c r="BS66" s="357">
        <v>0</v>
      </c>
      <c r="BT66" s="357">
        <v>29726</v>
      </c>
      <c r="BU66" s="357">
        <v>0</v>
      </c>
      <c r="BV66" s="357">
        <v>0</v>
      </c>
      <c r="BW66" s="357">
        <v>3782675</v>
      </c>
      <c r="BX66" s="357">
        <v>0</v>
      </c>
      <c r="BY66" s="357">
        <v>0</v>
      </c>
      <c r="BZ66" s="357">
        <v>3782675</v>
      </c>
      <c r="CA66" s="357">
        <v>5500</v>
      </c>
      <c r="CB66" s="357">
        <v>0</v>
      </c>
      <c r="CC66" s="357">
        <v>0</v>
      </c>
      <c r="CD66" s="357">
        <v>5500</v>
      </c>
      <c r="CE66" s="357">
        <v>377417</v>
      </c>
      <c r="CF66" s="357">
        <v>0</v>
      </c>
      <c r="CG66" s="357">
        <v>0</v>
      </c>
      <c r="CH66" s="357">
        <v>377417</v>
      </c>
      <c r="CI66" s="357">
        <v>382917</v>
      </c>
      <c r="CJ66" s="357">
        <v>0</v>
      </c>
      <c r="CK66" s="357">
        <v>0</v>
      </c>
      <c r="CL66" s="357">
        <v>79810</v>
      </c>
      <c r="CM66" s="357">
        <v>0</v>
      </c>
      <c r="CN66" s="357">
        <v>0</v>
      </c>
      <c r="CO66" s="357">
        <v>462727</v>
      </c>
      <c r="CP66" s="357">
        <v>0</v>
      </c>
      <c r="CQ66" s="357">
        <v>0</v>
      </c>
      <c r="CR66" s="357">
        <v>462727</v>
      </c>
      <c r="CS66" s="357">
        <v>8396</v>
      </c>
      <c r="CT66" s="357">
        <v>0</v>
      </c>
      <c r="CU66" s="357">
        <v>0</v>
      </c>
      <c r="CV66" s="357">
        <v>8396</v>
      </c>
      <c r="CW66" s="357">
        <v>3880</v>
      </c>
      <c r="CX66" s="357">
        <v>0</v>
      </c>
      <c r="CY66" s="357">
        <v>0</v>
      </c>
      <c r="CZ66" s="357">
        <v>3880</v>
      </c>
      <c r="DA66" s="357">
        <v>0</v>
      </c>
      <c r="DB66" s="357">
        <v>0</v>
      </c>
      <c r="DC66" s="357">
        <v>0</v>
      </c>
      <c r="DD66" s="357">
        <v>0</v>
      </c>
      <c r="DE66" s="357">
        <v>0</v>
      </c>
      <c r="DF66" s="357">
        <v>0</v>
      </c>
      <c r="DG66" s="357">
        <v>0</v>
      </c>
      <c r="DH66" s="357">
        <v>0</v>
      </c>
      <c r="DI66" s="357">
        <v>0</v>
      </c>
      <c r="DJ66" s="357">
        <v>0</v>
      </c>
      <c r="DK66" s="357">
        <v>0</v>
      </c>
      <c r="DL66" s="357">
        <v>0</v>
      </c>
      <c r="DM66" s="357">
        <v>0</v>
      </c>
      <c r="DN66" s="357">
        <v>0</v>
      </c>
      <c r="DO66" s="357">
        <v>0</v>
      </c>
      <c r="DP66" s="357">
        <v>0</v>
      </c>
      <c r="DQ66" s="357">
        <v>12276</v>
      </c>
      <c r="DR66" s="357">
        <v>0</v>
      </c>
      <c r="DS66" s="357">
        <v>0</v>
      </c>
      <c r="DT66" s="357">
        <v>0</v>
      </c>
      <c r="DU66" s="357">
        <v>0</v>
      </c>
      <c r="DV66" s="357">
        <v>0</v>
      </c>
      <c r="DW66" s="357">
        <v>12276</v>
      </c>
      <c r="DX66" s="357">
        <v>0</v>
      </c>
      <c r="DY66" s="357">
        <v>0</v>
      </c>
      <c r="DZ66" s="357">
        <v>12276</v>
      </c>
      <c r="EA66" s="357">
        <v>0</v>
      </c>
      <c r="EB66" s="357">
        <v>0</v>
      </c>
      <c r="EC66" s="357">
        <v>50000</v>
      </c>
      <c r="ED66" s="357">
        <v>0</v>
      </c>
      <c r="EE66" s="357">
        <v>0</v>
      </c>
      <c r="EF66" s="357">
        <v>50000</v>
      </c>
      <c r="EG66" s="357">
        <v>36592</v>
      </c>
      <c r="EH66" s="357">
        <v>0</v>
      </c>
      <c r="EI66" s="357">
        <v>0</v>
      </c>
      <c r="EJ66" s="357">
        <v>36592</v>
      </c>
      <c r="EK66" s="357">
        <v>491000</v>
      </c>
      <c r="EL66" s="357">
        <v>0</v>
      </c>
      <c r="EM66" s="357">
        <v>0</v>
      </c>
      <c r="EN66" s="357">
        <v>491000</v>
      </c>
      <c r="EO66" s="357">
        <v>577592</v>
      </c>
      <c r="EP66" s="357">
        <v>0</v>
      </c>
      <c r="EQ66" s="357">
        <v>0</v>
      </c>
      <c r="ER66" s="357">
        <v>0</v>
      </c>
      <c r="ES66" s="357">
        <v>0</v>
      </c>
      <c r="ET66" s="357">
        <v>0</v>
      </c>
      <c r="EU66" s="357">
        <v>577592</v>
      </c>
      <c r="EV66" s="357">
        <v>0</v>
      </c>
      <c r="EW66" s="357">
        <v>0</v>
      </c>
      <c r="EX66" s="357">
        <v>577592</v>
      </c>
      <c r="EY66" s="357">
        <v>27812903</v>
      </c>
      <c r="EZ66" s="357">
        <v>0</v>
      </c>
      <c r="FA66" s="357">
        <v>0</v>
      </c>
      <c r="FB66" s="357">
        <v>27812903</v>
      </c>
      <c r="FC66" s="277">
        <v>0</v>
      </c>
      <c r="FD66" s="205"/>
    </row>
    <row r="67" spans="1:160" ht="12.75">
      <c r="A67" s="169">
        <v>60</v>
      </c>
      <c r="B67" s="172" t="s">
        <v>824</v>
      </c>
      <c r="C67" s="258" t="s">
        <v>825</v>
      </c>
      <c r="D67" s="235">
        <v>41647</v>
      </c>
      <c r="E67" s="357">
        <v>43492665</v>
      </c>
      <c r="F67" s="357">
        <v>0</v>
      </c>
      <c r="G67" s="357">
        <v>0</v>
      </c>
      <c r="H67" s="357">
        <v>43492665</v>
      </c>
      <c r="I67" s="357">
        <v>20485045</v>
      </c>
      <c r="J67" s="357">
        <v>0</v>
      </c>
      <c r="K67" s="357">
        <v>0</v>
      </c>
      <c r="L67" s="357">
        <v>-360508</v>
      </c>
      <c r="M67" s="357">
        <v>0</v>
      </c>
      <c r="N67" s="357">
        <v>0</v>
      </c>
      <c r="O67" s="357">
        <v>20124537</v>
      </c>
      <c r="P67" s="357">
        <v>0</v>
      </c>
      <c r="Q67" s="357">
        <v>0</v>
      </c>
      <c r="R67" s="357">
        <v>20124537</v>
      </c>
      <c r="S67" s="357">
        <v>21246</v>
      </c>
      <c r="T67" s="357">
        <v>0</v>
      </c>
      <c r="U67" s="357">
        <v>0</v>
      </c>
      <c r="V67" s="357">
        <v>21246</v>
      </c>
      <c r="W67" s="357">
        <v>0</v>
      </c>
      <c r="X67" s="357">
        <v>0</v>
      </c>
      <c r="Y67" s="357">
        <v>0</v>
      </c>
      <c r="Z67" s="357">
        <v>0</v>
      </c>
      <c r="AA67" s="357">
        <v>21246</v>
      </c>
      <c r="AB67" s="357">
        <v>0</v>
      </c>
      <c r="AC67" s="357">
        <v>0</v>
      </c>
      <c r="AD67" s="357">
        <v>0</v>
      </c>
      <c r="AE67" s="357">
        <v>0</v>
      </c>
      <c r="AF67" s="357">
        <v>0</v>
      </c>
      <c r="AG67" s="357">
        <v>21246</v>
      </c>
      <c r="AH67" s="357">
        <v>0</v>
      </c>
      <c r="AI67" s="357">
        <v>0</v>
      </c>
      <c r="AJ67" s="357">
        <v>21246</v>
      </c>
      <c r="AK67" s="357">
        <v>21246</v>
      </c>
      <c r="AL67" s="357">
        <v>0</v>
      </c>
      <c r="AM67" s="357">
        <v>0</v>
      </c>
      <c r="AN67" s="357">
        <v>21246</v>
      </c>
      <c r="AO67" s="357">
        <v>1095784</v>
      </c>
      <c r="AP67" s="357">
        <v>0</v>
      </c>
      <c r="AQ67" s="357">
        <v>0</v>
      </c>
      <c r="AR67" s="357">
        <v>1095784</v>
      </c>
      <c r="AS67" s="357">
        <v>0</v>
      </c>
      <c r="AT67" s="357">
        <v>0</v>
      </c>
      <c r="AU67" s="357">
        <v>0</v>
      </c>
      <c r="AV67" s="357">
        <v>0</v>
      </c>
      <c r="AW67" s="357">
        <v>405025</v>
      </c>
      <c r="AX67" s="357">
        <v>0</v>
      </c>
      <c r="AY67" s="357">
        <v>0</v>
      </c>
      <c r="AZ67" s="357">
        <v>405025</v>
      </c>
      <c r="BA67" s="357">
        <v>690759</v>
      </c>
      <c r="BB67" s="357">
        <v>0</v>
      </c>
      <c r="BC67" s="357">
        <v>0</v>
      </c>
      <c r="BD67" s="357">
        <v>690759</v>
      </c>
      <c r="BE67" s="357">
        <v>584039</v>
      </c>
      <c r="BF67" s="357">
        <v>0</v>
      </c>
      <c r="BG67" s="357">
        <v>0</v>
      </c>
      <c r="BH67" s="357">
        <v>584039</v>
      </c>
      <c r="BI67" s="357">
        <v>32120</v>
      </c>
      <c r="BJ67" s="357">
        <v>0</v>
      </c>
      <c r="BK67" s="357">
        <v>0</v>
      </c>
      <c r="BL67" s="357">
        <v>32120</v>
      </c>
      <c r="BM67" s="357">
        <v>1711</v>
      </c>
      <c r="BN67" s="357">
        <v>0</v>
      </c>
      <c r="BO67" s="357">
        <v>0</v>
      </c>
      <c r="BP67" s="357">
        <v>1711</v>
      </c>
      <c r="BQ67" s="357">
        <v>1308629</v>
      </c>
      <c r="BR67" s="357">
        <v>0</v>
      </c>
      <c r="BS67" s="357">
        <v>0</v>
      </c>
      <c r="BT67" s="357">
        <v>-4685</v>
      </c>
      <c r="BU67" s="357">
        <v>0</v>
      </c>
      <c r="BV67" s="357">
        <v>0</v>
      </c>
      <c r="BW67" s="357">
        <v>1303944</v>
      </c>
      <c r="BX67" s="357">
        <v>0</v>
      </c>
      <c r="BY67" s="357">
        <v>0</v>
      </c>
      <c r="BZ67" s="357">
        <v>1303944</v>
      </c>
      <c r="CA67" s="357">
        <v>0</v>
      </c>
      <c r="CB67" s="357">
        <v>0</v>
      </c>
      <c r="CC67" s="357">
        <v>0</v>
      </c>
      <c r="CD67" s="357">
        <v>0</v>
      </c>
      <c r="CE67" s="357">
        <v>710484</v>
      </c>
      <c r="CF67" s="357">
        <v>0</v>
      </c>
      <c r="CG67" s="357">
        <v>0</v>
      </c>
      <c r="CH67" s="357">
        <v>710484</v>
      </c>
      <c r="CI67" s="357">
        <v>710484</v>
      </c>
      <c r="CJ67" s="357">
        <v>0</v>
      </c>
      <c r="CK67" s="357">
        <v>0</v>
      </c>
      <c r="CL67" s="357">
        <v>-6296</v>
      </c>
      <c r="CM67" s="357">
        <v>0</v>
      </c>
      <c r="CN67" s="357">
        <v>0</v>
      </c>
      <c r="CO67" s="357">
        <v>704188</v>
      </c>
      <c r="CP67" s="357">
        <v>0</v>
      </c>
      <c r="CQ67" s="357">
        <v>0</v>
      </c>
      <c r="CR67" s="357">
        <v>704188</v>
      </c>
      <c r="CS67" s="357">
        <v>4267</v>
      </c>
      <c r="CT67" s="357">
        <v>0</v>
      </c>
      <c r="CU67" s="357">
        <v>0</v>
      </c>
      <c r="CV67" s="357">
        <v>4267</v>
      </c>
      <c r="CW67" s="357">
        <v>0</v>
      </c>
      <c r="CX67" s="357">
        <v>0</v>
      </c>
      <c r="CY67" s="357">
        <v>0</v>
      </c>
      <c r="CZ67" s="357">
        <v>0</v>
      </c>
      <c r="DA67" s="357">
        <v>1542</v>
      </c>
      <c r="DB67" s="357">
        <v>0</v>
      </c>
      <c r="DC67" s="357">
        <v>0</v>
      </c>
      <c r="DD67" s="357">
        <v>1542</v>
      </c>
      <c r="DE67" s="357">
        <v>0</v>
      </c>
      <c r="DF67" s="357">
        <v>0</v>
      </c>
      <c r="DG67" s="357">
        <v>0</v>
      </c>
      <c r="DH67" s="357">
        <v>0</v>
      </c>
      <c r="DI67" s="357">
        <v>0</v>
      </c>
      <c r="DJ67" s="357">
        <v>0</v>
      </c>
      <c r="DK67" s="357">
        <v>0</v>
      </c>
      <c r="DL67" s="357">
        <v>0</v>
      </c>
      <c r="DM67" s="357">
        <v>0</v>
      </c>
      <c r="DN67" s="357">
        <v>0</v>
      </c>
      <c r="DO67" s="357">
        <v>0</v>
      </c>
      <c r="DP67" s="357">
        <v>0</v>
      </c>
      <c r="DQ67" s="357">
        <v>5809</v>
      </c>
      <c r="DR67" s="357">
        <v>0</v>
      </c>
      <c r="DS67" s="357">
        <v>0</v>
      </c>
      <c r="DT67" s="357">
        <v>-19</v>
      </c>
      <c r="DU67" s="357">
        <v>0</v>
      </c>
      <c r="DV67" s="357">
        <v>0</v>
      </c>
      <c r="DW67" s="357">
        <v>5790</v>
      </c>
      <c r="DX67" s="357">
        <v>0</v>
      </c>
      <c r="DY67" s="357">
        <v>0</v>
      </c>
      <c r="DZ67" s="357">
        <v>5790</v>
      </c>
      <c r="EA67" s="357">
        <v>0</v>
      </c>
      <c r="EB67" s="357">
        <v>0</v>
      </c>
      <c r="EC67" s="357">
        <v>0</v>
      </c>
      <c r="ED67" s="357">
        <v>0</v>
      </c>
      <c r="EE67" s="357">
        <v>0</v>
      </c>
      <c r="EF67" s="357">
        <v>0</v>
      </c>
      <c r="EG67" s="357">
        <v>1217</v>
      </c>
      <c r="EH67" s="357">
        <v>0</v>
      </c>
      <c r="EI67" s="357">
        <v>0</v>
      </c>
      <c r="EJ67" s="357">
        <v>1217</v>
      </c>
      <c r="EK67" s="357">
        <v>332288</v>
      </c>
      <c r="EL67" s="357">
        <v>0</v>
      </c>
      <c r="EM67" s="357">
        <v>0</v>
      </c>
      <c r="EN67" s="357">
        <v>332288</v>
      </c>
      <c r="EO67" s="357">
        <v>333505</v>
      </c>
      <c r="EP67" s="357">
        <v>0</v>
      </c>
      <c r="EQ67" s="357">
        <v>0</v>
      </c>
      <c r="ER67" s="357">
        <v>0</v>
      </c>
      <c r="ES67" s="357">
        <v>0</v>
      </c>
      <c r="ET67" s="357">
        <v>0</v>
      </c>
      <c r="EU67" s="357">
        <v>333505</v>
      </c>
      <c r="EV67" s="357">
        <v>0</v>
      </c>
      <c r="EW67" s="357">
        <v>0</v>
      </c>
      <c r="EX67" s="357">
        <v>333505</v>
      </c>
      <c r="EY67" s="357">
        <v>17755864</v>
      </c>
      <c r="EZ67" s="357">
        <v>0</v>
      </c>
      <c r="FA67" s="357">
        <v>0</v>
      </c>
      <c r="FB67" s="357">
        <v>17755864</v>
      </c>
      <c r="FC67" s="277">
        <v>0</v>
      </c>
      <c r="FD67" s="205"/>
    </row>
    <row r="68" spans="1:160" ht="12.75">
      <c r="A68" s="169">
        <v>61</v>
      </c>
      <c r="B68" s="172" t="s">
        <v>826</v>
      </c>
      <c r="C68" s="258" t="s">
        <v>0</v>
      </c>
      <c r="D68" s="235">
        <v>41547</v>
      </c>
      <c r="E68" s="357">
        <v>1842705068</v>
      </c>
      <c r="F68" s="357">
        <v>0</v>
      </c>
      <c r="G68" s="357">
        <v>0</v>
      </c>
      <c r="H68" s="357">
        <v>1842705068</v>
      </c>
      <c r="I68" s="357">
        <v>867914087</v>
      </c>
      <c r="J68" s="357">
        <v>0</v>
      </c>
      <c r="K68" s="357">
        <v>0</v>
      </c>
      <c r="L68" s="357">
        <v>-69433127</v>
      </c>
      <c r="M68" s="357">
        <v>0</v>
      </c>
      <c r="N68" s="357">
        <v>0</v>
      </c>
      <c r="O68" s="357">
        <v>798480960</v>
      </c>
      <c r="P68" s="357">
        <v>0</v>
      </c>
      <c r="Q68" s="357">
        <v>0</v>
      </c>
      <c r="R68" s="357">
        <v>798480960</v>
      </c>
      <c r="S68" s="357">
        <v>182703</v>
      </c>
      <c r="T68" s="357">
        <v>0</v>
      </c>
      <c r="U68" s="357">
        <v>0</v>
      </c>
      <c r="V68" s="357">
        <v>182703</v>
      </c>
      <c r="W68" s="357">
        <v>20309</v>
      </c>
      <c r="X68" s="357">
        <v>0</v>
      </c>
      <c r="Y68" s="357">
        <v>0</v>
      </c>
      <c r="Z68" s="357">
        <v>20309</v>
      </c>
      <c r="AA68" s="357">
        <v>162394</v>
      </c>
      <c r="AB68" s="357">
        <v>0</v>
      </c>
      <c r="AC68" s="357">
        <v>0</v>
      </c>
      <c r="AD68" s="357">
        <v>0</v>
      </c>
      <c r="AE68" s="357">
        <v>0</v>
      </c>
      <c r="AF68" s="357">
        <v>0</v>
      </c>
      <c r="AG68" s="357">
        <v>162394</v>
      </c>
      <c r="AH68" s="357">
        <v>0</v>
      </c>
      <c r="AI68" s="357">
        <v>0</v>
      </c>
      <c r="AJ68" s="357">
        <v>162394</v>
      </c>
      <c r="AK68" s="357">
        <v>162394</v>
      </c>
      <c r="AL68" s="357">
        <v>0</v>
      </c>
      <c r="AM68" s="357">
        <v>0</v>
      </c>
      <c r="AN68" s="357">
        <v>162394</v>
      </c>
      <c r="AO68" s="357">
        <v>373738</v>
      </c>
      <c r="AP68" s="357">
        <v>0</v>
      </c>
      <c r="AQ68" s="357">
        <v>0</v>
      </c>
      <c r="AR68" s="357">
        <v>373738</v>
      </c>
      <c r="AS68" s="357">
        <v>0</v>
      </c>
      <c r="AT68" s="357">
        <v>0</v>
      </c>
      <c r="AU68" s="357">
        <v>0</v>
      </c>
      <c r="AV68" s="357">
        <v>0</v>
      </c>
      <c r="AW68" s="357">
        <v>19544529</v>
      </c>
      <c r="AX68" s="357">
        <v>0</v>
      </c>
      <c r="AY68" s="357">
        <v>0</v>
      </c>
      <c r="AZ68" s="357">
        <v>19544529</v>
      </c>
      <c r="BA68" s="357">
        <v>-19170791</v>
      </c>
      <c r="BB68" s="357">
        <v>0</v>
      </c>
      <c r="BC68" s="357">
        <v>0</v>
      </c>
      <c r="BD68" s="357">
        <v>-19170791</v>
      </c>
      <c r="BE68" s="357">
        <v>10415059</v>
      </c>
      <c r="BF68" s="357">
        <v>0</v>
      </c>
      <c r="BG68" s="357">
        <v>0</v>
      </c>
      <c r="BH68" s="357">
        <v>10415059</v>
      </c>
      <c r="BI68" s="357">
        <v>0</v>
      </c>
      <c r="BJ68" s="357">
        <v>0</v>
      </c>
      <c r="BK68" s="357">
        <v>0</v>
      </c>
      <c r="BL68" s="357">
        <v>0</v>
      </c>
      <c r="BM68" s="357">
        <v>0</v>
      </c>
      <c r="BN68" s="357">
        <v>0</v>
      </c>
      <c r="BO68" s="357">
        <v>0</v>
      </c>
      <c r="BP68" s="357">
        <v>0</v>
      </c>
      <c r="BQ68" s="357">
        <v>-8755732</v>
      </c>
      <c r="BR68" s="357">
        <v>0</v>
      </c>
      <c r="BS68" s="357">
        <v>0</v>
      </c>
      <c r="BT68" s="357">
        <v>700459</v>
      </c>
      <c r="BU68" s="357">
        <v>0</v>
      </c>
      <c r="BV68" s="357">
        <v>0</v>
      </c>
      <c r="BW68" s="357">
        <v>-8055273</v>
      </c>
      <c r="BX68" s="357">
        <v>0</v>
      </c>
      <c r="BY68" s="357">
        <v>0</v>
      </c>
      <c r="BZ68" s="357">
        <v>-8055273</v>
      </c>
      <c r="CA68" s="357">
        <v>2894041</v>
      </c>
      <c r="CB68" s="357">
        <v>0</v>
      </c>
      <c r="CC68" s="357">
        <v>0</v>
      </c>
      <c r="CD68" s="357">
        <v>2894041</v>
      </c>
      <c r="CE68" s="357">
        <v>39626398</v>
      </c>
      <c r="CF68" s="357">
        <v>0</v>
      </c>
      <c r="CG68" s="357">
        <v>0</v>
      </c>
      <c r="CH68" s="357">
        <v>39626398</v>
      </c>
      <c r="CI68" s="357">
        <v>42520439</v>
      </c>
      <c r="CJ68" s="357">
        <v>0</v>
      </c>
      <c r="CK68" s="357">
        <v>0</v>
      </c>
      <c r="CL68" s="357">
        <v>-3401635</v>
      </c>
      <c r="CM68" s="357">
        <v>0</v>
      </c>
      <c r="CN68" s="357">
        <v>0</v>
      </c>
      <c r="CO68" s="357">
        <v>39118804</v>
      </c>
      <c r="CP68" s="357">
        <v>0</v>
      </c>
      <c r="CQ68" s="357">
        <v>0</v>
      </c>
      <c r="CR68" s="357">
        <v>39118804</v>
      </c>
      <c r="CS68" s="357">
        <v>135111</v>
      </c>
      <c r="CT68" s="357">
        <v>0</v>
      </c>
      <c r="CU68" s="357">
        <v>0</v>
      </c>
      <c r="CV68" s="357">
        <v>135111</v>
      </c>
      <c r="CW68" s="357">
        <v>199726</v>
      </c>
      <c r="CX68" s="357">
        <v>0</v>
      </c>
      <c r="CY68" s="357">
        <v>0</v>
      </c>
      <c r="CZ68" s="357">
        <v>199726</v>
      </c>
      <c r="DA68" s="357">
        <v>0</v>
      </c>
      <c r="DB68" s="357">
        <v>0</v>
      </c>
      <c r="DC68" s="357">
        <v>0</v>
      </c>
      <c r="DD68" s="357">
        <v>0</v>
      </c>
      <c r="DE68" s="357">
        <v>0</v>
      </c>
      <c r="DF68" s="357">
        <v>0</v>
      </c>
      <c r="DG68" s="357">
        <v>0</v>
      </c>
      <c r="DH68" s="357">
        <v>0</v>
      </c>
      <c r="DI68" s="357">
        <v>0</v>
      </c>
      <c r="DJ68" s="357">
        <v>0</v>
      </c>
      <c r="DK68" s="357">
        <v>0</v>
      </c>
      <c r="DL68" s="357">
        <v>0</v>
      </c>
      <c r="DM68" s="357">
        <v>0</v>
      </c>
      <c r="DN68" s="357">
        <v>0</v>
      </c>
      <c r="DO68" s="357">
        <v>0</v>
      </c>
      <c r="DP68" s="357">
        <v>0</v>
      </c>
      <c r="DQ68" s="357">
        <v>334837</v>
      </c>
      <c r="DR68" s="357">
        <v>0</v>
      </c>
      <c r="DS68" s="357">
        <v>0</v>
      </c>
      <c r="DT68" s="357">
        <v>-26787</v>
      </c>
      <c r="DU68" s="357">
        <v>0</v>
      </c>
      <c r="DV68" s="357">
        <v>0</v>
      </c>
      <c r="DW68" s="357">
        <v>308050</v>
      </c>
      <c r="DX68" s="357">
        <v>0</v>
      </c>
      <c r="DY68" s="357">
        <v>0</v>
      </c>
      <c r="DZ68" s="357">
        <v>308050</v>
      </c>
      <c r="EA68" s="357">
        <v>0</v>
      </c>
      <c r="EB68" s="357">
        <v>0</v>
      </c>
      <c r="EC68" s="357">
        <v>0</v>
      </c>
      <c r="ED68" s="357">
        <v>0</v>
      </c>
      <c r="EE68" s="357">
        <v>0</v>
      </c>
      <c r="EF68" s="357">
        <v>0</v>
      </c>
      <c r="EG68" s="357">
        <v>148446</v>
      </c>
      <c r="EH68" s="357">
        <v>0</v>
      </c>
      <c r="EI68" s="357">
        <v>0</v>
      </c>
      <c r="EJ68" s="357">
        <v>148446</v>
      </c>
      <c r="EK68" s="357">
        <v>614000</v>
      </c>
      <c r="EL68" s="357">
        <v>0</v>
      </c>
      <c r="EM68" s="357">
        <v>0</v>
      </c>
      <c r="EN68" s="357">
        <v>614000</v>
      </c>
      <c r="EO68" s="357">
        <v>762446</v>
      </c>
      <c r="EP68" s="357">
        <v>0</v>
      </c>
      <c r="EQ68" s="357">
        <v>0</v>
      </c>
      <c r="ER68" s="357">
        <v>-60996</v>
      </c>
      <c r="ES68" s="357">
        <v>0</v>
      </c>
      <c r="ET68" s="357">
        <v>0</v>
      </c>
      <c r="EU68" s="357">
        <v>701450</v>
      </c>
      <c r="EV68" s="357">
        <v>0</v>
      </c>
      <c r="EW68" s="357">
        <v>0</v>
      </c>
      <c r="EX68" s="357">
        <v>701450</v>
      </c>
      <c r="EY68" s="357">
        <v>766245535</v>
      </c>
      <c r="EZ68" s="357">
        <v>0</v>
      </c>
      <c r="FA68" s="357">
        <v>0</v>
      </c>
      <c r="FB68" s="357">
        <v>766245535</v>
      </c>
      <c r="FC68" s="277">
        <v>0</v>
      </c>
      <c r="FD68" s="205"/>
    </row>
    <row r="69" spans="1:160" ht="12.75">
      <c r="A69" s="169">
        <v>62</v>
      </c>
      <c r="B69" s="172" t="s">
        <v>1</v>
      </c>
      <c r="C69" s="258" t="s">
        <v>2</v>
      </c>
      <c r="D69" s="235">
        <v>41639</v>
      </c>
      <c r="E69" s="357">
        <v>153417892</v>
      </c>
      <c r="F69" s="357">
        <v>0</v>
      </c>
      <c r="G69" s="357">
        <v>0</v>
      </c>
      <c r="H69" s="357">
        <v>153417892</v>
      </c>
      <c r="I69" s="357">
        <v>72259827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72259827</v>
      </c>
      <c r="P69" s="357">
        <v>0</v>
      </c>
      <c r="Q69" s="357">
        <v>0</v>
      </c>
      <c r="R69" s="357">
        <v>72259827</v>
      </c>
      <c r="S69" s="357">
        <v>45821</v>
      </c>
      <c r="T69" s="357">
        <v>0</v>
      </c>
      <c r="U69" s="357">
        <v>0</v>
      </c>
      <c r="V69" s="357">
        <v>45821</v>
      </c>
      <c r="W69" s="357">
        <v>28912</v>
      </c>
      <c r="X69" s="357">
        <v>0</v>
      </c>
      <c r="Y69" s="357">
        <v>0</v>
      </c>
      <c r="Z69" s="357">
        <v>28912</v>
      </c>
      <c r="AA69" s="357">
        <v>16909</v>
      </c>
      <c r="AB69" s="357">
        <v>0</v>
      </c>
      <c r="AC69" s="357">
        <v>0</v>
      </c>
      <c r="AD69" s="357">
        <v>0</v>
      </c>
      <c r="AE69" s="357">
        <v>0</v>
      </c>
      <c r="AF69" s="357">
        <v>0</v>
      </c>
      <c r="AG69" s="357">
        <v>16909</v>
      </c>
      <c r="AH69" s="357">
        <v>0</v>
      </c>
      <c r="AI69" s="357">
        <v>0</v>
      </c>
      <c r="AJ69" s="357">
        <v>16909</v>
      </c>
      <c r="AK69" s="357">
        <v>16909</v>
      </c>
      <c r="AL69" s="357">
        <v>0</v>
      </c>
      <c r="AM69" s="357">
        <v>0</v>
      </c>
      <c r="AN69" s="357">
        <v>16909</v>
      </c>
      <c r="AO69" s="357">
        <v>2730261</v>
      </c>
      <c r="AP69" s="357">
        <v>0</v>
      </c>
      <c r="AQ69" s="357">
        <v>0</v>
      </c>
      <c r="AR69" s="357">
        <v>2730261</v>
      </c>
      <c r="AS69" s="357">
        <v>100000</v>
      </c>
      <c r="AT69" s="357">
        <v>0</v>
      </c>
      <c r="AU69" s="357">
        <v>0</v>
      </c>
      <c r="AV69" s="357">
        <v>100000</v>
      </c>
      <c r="AW69" s="357">
        <v>1484983</v>
      </c>
      <c r="AX69" s="357">
        <v>0</v>
      </c>
      <c r="AY69" s="357">
        <v>0</v>
      </c>
      <c r="AZ69" s="357">
        <v>1484983</v>
      </c>
      <c r="BA69" s="357">
        <v>1245278</v>
      </c>
      <c r="BB69" s="357">
        <v>0</v>
      </c>
      <c r="BC69" s="357">
        <v>0</v>
      </c>
      <c r="BD69" s="357">
        <v>1245278</v>
      </c>
      <c r="BE69" s="357">
        <v>4452732</v>
      </c>
      <c r="BF69" s="357">
        <v>0</v>
      </c>
      <c r="BG69" s="357">
        <v>0</v>
      </c>
      <c r="BH69" s="357">
        <v>4452732</v>
      </c>
      <c r="BI69" s="357">
        <v>59093</v>
      </c>
      <c r="BJ69" s="357">
        <v>0</v>
      </c>
      <c r="BK69" s="357">
        <v>0</v>
      </c>
      <c r="BL69" s="357">
        <v>59093</v>
      </c>
      <c r="BM69" s="357">
        <v>18129</v>
      </c>
      <c r="BN69" s="357">
        <v>0</v>
      </c>
      <c r="BO69" s="357">
        <v>0</v>
      </c>
      <c r="BP69" s="357">
        <v>18129</v>
      </c>
      <c r="BQ69" s="357">
        <v>5775232</v>
      </c>
      <c r="BR69" s="357">
        <v>0</v>
      </c>
      <c r="BS69" s="357">
        <v>0</v>
      </c>
      <c r="BT69" s="357">
        <v>0</v>
      </c>
      <c r="BU69" s="357">
        <v>0</v>
      </c>
      <c r="BV69" s="357">
        <v>0</v>
      </c>
      <c r="BW69" s="357">
        <v>5775232</v>
      </c>
      <c r="BX69" s="357">
        <v>0</v>
      </c>
      <c r="BY69" s="357">
        <v>0</v>
      </c>
      <c r="BZ69" s="357">
        <v>5775232</v>
      </c>
      <c r="CA69" s="357">
        <v>5874</v>
      </c>
      <c r="CB69" s="357">
        <v>0</v>
      </c>
      <c r="CC69" s="357">
        <v>0</v>
      </c>
      <c r="CD69" s="357">
        <v>5874</v>
      </c>
      <c r="CE69" s="357">
        <v>2946204</v>
      </c>
      <c r="CF69" s="357">
        <v>0</v>
      </c>
      <c r="CG69" s="357">
        <v>0</v>
      </c>
      <c r="CH69" s="357">
        <v>2946204</v>
      </c>
      <c r="CI69" s="357">
        <v>2952078</v>
      </c>
      <c r="CJ69" s="357">
        <v>0</v>
      </c>
      <c r="CK69" s="357">
        <v>0</v>
      </c>
      <c r="CL69" s="357">
        <v>0</v>
      </c>
      <c r="CM69" s="357">
        <v>0</v>
      </c>
      <c r="CN69" s="357">
        <v>0</v>
      </c>
      <c r="CO69" s="357">
        <v>2952078</v>
      </c>
      <c r="CP69" s="357">
        <v>0</v>
      </c>
      <c r="CQ69" s="357">
        <v>0</v>
      </c>
      <c r="CR69" s="357">
        <v>2952078</v>
      </c>
      <c r="CS69" s="357">
        <v>151634</v>
      </c>
      <c r="CT69" s="357">
        <v>0</v>
      </c>
      <c r="CU69" s="357">
        <v>0</v>
      </c>
      <c r="CV69" s="357">
        <v>151634</v>
      </c>
      <c r="CW69" s="357">
        <v>38463</v>
      </c>
      <c r="CX69" s="357">
        <v>0</v>
      </c>
      <c r="CY69" s="357">
        <v>0</v>
      </c>
      <c r="CZ69" s="357">
        <v>38463</v>
      </c>
      <c r="DA69" s="357">
        <v>14426</v>
      </c>
      <c r="DB69" s="357">
        <v>0</v>
      </c>
      <c r="DC69" s="357">
        <v>0</v>
      </c>
      <c r="DD69" s="357">
        <v>14426</v>
      </c>
      <c r="DE69" s="357">
        <v>18129</v>
      </c>
      <c r="DF69" s="357">
        <v>0</v>
      </c>
      <c r="DG69" s="357">
        <v>0</v>
      </c>
      <c r="DH69" s="357">
        <v>18129</v>
      </c>
      <c r="DI69" s="357">
        <v>0</v>
      </c>
      <c r="DJ69" s="357">
        <v>0</v>
      </c>
      <c r="DK69" s="357">
        <v>0</v>
      </c>
      <c r="DL69" s="357">
        <v>0</v>
      </c>
      <c r="DM69" s="357">
        <v>0</v>
      </c>
      <c r="DN69" s="357">
        <v>0</v>
      </c>
      <c r="DO69" s="357">
        <v>0</v>
      </c>
      <c r="DP69" s="357">
        <v>0</v>
      </c>
      <c r="DQ69" s="357">
        <v>222652</v>
      </c>
      <c r="DR69" s="357">
        <v>0</v>
      </c>
      <c r="DS69" s="357">
        <v>0</v>
      </c>
      <c r="DT69" s="357">
        <v>0</v>
      </c>
      <c r="DU69" s="357">
        <v>0</v>
      </c>
      <c r="DV69" s="357">
        <v>0</v>
      </c>
      <c r="DW69" s="357">
        <v>222652</v>
      </c>
      <c r="DX69" s="357">
        <v>0</v>
      </c>
      <c r="DY69" s="357">
        <v>0</v>
      </c>
      <c r="DZ69" s="357">
        <v>222652</v>
      </c>
      <c r="EA69" s="357">
        <v>0</v>
      </c>
      <c r="EB69" s="357">
        <v>0</v>
      </c>
      <c r="EC69" s="357">
        <v>100000</v>
      </c>
      <c r="ED69" s="357">
        <v>0</v>
      </c>
      <c r="EE69" s="357">
        <v>0</v>
      </c>
      <c r="EF69" s="357">
        <v>100000</v>
      </c>
      <c r="EG69" s="357">
        <v>257430</v>
      </c>
      <c r="EH69" s="357">
        <v>0</v>
      </c>
      <c r="EI69" s="357">
        <v>0</v>
      </c>
      <c r="EJ69" s="357">
        <v>257430</v>
      </c>
      <c r="EK69" s="357">
        <v>825953</v>
      </c>
      <c r="EL69" s="357">
        <v>0</v>
      </c>
      <c r="EM69" s="357">
        <v>0</v>
      </c>
      <c r="EN69" s="357">
        <v>825953</v>
      </c>
      <c r="EO69" s="357">
        <v>1183383</v>
      </c>
      <c r="EP69" s="357">
        <v>0</v>
      </c>
      <c r="EQ69" s="357">
        <v>0</v>
      </c>
      <c r="ER69" s="357">
        <v>0</v>
      </c>
      <c r="ES69" s="357">
        <v>0</v>
      </c>
      <c r="ET69" s="357">
        <v>0</v>
      </c>
      <c r="EU69" s="357">
        <v>1183383</v>
      </c>
      <c r="EV69" s="357">
        <v>0</v>
      </c>
      <c r="EW69" s="357">
        <v>0</v>
      </c>
      <c r="EX69" s="357">
        <v>1183383</v>
      </c>
      <c r="EY69" s="357">
        <v>62109573</v>
      </c>
      <c r="EZ69" s="357">
        <v>0</v>
      </c>
      <c r="FA69" s="357">
        <v>0</v>
      </c>
      <c r="FB69" s="357">
        <v>62109573</v>
      </c>
      <c r="FC69" s="277">
        <v>0</v>
      </c>
      <c r="FD69" s="205"/>
    </row>
    <row r="70" spans="1:160" ht="12.75">
      <c r="A70" s="169">
        <v>63</v>
      </c>
      <c r="B70" s="172" t="s">
        <v>3</v>
      </c>
      <c r="C70" s="258" t="s">
        <v>4</v>
      </c>
      <c r="D70" s="235">
        <v>150114</v>
      </c>
      <c r="E70" s="357">
        <v>96489847</v>
      </c>
      <c r="F70" s="357">
        <v>0</v>
      </c>
      <c r="G70" s="357">
        <v>0</v>
      </c>
      <c r="H70" s="357">
        <v>96489847</v>
      </c>
      <c r="I70" s="357">
        <v>45446718</v>
      </c>
      <c r="J70" s="357">
        <v>0</v>
      </c>
      <c r="K70" s="357">
        <v>0</v>
      </c>
      <c r="L70" s="357">
        <v>691908</v>
      </c>
      <c r="M70" s="357">
        <v>0</v>
      </c>
      <c r="N70" s="357">
        <v>0</v>
      </c>
      <c r="O70" s="357">
        <v>46138626</v>
      </c>
      <c r="P70" s="357">
        <v>0</v>
      </c>
      <c r="Q70" s="357">
        <v>0</v>
      </c>
      <c r="R70" s="357">
        <v>46138626</v>
      </c>
      <c r="S70" s="357">
        <v>52069</v>
      </c>
      <c r="T70" s="357">
        <v>0</v>
      </c>
      <c r="U70" s="357">
        <v>0</v>
      </c>
      <c r="V70" s="357">
        <v>52069</v>
      </c>
      <c r="W70" s="357">
        <v>12017</v>
      </c>
      <c r="X70" s="357">
        <v>0</v>
      </c>
      <c r="Y70" s="357">
        <v>0</v>
      </c>
      <c r="Z70" s="357">
        <v>12017</v>
      </c>
      <c r="AA70" s="357">
        <v>40052</v>
      </c>
      <c r="AB70" s="357">
        <v>0</v>
      </c>
      <c r="AC70" s="357">
        <v>0</v>
      </c>
      <c r="AD70" s="357">
        <v>-20000</v>
      </c>
      <c r="AE70" s="357">
        <v>0</v>
      </c>
      <c r="AF70" s="357">
        <v>0</v>
      </c>
      <c r="AG70" s="357">
        <v>20052</v>
      </c>
      <c r="AH70" s="357">
        <v>0</v>
      </c>
      <c r="AI70" s="357">
        <v>0</v>
      </c>
      <c r="AJ70" s="357">
        <v>20052</v>
      </c>
      <c r="AK70" s="357">
        <v>20052</v>
      </c>
      <c r="AL70" s="357">
        <v>0</v>
      </c>
      <c r="AM70" s="357">
        <v>0</v>
      </c>
      <c r="AN70" s="357">
        <v>20052</v>
      </c>
      <c r="AO70" s="357">
        <v>1345822</v>
      </c>
      <c r="AP70" s="357">
        <v>0</v>
      </c>
      <c r="AQ70" s="357">
        <v>0</v>
      </c>
      <c r="AR70" s="357">
        <v>1345822</v>
      </c>
      <c r="AS70" s="357">
        <v>15000</v>
      </c>
      <c r="AT70" s="357">
        <v>0</v>
      </c>
      <c r="AU70" s="357">
        <v>0</v>
      </c>
      <c r="AV70" s="357">
        <v>15000</v>
      </c>
      <c r="AW70" s="357">
        <v>968837</v>
      </c>
      <c r="AX70" s="357">
        <v>0</v>
      </c>
      <c r="AY70" s="357">
        <v>0</v>
      </c>
      <c r="AZ70" s="357">
        <v>968837</v>
      </c>
      <c r="BA70" s="357">
        <v>376985</v>
      </c>
      <c r="BB70" s="357">
        <v>0</v>
      </c>
      <c r="BC70" s="357">
        <v>0</v>
      </c>
      <c r="BD70" s="357">
        <v>376985</v>
      </c>
      <c r="BE70" s="357">
        <v>1163446</v>
      </c>
      <c r="BF70" s="357">
        <v>0</v>
      </c>
      <c r="BG70" s="357">
        <v>0</v>
      </c>
      <c r="BH70" s="357">
        <v>1163446</v>
      </c>
      <c r="BI70" s="357">
        <v>62468</v>
      </c>
      <c r="BJ70" s="357">
        <v>0</v>
      </c>
      <c r="BK70" s="357">
        <v>0</v>
      </c>
      <c r="BL70" s="357">
        <v>62468</v>
      </c>
      <c r="BM70" s="357">
        <v>24179</v>
      </c>
      <c r="BN70" s="357">
        <v>0</v>
      </c>
      <c r="BO70" s="357">
        <v>0</v>
      </c>
      <c r="BP70" s="357">
        <v>24179</v>
      </c>
      <c r="BQ70" s="357">
        <v>1627078</v>
      </c>
      <c r="BR70" s="357">
        <v>0</v>
      </c>
      <c r="BS70" s="357">
        <v>0</v>
      </c>
      <c r="BT70" s="357">
        <v>0</v>
      </c>
      <c r="BU70" s="357">
        <v>0</v>
      </c>
      <c r="BV70" s="357">
        <v>0</v>
      </c>
      <c r="BW70" s="357">
        <v>1627078</v>
      </c>
      <c r="BX70" s="357">
        <v>0</v>
      </c>
      <c r="BY70" s="357">
        <v>0</v>
      </c>
      <c r="BZ70" s="357">
        <v>1627078</v>
      </c>
      <c r="CA70" s="357">
        <v>0</v>
      </c>
      <c r="CB70" s="357">
        <v>0</v>
      </c>
      <c r="CC70" s="357">
        <v>0</v>
      </c>
      <c r="CD70" s="357">
        <v>0</v>
      </c>
      <c r="CE70" s="357">
        <v>289226</v>
      </c>
      <c r="CF70" s="357">
        <v>0</v>
      </c>
      <c r="CG70" s="357">
        <v>0</v>
      </c>
      <c r="CH70" s="357">
        <v>289226</v>
      </c>
      <c r="CI70" s="357">
        <v>289226</v>
      </c>
      <c r="CJ70" s="357">
        <v>0</v>
      </c>
      <c r="CK70" s="357">
        <v>0</v>
      </c>
      <c r="CL70" s="357">
        <v>30000</v>
      </c>
      <c r="CM70" s="357">
        <v>0</v>
      </c>
      <c r="CN70" s="357">
        <v>0</v>
      </c>
      <c r="CO70" s="357">
        <v>319226</v>
      </c>
      <c r="CP70" s="357">
        <v>0</v>
      </c>
      <c r="CQ70" s="357">
        <v>0</v>
      </c>
      <c r="CR70" s="357">
        <v>319226</v>
      </c>
      <c r="CS70" s="357">
        <v>0</v>
      </c>
      <c r="CT70" s="357">
        <v>0</v>
      </c>
      <c r="CU70" s="357">
        <v>0</v>
      </c>
      <c r="CV70" s="357">
        <v>0</v>
      </c>
      <c r="CW70" s="357">
        <v>0</v>
      </c>
      <c r="CX70" s="357">
        <v>0</v>
      </c>
      <c r="CY70" s="357">
        <v>0</v>
      </c>
      <c r="CZ70" s="357">
        <v>0</v>
      </c>
      <c r="DA70" s="357">
        <v>0</v>
      </c>
      <c r="DB70" s="357">
        <v>0</v>
      </c>
      <c r="DC70" s="357">
        <v>0</v>
      </c>
      <c r="DD70" s="357">
        <v>0</v>
      </c>
      <c r="DE70" s="357">
        <v>111</v>
      </c>
      <c r="DF70" s="357">
        <v>0</v>
      </c>
      <c r="DG70" s="357">
        <v>0</v>
      </c>
      <c r="DH70" s="357">
        <v>111</v>
      </c>
      <c r="DI70" s="357">
        <v>0</v>
      </c>
      <c r="DJ70" s="357">
        <v>0</v>
      </c>
      <c r="DK70" s="357">
        <v>0</v>
      </c>
      <c r="DL70" s="357">
        <v>0</v>
      </c>
      <c r="DM70" s="357">
        <v>0</v>
      </c>
      <c r="DN70" s="357">
        <v>0</v>
      </c>
      <c r="DO70" s="357">
        <v>0</v>
      </c>
      <c r="DP70" s="357">
        <v>0</v>
      </c>
      <c r="DQ70" s="357">
        <v>111</v>
      </c>
      <c r="DR70" s="357">
        <v>0</v>
      </c>
      <c r="DS70" s="357">
        <v>0</v>
      </c>
      <c r="DT70" s="357">
        <v>0</v>
      </c>
      <c r="DU70" s="357">
        <v>0</v>
      </c>
      <c r="DV70" s="357">
        <v>0</v>
      </c>
      <c r="DW70" s="357">
        <v>111</v>
      </c>
      <c r="DX70" s="357">
        <v>0</v>
      </c>
      <c r="DY70" s="357">
        <v>0</v>
      </c>
      <c r="DZ70" s="357">
        <v>111</v>
      </c>
      <c r="EA70" s="357">
        <v>0</v>
      </c>
      <c r="EB70" s="357">
        <v>0</v>
      </c>
      <c r="EC70" s="357">
        <v>0</v>
      </c>
      <c r="ED70" s="357">
        <v>0</v>
      </c>
      <c r="EE70" s="357">
        <v>0</v>
      </c>
      <c r="EF70" s="357">
        <v>0</v>
      </c>
      <c r="EG70" s="357">
        <v>5000</v>
      </c>
      <c r="EH70" s="357">
        <v>0</v>
      </c>
      <c r="EI70" s="357">
        <v>0</v>
      </c>
      <c r="EJ70" s="357">
        <v>5000</v>
      </c>
      <c r="EK70" s="357">
        <v>331198</v>
      </c>
      <c r="EL70" s="357">
        <v>0</v>
      </c>
      <c r="EM70" s="357">
        <v>0</v>
      </c>
      <c r="EN70" s="357">
        <v>331198</v>
      </c>
      <c r="EO70" s="357">
        <v>336198</v>
      </c>
      <c r="EP70" s="357">
        <v>0</v>
      </c>
      <c r="EQ70" s="357">
        <v>0</v>
      </c>
      <c r="ER70" s="357">
        <v>15000</v>
      </c>
      <c r="ES70" s="357">
        <v>0</v>
      </c>
      <c r="ET70" s="357">
        <v>0</v>
      </c>
      <c r="EU70" s="357">
        <v>351198</v>
      </c>
      <c r="EV70" s="357">
        <v>0</v>
      </c>
      <c r="EW70" s="357">
        <v>0</v>
      </c>
      <c r="EX70" s="357">
        <v>351198</v>
      </c>
      <c r="EY70" s="357">
        <v>43820961</v>
      </c>
      <c r="EZ70" s="357">
        <v>0</v>
      </c>
      <c r="FA70" s="357">
        <v>0</v>
      </c>
      <c r="FB70" s="357">
        <v>43820961</v>
      </c>
      <c r="FC70" s="277">
        <v>0</v>
      </c>
      <c r="FD70" s="205"/>
    </row>
    <row r="71" spans="1:160" ht="12.75">
      <c r="A71" s="169">
        <v>64</v>
      </c>
      <c r="B71" s="172" t="s">
        <v>5</v>
      </c>
      <c r="C71" s="258" t="s">
        <v>6</v>
      </c>
      <c r="D71" s="235">
        <v>41547</v>
      </c>
      <c r="E71" s="357">
        <v>81973687</v>
      </c>
      <c r="F71" s="357">
        <v>0</v>
      </c>
      <c r="G71" s="357">
        <v>0</v>
      </c>
      <c r="H71" s="357">
        <v>81973687</v>
      </c>
      <c r="I71" s="357">
        <v>38609607</v>
      </c>
      <c r="J71" s="357">
        <v>0</v>
      </c>
      <c r="K71" s="357">
        <v>0</v>
      </c>
      <c r="L71" s="357">
        <v>-529869</v>
      </c>
      <c r="M71" s="357">
        <v>0</v>
      </c>
      <c r="N71" s="357">
        <v>0</v>
      </c>
      <c r="O71" s="357">
        <v>38079738</v>
      </c>
      <c r="P71" s="357">
        <v>0</v>
      </c>
      <c r="Q71" s="357">
        <v>0</v>
      </c>
      <c r="R71" s="357">
        <v>38079738</v>
      </c>
      <c r="S71" s="357">
        <v>192568</v>
      </c>
      <c r="T71" s="357">
        <v>0</v>
      </c>
      <c r="U71" s="357">
        <v>0</v>
      </c>
      <c r="V71" s="357">
        <v>192568</v>
      </c>
      <c r="W71" s="357">
        <v>3.62</v>
      </c>
      <c r="X71" s="357">
        <v>0</v>
      </c>
      <c r="Y71" s="357">
        <v>0</v>
      </c>
      <c r="Z71" s="357">
        <v>3.62</v>
      </c>
      <c r="AA71" s="357">
        <v>192564.38</v>
      </c>
      <c r="AB71" s="357">
        <v>0</v>
      </c>
      <c r="AC71" s="357">
        <v>0</v>
      </c>
      <c r="AD71" s="357">
        <v>0</v>
      </c>
      <c r="AE71" s="357">
        <v>0</v>
      </c>
      <c r="AF71" s="357">
        <v>0</v>
      </c>
      <c r="AG71" s="357">
        <v>192564.38</v>
      </c>
      <c r="AH71" s="357">
        <v>0</v>
      </c>
      <c r="AI71" s="357">
        <v>0</v>
      </c>
      <c r="AJ71" s="357">
        <v>192564.38</v>
      </c>
      <c r="AK71" s="357">
        <v>192564.38</v>
      </c>
      <c r="AL71" s="357">
        <v>0</v>
      </c>
      <c r="AM71" s="357">
        <v>0</v>
      </c>
      <c r="AN71" s="357">
        <v>192564.38</v>
      </c>
      <c r="AO71" s="357">
        <v>492981</v>
      </c>
      <c r="AP71" s="357">
        <v>0</v>
      </c>
      <c r="AQ71" s="357">
        <v>0</v>
      </c>
      <c r="AR71" s="357">
        <v>492981</v>
      </c>
      <c r="AS71" s="357">
        <v>18000</v>
      </c>
      <c r="AT71" s="357">
        <v>0</v>
      </c>
      <c r="AU71" s="357">
        <v>0</v>
      </c>
      <c r="AV71" s="357">
        <v>18000</v>
      </c>
      <c r="AW71" s="357">
        <v>680737</v>
      </c>
      <c r="AX71" s="357">
        <v>0</v>
      </c>
      <c r="AY71" s="357">
        <v>0</v>
      </c>
      <c r="AZ71" s="357">
        <v>680737</v>
      </c>
      <c r="BA71" s="357">
        <v>-187756</v>
      </c>
      <c r="BB71" s="357">
        <v>0</v>
      </c>
      <c r="BC71" s="357">
        <v>0</v>
      </c>
      <c r="BD71" s="357">
        <v>-187756</v>
      </c>
      <c r="BE71" s="357">
        <v>1707412</v>
      </c>
      <c r="BF71" s="357">
        <v>0</v>
      </c>
      <c r="BG71" s="357">
        <v>0</v>
      </c>
      <c r="BH71" s="357">
        <v>1707412</v>
      </c>
      <c r="BI71" s="357">
        <v>0</v>
      </c>
      <c r="BJ71" s="357">
        <v>0</v>
      </c>
      <c r="BK71" s="357">
        <v>0</v>
      </c>
      <c r="BL71" s="357">
        <v>0</v>
      </c>
      <c r="BM71" s="357">
        <v>2590</v>
      </c>
      <c r="BN71" s="357">
        <v>0</v>
      </c>
      <c r="BO71" s="357">
        <v>0</v>
      </c>
      <c r="BP71" s="357">
        <v>2590</v>
      </c>
      <c r="BQ71" s="357">
        <v>1522246</v>
      </c>
      <c r="BR71" s="357">
        <v>0</v>
      </c>
      <c r="BS71" s="357">
        <v>0</v>
      </c>
      <c r="BT71" s="357">
        <v>0</v>
      </c>
      <c r="BU71" s="357">
        <v>0</v>
      </c>
      <c r="BV71" s="357">
        <v>0</v>
      </c>
      <c r="BW71" s="357">
        <v>1522246</v>
      </c>
      <c r="BX71" s="357">
        <v>0</v>
      </c>
      <c r="BY71" s="357">
        <v>0</v>
      </c>
      <c r="BZ71" s="357">
        <v>1522246</v>
      </c>
      <c r="CA71" s="357">
        <v>90326</v>
      </c>
      <c r="CB71" s="357">
        <v>0</v>
      </c>
      <c r="CC71" s="357">
        <v>0</v>
      </c>
      <c r="CD71" s="357">
        <v>90326</v>
      </c>
      <c r="CE71" s="357">
        <v>729209</v>
      </c>
      <c r="CF71" s="357">
        <v>0</v>
      </c>
      <c r="CG71" s="357">
        <v>0</v>
      </c>
      <c r="CH71" s="357">
        <v>729209</v>
      </c>
      <c r="CI71" s="357">
        <v>819535</v>
      </c>
      <c r="CJ71" s="357">
        <v>0</v>
      </c>
      <c r="CK71" s="357">
        <v>0</v>
      </c>
      <c r="CL71" s="357">
        <v>0</v>
      </c>
      <c r="CM71" s="357">
        <v>0</v>
      </c>
      <c r="CN71" s="357">
        <v>0</v>
      </c>
      <c r="CO71" s="357">
        <v>819535</v>
      </c>
      <c r="CP71" s="357">
        <v>0</v>
      </c>
      <c r="CQ71" s="357">
        <v>0</v>
      </c>
      <c r="CR71" s="357">
        <v>819535</v>
      </c>
      <c r="CS71" s="357">
        <v>0</v>
      </c>
      <c r="CT71" s="357">
        <v>0</v>
      </c>
      <c r="CU71" s="357">
        <v>0</v>
      </c>
      <c r="CV71" s="357">
        <v>0</v>
      </c>
      <c r="CW71" s="357">
        <v>12099</v>
      </c>
      <c r="CX71" s="357">
        <v>0</v>
      </c>
      <c r="CY71" s="357">
        <v>0</v>
      </c>
      <c r="CZ71" s="357">
        <v>12099</v>
      </c>
      <c r="DA71" s="357">
        <v>0</v>
      </c>
      <c r="DB71" s="357">
        <v>0</v>
      </c>
      <c r="DC71" s="357">
        <v>0</v>
      </c>
      <c r="DD71" s="357">
        <v>0</v>
      </c>
      <c r="DE71" s="357">
        <v>518</v>
      </c>
      <c r="DF71" s="357">
        <v>0</v>
      </c>
      <c r="DG71" s="357">
        <v>0</v>
      </c>
      <c r="DH71" s="357">
        <v>518</v>
      </c>
      <c r="DI71" s="357">
        <v>0</v>
      </c>
      <c r="DJ71" s="357">
        <v>0</v>
      </c>
      <c r="DK71" s="357">
        <v>0</v>
      </c>
      <c r="DL71" s="357">
        <v>0</v>
      </c>
      <c r="DM71" s="357">
        <v>0</v>
      </c>
      <c r="DN71" s="357">
        <v>0</v>
      </c>
      <c r="DO71" s="357">
        <v>0</v>
      </c>
      <c r="DP71" s="357">
        <v>0</v>
      </c>
      <c r="DQ71" s="357">
        <v>12617</v>
      </c>
      <c r="DR71" s="357">
        <v>0</v>
      </c>
      <c r="DS71" s="357">
        <v>0</v>
      </c>
      <c r="DT71" s="357">
        <v>0</v>
      </c>
      <c r="DU71" s="357">
        <v>0</v>
      </c>
      <c r="DV71" s="357">
        <v>0</v>
      </c>
      <c r="DW71" s="357">
        <v>12617</v>
      </c>
      <c r="DX71" s="357">
        <v>0</v>
      </c>
      <c r="DY71" s="357">
        <v>0</v>
      </c>
      <c r="DZ71" s="357">
        <v>12617</v>
      </c>
      <c r="EA71" s="357">
        <v>0</v>
      </c>
      <c r="EB71" s="357">
        <v>0</v>
      </c>
      <c r="EC71" s="357">
        <v>0</v>
      </c>
      <c r="ED71" s="357">
        <v>0</v>
      </c>
      <c r="EE71" s="357">
        <v>0</v>
      </c>
      <c r="EF71" s="357">
        <v>0</v>
      </c>
      <c r="EG71" s="357">
        <v>47807</v>
      </c>
      <c r="EH71" s="357">
        <v>0</v>
      </c>
      <c r="EI71" s="357">
        <v>0</v>
      </c>
      <c r="EJ71" s="357">
        <v>47807</v>
      </c>
      <c r="EK71" s="357">
        <v>6000</v>
      </c>
      <c r="EL71" s="357">
        <v>0</v>
      </c>
      <c r="EM71" s="357">
        <v>0</v>
      </c>
      <c r="EN71" s="357">
        <v>6000</v>
      </c>
      <c r="EO71" s="357">
        <v>53807</v>
      </c>
      <c r="EP71" s="357">
        <v>0</v>
      </c>
      <c r="EQ71" s="357">
        <v>0</v>
      </c>
      <c r="ER71" s="357">
        <v>0</v>
      </c>
      <c r="ES71" s="357">
        <v>0</v>
      </c>
      <c r="ET71" s="357">
        <v>0</v>
      </c>
      <c r="EU71" s="357">
        <v>53807</v>
      </c>
      <c r="EV71" s="357">
        <v>0</v>
      </c>
      <c r="EW71" s="357">
        <v>0</v>
      </c>
      <c r="EX71" s="357">
        <v>53807</v>
      </c>
      <c r="EY71" s="357">
        <v>35478968.6</v>
      </c>
      <c r="EZ71" s="357">
        <v>0</v>
      </c>
      <c r="FA71" s="357">
        <v>0</v>
      </c>
      <c r="FB71" s="357">
        <v>35478968.6</v>
      </c>
      <c r="FC71" s="277">
        <v>0</v>
      </c>
      <c r="FD71" s="205"/>
    </row>
    <row r="72" spans="1:160" ht="12.75">
      <c r="A72" s="169">
        <v>65</v>
      </c>
      <c r="B72" s="172" t="s">
        <v>7</v>
      </c>
      <c r="C72" s="258" t="s">
        <v>8</v>
      </c>
      <c r="D72" s="235">
        <v>41647</v>
      </c>
      <c r="E72" s="357">
        <v>420245727</v>
      </c>
      <c r="F72" s="357">
        <v>0</v>
      </c>
      <c r="G72" s="357">
        <v>1161800</v>
      </c>
      <c r="H72" s="357">
        <v>421407527</v>
      </c>
      <c r="I72" s="357">
        <v>197935737</v>
      </c>
      <c r="J72" s="357">
        <v>0</v>
      </c>
      <c r="K72" s="357">
        <v>547208</v>
      </c>
      <c r="L72" s="357">
        <v>150000</v>
      </c>
      <c r="M72" s="357">
        <v>0</v>
      </c>
      <c r="N72" s="357">
        <v>20000</v>
      </c>
      <c r="O72" s="357">
        <v>198085737</v>
      </c>
      <c r="P72" s="357">
        <v>0</v>
      </c>
      <c r="Q72" s="357">
        <v>567208</v>
      </c>
      <c r="R72" s="357">
        <v>198652945</v>
      </c>
      <c r="S72" s="357">
        <v>925028.33</v>
      </c>
      <c r="T72" s="357">
        <v>0</v>
      </c>
      <c r="U72" s="357">
        <v>0</v>
      </c>
      <c r="V72" s="357">
        <v>925028.33</v>
      </c>
      <c r="W72" s="357">
        <v>82141.86</v>
      </c>
      <c r="X72" s="357">
        <v>0</v>
      </c>
      <c r="Y72" s="357">
        <v>0</v>
      </c>
      <c r="Z72" s="357">
        <v>82141.86</v>
      </c>
      <c r="AA72" s="357">
        <v>842886.47</v>
      </c>
      <c r="AB72" s="357">
        <v>0</v>
      </c>
      <c r="AC72" s="357">
        <v>0</v>
      </c>
      <c r="AD72" s="357">
        <v>0</v>
      </c>
      <c r="AE72" s="357">
        <v>0</v>
      </c>
      <c r="AF72" s="357">
        <v>0</v>
      </c>
      <c r="AG72" s="357">
        <v>842886.47</v>
      </c>
      <c r="AH72" s="357">
        <v>0</v>
      </c>
      <c r="AI72" s="357">
        <v>0</v>
      </c>
      <c r="AJ72" s="357">
        <v>842886.47</v>
      </c>
      <c r="AK72" s="357">
        <v>842886.47</v>
      </c>
      <c r="AL72" s="357">
        <v>0</v>
      </c>
      <c r="AM72" s="357">
        <v>0</v>
      </c>
      <c r="AN72" s="357">
        <v>842886.47</v>
      </c>
      <c r="AO72" s="357">
        <v>21013637.1</v>
      </c>
      <c r="AP72" s="357">
        <v>0</v>
      </c>
      <c r="AQ72" s="357">
        <v>0</v>
      </c>
      <c r="AR72" s="357">
        <v>21013637.1</v>
      </c>
      <c r="AS72" s="357">
        <v>0</v>
      </c>
      <c r="AT72" s="357">
        <v>0</v>
      </c>
      <c r="AU72" s="357">
        <v>0</v>
      </c>
      <c r="AV72" s="357">
        <v>0</v>
      </c>
      <c r="AW72" s="357">
        <v>3393236.4</v>
      </c>
      <c r="AX72" s="357">
        <v>0</v>
      </c>
      <c r="AY72" s="357">
        <v>12655.5</v>
      </c>
      <c r="AZ72" s="357">
        <v>3405891.9</v>
      </c>
      <c r="BA72" s="357">
        <v>17620400.7</v>
      </c>
      <c r="BB72" s="357">
        <v>0</v>
      </c>
      <c r="BC72" s="357">
        <v>-12655.5</v>
      </c>
      <c r="BD72" s="357">
        <v>17607745.2</v>
      </c>
      <c r="BE72" s="357">
        <v>14768984.1</v>
      </c>
      <c r="BF72" s="357">
        <v>0</v>
      </c>
      <c r="BG72" s="357">
        <v>24100</v>
      </c>
      <c r="BH72" s="357">
        <v>14793084.1</v>
      </c>
      <c r="BI72" s="357">
        <v>202921.45</v>
      </c>
      <c r="BJ72" s="357">
        <v>0</v>
      </c>
      <c r="BK72" s="357">
        <v>0</v>
      </c>
      <c r="BL72" s="357">
        <v>202921.45</v>
      </c>
      <c r="BM72" s="357">
        <v>247394.73</v>
      </c>
      <c r="BN72" s="357">
        <v>0</v>
      </c>
      <c r="BO72" s="357">
        <v>0</v>
      </c>
      <c r="BP72" s="357">
        <v>247394.73</v>
      </c>
      <c r="BQ72" s="357">
        <v>32839701</v>
      </c>
      <c r="BR72" s="357">
        <v>0</v>
      </c>
      <c r="BS72" s="357">
        <v>11444.5</v>
      </c>
      <c r="BT72" s="357">
        <v>2510000</v>
      </c>
      <c r="BU72" s="357">
        <v>0</v>
      </c>
      <c r="BV72" s="357">
        <v>0</v>
      </c>
      <c r="BW72" s="357">
        <v>35349701</v>
      </c>
      <c r="BX72" s="357">
        <v>0</v>
      </c>
      <c r="BY72" s="357">
        <v>11444.5</v>
      </c>
      <c r="BZ72" s="357">
        <v>35361145.5</v>
      </c>
      <c r="CA72" s="357">
        <v>71000</v>
      </c>
      <c r="CB72" s="357">
        <v>0</v>
      </c>
      <c r="CC72" s="357">
        <v>0</v>
      </c>
      <c r="CD72" s="357">
        <v>71000</v>
      </c>
      <c r="CE72" s="357">
        <v>3756692</v>
      </c>
      <c r="CF72" s="357">
        <v>0</v>
      </c>
      <c r="CG72" s="357">
        <v>0</v>
      </c>
      <c r="CH72" s="357">
        <v>3756692</v>
      </c>
      <c r="CI72" s="357">
        <v>3827692</v>
      </c>
      <c r="CJ72" s="357">
        <v>0</v>
      </c>
      <c r="CK72" s="357">
        <v>0</v>
      </c>
      <c r="CL72" s="357">
        <v>84000</v>
      </c>
      <c r="CM72" s="357">
        <v>0</v>
      </c>
      <c r="CN72" s="357">
        <v>0</v>
      </c>
      <c r="CO72" s="357">
        <v>3911692</v>
      </c>
      <c r="CP72" s="357">
        <v>0</v>
      </c>
      <c r="CQ72" s="357">
        <v>0</v>
      </c>
      <c r="CR72" s="357">
        <v>3911692</v>
      </c>
      <c r="CS72" s="357">
        <v>1015819.45</v>
      </c>
      <c r="CT72" s="357">
        <v>0</v>
      </c>
      <c r="CU72" s="357">
        <v>0</v>
      </c>
      <c r="CV72" s="357">
        <v>1015819.45</v>
      </c>
      <c r="CW72" s="357">
        <v>495282.35</v>
      </c>
      <c r="CX72" s="357">
        <v>0</v>
      </c>
      <c r="CY72" s="357">
        <v>0</v>
      </c>
      <c r="CZ72" s="357">
        <v>495282.35</v>
      </c>
      <c r="DA72" s="357">
        <v>7469.93</v>
      </c>
      <c r="DB72" s="357">
        <v>0</v>
      </c>
      <c r="DC72" s="357">
        <v>0</v>
      </c>
      <c r="DD72" s="357">
        <v>7469.93</v>
      </c>
      <c r="DE72" s="357">
        <v>127852.91</v>
      </c>
      <c r="DF72" s="357">
        <v>0</v>
      </c>
      <c r="DG72" s="357">
        <v>0</v>
      </c>
      <c r="DH72" s="357">
        <v>127852.91</v>
      </c>
      <c r="DI72" s="357">
        <v>46389.38</v>
      </c>
      <c r="DJ72" s="357">
        <v>0</v>
      </c>
      <c r="DK72" s="357">
        <v>0</v>
      </c>
      <c r="DL72" s="357">
        <v>46389.38</v>
      </c>
      <c r="DM72" s="357">
        <v>0</v>
      </c>
      <c r="DN72" s="357">
        <v>0</v>
      </c>
      <c r="DO72" s="357">
        <v>172053</v>
      </c>
      <c r="DP72" s="357">
        <v>172053</v>
      </c>
      <c r="DQ72" s="357">
        <v>1692814.02</v>
      </c>
      <c r="DR72" s="357">
        <v>0</v>
      </c>
      <c r="DS72" s="357">
        <v>172053</v>
      </c>
      <c r="DT72" s="357">
        <v>50000</v>
      </c>
      <c r="DU72" s="357">
        <v>0</v>
      </c>
      <c r="DV72" s="357">
        <v>0</v>
      </c>
      <c r="DW72" s="357">
        <v>1742814.02</v>
      </c>
      <c r="DX72" s="357">
        <v>0</v>
      </c>
      <c r="DY72" s="357">
        <v>172053</v>
      </c>
      <c r="DZ72" s="357">
        <v>1914867.02</v>
      </c>
      <c r="EA72" s="357">
        <v>172053</v>
      </c>
      <c r="EB72" s="357">
        <v>0</v>
      </c>
      <c r="EC72" s="357">
        <v>0</v>
      </c>
      <c r="ED72" s="357">
        <v>0</v>
      </c>
      <c r="EE72" s="357">
        <v>0</v>
      </c>
      <c r="EF72" s="357">
        <v>0</v>
      </c>
      <c r="EG72" s="357">
        <v>190443</v>
      </c>
      <c r="EH72" s="357">
        <v>0</v>
      </c>
      <c r="EI72" s="357">
        <v>0</v>
      </c>
      <c r="EJ72" s="357">
        <v>190443</v>
      </c>
      <c r="EK72" s="357">
        <v>3914419</v>
      </c>
      <c r="EL72" s="357">
        <v>0</v>
      </c>
      <c r="EM72" s="357">
        <v>0</v>
      </c>
      <c r="EN72" s="357">
        <v>3914419</v>
      </c>
      <c r="EO72" s="357">
        <v>4104862</v>
      </c>
      <c r="EP72" s="357">
        <v>0</v>
      </c>
      <c r="EQ72" s="357">
        <v>0</v>
      </c>
      <c r="ER72" s="357">
        <v>0</v>
      </c>
      <c r="ES72" s="357">
        <v>0</v>
      </c>
      <c r="ET72" s="357">
        <v>0</v>
      </c>
      <c r="EU72" s="357">
        <v>4104862</v>
      </c>
      <c r="EV72" s="357">
        <v>0</v>
      </c>
      <c r="EW72" s="357">
        <v>0</v>
      </c>
      <c r="EX72" s="357">
        <v>4104862</v>
      </c>
      <c r="EY72" s="357">
        <v>152133782</v>
      </c>
      <c r="EZ72" s="357">
        <v>0</v>
      </c>
      <c r="FA72" s="357">
        <v>383710.5</v>
      </c>
      <c r="FB72" s="357">
        <v>152517492</v>
      </c>
      <c r="FC72" s="277">
        <v>0</v>
      </c>
      <c r="FD72" s="205"/>
    </row>
    <row r="73" spans="1:160" ht="12.75">
      <c r="A73" s="169">
        <v>66</v>
      </c>
      <c r="B73" s="172" t="s">
        <v>9</v>
      </c>
      <c r="C73" s="258" t="s">
        <v>10</v>
      </c>
      <c r="D73" s="235">
        <v>41639</v>
      </c>
      <c r="E73" s="357">
        <v>74479670</v>
      </c>
      <c r="F73" s="357">
        <v>0</v>
      </c>
      <c r="G73" s="357">
        <v>0</v>
      </c>
      <c r="H73" s="357">
        <v>74479670</v>
      </c>
      <c r="I73" s="357">
        <v>35079925</v>
      </c>
      <c r="J73" s="357">
        <v>0</v>
      </c>
      <c r="K73" s="357">
        <v>0</v>
      </c>
      <c r="L73" s="357">
        <v>0</v>
      </c>
      <c r="M73" s="357">
        <v>0</v>
      </c>
      <c r="N73" s="357">
        <v>0</v>
      </c>
      <c r="O73" s="357">
        <v>35079925</v>
      </c>
      <c r="P73" s="357">
        <v>0</v>
      </c>
      <c r="Q73" s="357">
        <v>0</v>
      </c>
      <c r="R73" s="357">
        <v>35079925</v>
      </c>
      <c r="S73" s="357">
        <v>185745</v>
      </c>
      <c r="T73" s="357">
        <v>0</v>
      </c>
      <c r="U73" s="357">
        <v>0</v>
      </c>
      <c r="V73" s="357">
        <v>185745</v>
      </c>
      <c r="W73" s="357">
        <v>1837</v>
      </c>
      <c r="X73" s="357">
        <v>0</v>
      </c>
      <c r="Y73" s="357">
        <v>0</v>
      </c>
      <c r="Z73" s="357">
        <v>1837</v>
      </c>
      <c r="AA73" s="357">
        <v>183908</v>
      </c>
      <c r="AB73" s="357">
        <v>0</v>
      </c>
      <c r="AC73" s="357">
        <v>0</v>
      </c>
      <c r="AD73" s="357">
        <v>0</v>
      </c>
      <c r="AE73" s="357">
        <v>0</v>
      </c>
      <c r="AF73" s="357">
        <v>0</v>
      </c>
      <c r="AG73" s="357">
        <v>183908</v>
      </c>
      <c r="AH73" s="357">
        <v>0</v>
      </c>
      <c r="AI73" s="357">
        <v>0</v>
      </c>
      <c r="AJ73" s="357">
        <v>183908</v>
      </c>
      <c r="AK73" s="357">
        <v>183908</v>
      </c>
      <c r="AL73" s="357">
        <v>0</v>
      </c>
      <c r="AM73" s="357">
        <v>0</v>
      </c>
      <c r="AN73" s="357">
        <v>183908</v>
      </c>
      <c r="AO73" s="357">
        <v>2524112</v>
      </c>
      <c r="AP73" s="357">
        <v>0</v>
      </c>
      <c r="AQ73" s="357">
        <v>0</v>
      </c>
      <c r="AR73" s="357">
        <v>2524112</v>
      </c>
      <c r="AS73" s="357">
        <v>0</v>
      </c>
      <c r="AT73" s="357">
        <v>0</v>
      </c>
      <c r="AU73" s="357">
        <v>0</v>
      </c>
      <c r="AV73" s="357">
        <v>0</v>
      </c>
      <c r="AW73" s="357">
        <v>614225</v>
      </c>
      <c r="AX73" s="357">
        <v>0</v>
      </c>
      <c r="AY73" s="357">
        <v>0</v>
      </c>
      <c r="AZ73" s="357">
        <v>614225</v>
      </c>
      <c r="BA73" s="357">
        <v>1909887</v>
      </c>
      <c r="BB73" s="357">
        <v>0</v>
      </c>
      <c r="BC73" s="357">
        <v>0</v>
      </c>
      <c r="BD73" s="357">
        <v>1909887</v>
      </c>
      <c r="BE73" s="357">
        <v>2027111</v>
      </c>
      <c r="BF73" s="357">
        <v>0</v>
      </c>
      <c r="BG73" s="357">
        <v>0</v>
      </c>
      <c r="BH73" s="357">
        <v>2027111</v>
      </c>
      <c r="BI73" s="357">
        <v>112423</v>
      </c>
      <c r="BJ73" s="357">
        <v>0</v>
      </c>
      <c r="BK73" s="357">
        <v>0</v>
      </c>
      <c r="BL73" s="357">
        <v>112423</v>
      </c>
      <c r="BM73" s="357">
        <v>35456</v>
      </c>
      <c r="BN73" s="357">
        <v>0</v>
      </c>
      <c r="BO73" s="357">
        <v>0</v>
      </c>
      <c r="BP73" s="357">
        <v>35456</v>
      </c>
      <c r="BQ73" s="357">
        <v>4084877</v>
      </c>
      <c r="BR73" s="357">
        <v>0</v>
      </c>
      <c r="BS73" s="357">
        <v>0</v>
      </c>
      <c r="BT73" s="357">
        <v>0</v>
      </c>
      <c r="BU73" s="357">
        <v>0</v>
      </c>
      <c r="BV73" s="357">
        <v>0</v>
      </c>
      <c r="BW73" s="357">
        <v>4084877</v>
      </c>
      <c r="BX73" s="357">
        <v>0</v>
      </c>
      <c r="BY73" s="357">
        <v>0</v>
      </c>
      <c r="BZ73" s="357">
        <v>4084877</v>
      </c>
      <c r="CA73" s="357">
        <v>0</v>
      </c>
      <c r="CB73" s="357">
        <v>0</v>
      </c>
      <c r="CC73" s="357">
        <v>0</v>
      </c>
      <c r="CD73" s="357">
        <v>0</v>
      </c>
      <c r="CE73" s="357">
        <v>787291</v>
      </c>
      <c r="CF73" s="357">
        <v>0</v>
      </c>
      <c r="CG73" s="357">
        <v>0</v>
      </c>
      <c r="CH73" s="357">
        <v>787291</v>
      </c>
      <c r="CI73" s="357">
        <v>787291</v>
      </c>
      <c r="CJ73" s="357">
        <v>0</v>
      </c>
      <c r="CK73" s="357">
        <v>0</v>
      </c>
      <c r="CL73" s="357">
        <v>0</v>
      </c>
      <c r="CM73" s="357">
        <v>0</v>
      </c>
      <c r="CN73" s="357">
        <v>0</v>
      </c>
      <c r="CO73" s="357">
        <v>787291</v>
      </c>
      <c r="CP73" s="357">
        <v>0</v>
      </c>
      <c r="CQ73" s="357">
        <v>0</v>
      </c>
      <c r="CR73" s="357">
        <v>787291</v>
      </c>
      <c r="CS73" s="357">
        <v>85050</v>
      </c>
      <c r="CT73" s="357">
        <v>0</v>
      </c>
      <c r="CU73" s="357">
        <v>0</v>
      </c>
      <c r="CV73" s="357">
        <v>85050</v>
      </c>
      <c r="CW73" s="357">
        <v>6311</v>
      </c>
      <c r="CX73" s="357">
        <v>0</v>
      </c>
      <c r="CY73" s="357">
        <v>0</v>
      </c>
      <c r="CZ73" s="357">
        <v>6311</v>
      </c>
      <c r="DA73" s="357">
        <v>76</v>
      </c>
      <c r="DB73" s="357">
        <v>0</v>
      </c>
      <c r="DC73" s="357">
        <v>0</v>
      </c>
      <c r="DD73" s="357">
        <v>76</v>
      </c>
      <c r="DE73" s="357">
        <v>1500</v>
      </c>
      <c r="DF73" s="357">
        <v>0</v>
      </c>
      <c r="DG73" s="357">
        <v>0</v>
      </c>
      <c r="DH73" s="357">
        <v>1500</v>
      </c>
      <c r="DI73" s="357">
        <v>0</v>
      </c>
      <c r="DJ73" s="357">
        <v>0</v>
      </c>
      <c r="DK73" s="357">
        <v>0</v>
      </c>
      <c r="DL73" s="357">
        <v>0</v>
      </c>
      <c r="DM73" s="357">
        <v>0</v>
      </c>
      <c r="DN73" s="357">
        <v>0</v>
      </c>
      <c r="DO73" s="357">
        <v>0</v>
      </c>
      <c r="DP73" s="357">
        <v>0</v>
      </c>
      <c r="DQ73" s="357">
        <v>92937</v>
      </c>
      <c r="DR73" s="357">
        <v>0</v>
      </c>
      <c r="DS73" s="357">
        <v>0</v>
      </c>
      <c r="DT73" s="357">
        <v>0</v>
      </c>
      <c r="DU73" s="357">
        <v>0</v>
      </c>
      <c r="DV73" s="357">
        <v>0</v>
      </c>
      <c r="DW73" s="357">
        <v>92937</v>
      </c>
      <c r="DX73" s="357">
        <v>0</v>
      </c>
      <c r="DY73" s="357">
        <v>0</v>
      </c>
      <c r="DZ73" s="357">
        <v>92937</v>
      </c>
      <c r="EA73" s="357">
        <v>0</v>
      </c>
      <c r="EB73" s="357">
        <v>0</v>
      </c>
      <c r="EC73" s="357">
        <v>0</v>
      </c>
      <c r="ED73" s="357">
        <v>0</v>
      </c>
      <c r="EE73" s="357">
        <v>0</v>
      </c>
      <c r="EF73" s="357">
        <v>0</v>
      </c>
      <c r="EG73" s="357">
        <v>4802</v>
      </c>
      <c r="EH73" s="357">
        <v>0</v>
      </c>
      <c r="EI73" s="357">
        <v>0</v>
      </c>
      <c r="EJ73" s="357">
        <v>4802</v>
      </c>
      <c r="EK73" s="357">
        <v>338174</v>
      </c>
      <c r="EL73" s="357">
        <v>0</v>
      </c>
      <c r="EM73" s="357">
        <v>0</v>
      </c>
      <c r="EN73" s="357">
        <v>338174</v>
      </c>
      <c r="EO73" s="357">
        <v>342976</v>
      </c>
      <c r="EP73" s="357">
        <v>0</v>
      </c>
      <c r="EQ73" s="357">
        <v>0</v>
      </c>
      <c r="ER73" s="357">
        <v>0</v>
      </c>
      <c r="ES73" s="357">
        <v>0</v>
      </c>
      <c r="ET73" s="357">
        <v>0</v>
      </c>
      <c r="EU73" s="357">
        <v>342976</v>
      </c>
      <c r="EV73" s="357">
        <v>0</v>
      </c>
      <c r="EW73" s="357">
        <v>0</v>
      </c>
      <c r="EX73" s="357">
        <v>342976</v>
      </c>
      <c r="EY73" s="357">
        <v>29587936</v>
      </c>
      <c r="EZ73" s="357">
        <v>0</v>
      </c>
      <c r="FA73" s="357">
        <v>0</v>
      </c>
      <c r="FB73" s="357">
        <v>29587936</v>
      </c>
      <c r="FC73" s="277">
        <v>0</v>
      </c>
      <c r="FD73" s="205"/>
    </row>
    <row r="74" spans="1:160" ht="12.75">
      <c r="A74" s="169">
        <v>67</v>
      </c>
      <c r="B74" s="172" t="s">
        <v>11</v>
      </c>
      <c r="C74" s="258" t="s">
        <v>12</v>
      </c>
      <c r="D74" s="235">
        <v>41639</v>
      </c>
      <c r="E74" s="357">
        <v>300075396</v>
      </c>
      <c r="F74" s="357">
        <v>0</v>
      </c>
      <c r="G74" s="357">
        <v>0</v>
      </c>
      <c r="H74" s="357">
        <v>300075396</v>
      </c>
      <c r="I74" s="357">
        <v>141335512</v>
      </c>
      <c r="J74" s="357">
        <v>0</v>
      </c>
      <c r="K74" s="357">
        <v>0</v>
      </c>
      <c r="L74" s="357">
        <v>0</v>
      </c>
      <c r="M74" s="357">
        <v>0</v>
      </c>
      <c r="N74" s="357">
        <v>0</v>
      </c>
      <c r="O74" s="357">
        <v>141335512</v>
      </c>
      <c r="P74" s="357">
        <v>0</v>
      </c>
      <c r="Q74" s="357">
        <v>0</v>
      </c>
      <c r="R74" s="357">
        <v>141335512</v>
      </c>
      <c r="S74" s="357">
        <v>23029</v>
      </c>
      <c r="T74" s="357">
        <v>0</v>
      </c>
      <c r="U74" s="357">
        <v>0</v>
      </c>
      <c r="V74" s="357">
        <v>23029</v>
      </c>
      <c r="W74" s="357">
        <v>14818</v>
      </c>
      <c r="X74" s="357">
        <v>0</v>
      </c>
      <c r="Y74" s="357">
        <v>0</v>
      </c>
      <c r="Z74" s="357">
        <v>14818</v>
      </c>
      <c r="AA74" s="357">
        <v>8211</v>
      </c>
      <c r="AB74" s="357">
        <v>0</v>
      </c>
      <c r="AC74" s="357">
        <v>0</v>
      </c>
      <c r="AD74" s="357">
        <v>0</v>
      </c>
      <c r="AE74" s="357">
        <v>0</v>
      </c>
      <c r="AF74" s="357">
        <v>0</v>
      </c>
      <c r="AG74" s="357">
        <v>8211</v>
      </c>
      <c r="AH74" s="357">
        <v>0</v>
      </c>
      <c r="AI74" s="357">
        <v>0</v>
      </c>
      <c r="AJ74" s="357">
        <v>8211</v>
      </c>
      <c r="AK74" s="357">
        <v>8211</v>
      </c>
      <c r="AL74" s="357">
        <v>0</v>
      </c>
      <c r="AM74" s="357">
        <v>0</v>
      </c>
      <c r="AN74" s="357">
        <v>8211</v>
      </c>
      <c r="AO74" s="357">
        <v>4912307</v>
      </c>
      <c r="AP74" s="357">
        <v>0</v>
      </c>
      <c r="AQ74" s="357">
        <v>0</v>
      </c>
      <c r="AR74" s="357">
        <v>4912307</v>
      </c>
      <c r="AS74" s="357">
        <v>0</v>
      </c>
      <c r="AT74" s="357">
        <v>0</v>
      </c>
      <c r="AU74" s="357">
        <v>0</v>
      </c>
      <c r="AV74" s="357">
        <v>0</v>
      </c>
      <c r="AW74" s="357">
        <v>2980210</v>
      </c>
      <c r="AX74" s="357">
        <v>0</v>
      </c>
      <c r="AY74" s="357">
        <v>0</v>
      </c>
      <c r="AZ74" s="357">
        <v>2980210</v>
      </c>
      <c r="BA74" s="357">
        <v>1932097</v>
      </c>
      <c r="BB74" s="357">
        <v>0</v>
      </c>
      <c r="BC74" s="357">
        <v>0</v>
      </c>
      <c r="BD74" s="357">
        <v>1932097</v>
      </c>
      <c r="BE74" s="357">
        <v>11522189</v>
      </c>
      <c r="BF74" s="357">
        <v>0</v>
      </c>
      <c r="BG74" s="357">
        <v>0</v>
      </c>
      <c r="BH74" s="357">
        <v>11522189</v>
      </c>
      <c r="BI74" s="357">
        <v>26992</v>
      </c>
      <c r="BJ74" s="357">
        <v>0</v>
      </c>
      <c r="BK74" s="357">
        <v>0</v>
      </c>
      <c r="BL74" s="357">
        <v>26992</v>
      </c>
      <c r="BM74" s="357">
        <v>0</v>
      </c>
      <c r="BN74" s="357">
        <v>0</v>
      </c>
      <c r="BO74" s="357">
        <v>0</v>
      </c>
      <c r="BP74" s="357">
        <v>0</v>
      </c>
      <c r="BQ74" s="357">
        <v>13481278</v>
      </c>
      <c r="BR74" s="357">
        <v>0</v>
      </c>
      <c r="BS74" s="357">
        <v>0</v>
      </c>
      <c r="BT74" s="357">
        <v>0</v>
      </c>
      <c r="BU74" s="357">
        <v>0</v>
      </c>
      <c r="BV74" s="357">
        <v>0</v>
      </c>
      <c r="BW74" s="357">
        <v>13481278</v>
      </c>
      <c r="BX74" s="357">
        <v>0</v>
      </c>
      <c r="BY74" s="357">
        <v>0</v>
      </c>
      <c r="BZ74" s="357">
        <v>13481278</v>
      </c>
      <c r="CA74" s="357">
        <v>0</v>
      </c>
      <c r="CB74" s="357">
        <v>0</v>
      </c>
      <c r="CC74" s="357">
        <v>0</v>
      </c>
      <c r="CD74" s="357">
        <v>0</v>
      </c>
      <c r="CE74" s="357">
        <v>1434827</v>
      </c>
      <c r="CF74" s="357">
        <v>0</v>
      </c>
      <c r="CG74" s="357">
        <v>0</v>
      </c>
      <c r="CH74" s="357">
        <v>1434827</v>
      </c>
      <c r="CI74" s="357">
        <v>1434827</v>
      </c>
      <c r="CJ74" s="357">
        <v>0</v>
      </c>
      <c r="CK74" s="357">
        <v>0</v>
      </c>
      <c r="CL74" s="357">
        <v>0</v>
      </c>
      <c r="CM74" s="357">
        <v>0</v>
      </c>
      <c r="CN74" s="357">
        <v>0</v>
      </c>
      <c r="CO74" s="357">
        <v>1434827</v>
      </c>
      <c r="CP74" s="357">
        <v>0</v>
      </c>
      <c r="CQ74" s="357">
        <v>0</v>
      </c>
      <c r="CR74" s="357">
        <v>1434827</v>
      </c>
      <c r="CS74" s="357">
        <v>729549</v>
      </c>
      <c r="CT74" s="357">
        <v>0</v>
      </c>
      <c r="CU74" s="357">
        <v>0</v>
      </c>
      <c r="CV74" s="357">
        <v>729549</v>
      </c>
      <c r="CW74" s="357">
        <v>312982</v>
      </c>
      <c r="CX74" s="357">
        <v>0</v>
      </c>
      <c r="CY74" s="357">
        <v>0</v>
      </c>
      <c r="CZ74" s="357">
        <v>312982</v>
      </c>
      <c r="DA74" s="357">
        <v>6748</v>
      </c>
      <c r="DB74" s="357">
        <v>0</v>
      </c>
      <c r="DC74" s="357">
        <v>0</v>
      </c>
      <c r="DD74" s="357">
        <v>6748</v>
      </c>
      <c r="DE74" s="357">
        <v>0</v>
      </c>
      <c r="DF74" s="357">
        <v>0</v>
      </c>
      <c r="DG74" s="357">
        <v>0</v>
      </c>
      <c r="DH74" s="357">
        <v>0</v>
      </c>
      <c r="DI74" s="357">
        <v>0</v>
      </c>
      <c r="DJ74" s="357">
        <v>0</v>
      </c>
      <c r="DK74" s="357">
        <v>0</v>
      </c>
      <c r="DL74" s="357">
        <v>0</v>
      </c>
      <c r="DM74" s="357">
        <v>0</v>
      </c>
      <c r="DN74" s="357">
        <v>0</v>
      </c>
      <c r="DO74" s="357">
        <v>0</v>
      </c>
      <c r="DP74" s="357">
        <v>0</v>
      </c>
      <c r="DQ74" s="357">
        <v>1049279</v>
      </c>
      <c r="DR74" s="357">
        <v>0</v>
      </c>
      <c r="DS74" s="357">
        <v>0</v>
      </c>
      <c r="DT74" s="357">
        <v>0</v>
      </c>
      <c r="DU74" s="357">
        <v>0</v>
      </c>
      <c r="DV74" s="357">
        <v>0</v>
      </c>
      <c r="DW74" s="357">
        <v>1049279</v>
      </c>
      <c r="DX74" s="357">
        <v>0</v>
      </c>
      <c r="DY74" s="357">
        <v>0</v>
      </c>
      <c r="DZ74" s="357">
        <v>1049279</v>
      </c>
      <c r="EA74" s="357">
        <v>0</v>
      </c>
      <c r="EB74" s="357">
        <v>0</v>
      </c>
      <c r="EC74" s="357">
        <v>0</v>
      </c>
      <c r="ED74" s="357">
        <v>0</v>
      </c>
      <c r="EE74" s="357">
        <v>0</v>
      </c>
      <c r="EF74" s="357">
        <v>0</v>
      </c>
      <c r="EG74" s="357">
        <v>192000</v>
      </c>
      <c r="EH74" s="357">
        <v>0</v>
      </c>
      <c r="EI74" s="357">
        <v>0</v>
      </c>
      <c r="EJ74" s="357">
        <v>192000</v>
      </c>
      <c r="EK74" s="357">
        <v>1100000</v>
      </c>
      <c r="EL74" s="357">
        <v>0</v>
      </c>
      <c r="EM74" s="357">
        <v>0</v>
      </c>
      <c r="EN74" s="357">
        <v>1100000</v>
      </c>
      <c r="EO74" s="357">
        <v>1292000</v>
      </c>
      <c r="EP74" s="357">
        <v>0</v>
      </c>
      <c r="EQ74" s="357">
        <v>0</v>
      </c>
      <c r="ER74" s="357">
        <v>0</v>
      </c>
      <c r="ES74" s="357">
        <v>0</v>
      </c>
      <c r="ET74" s="357">
        <v>0</v>
      </c>
      <c r="EU74" s="357">
        <v>1292000</v>
      </c>
      <c r="EV74" s="357">
        <v>0</v>
      </c>
      <c r="EW74" s="357">
        <v>0</v>
      </c>
      <c r="EX74" s="357">
        <v>1292000</v>
      </c>
      <c r="EY74" s="357">
        <v>124069917</v>
      </c>
      <c r="EZ74" s="357">
        <v>0</v>
      </c>
      <c r="FA74" s="357">
        <v>0</v>
      </c>
      <c r="FB74" s="357">
        <v>124069917</v>
      </c>
      <c r="FC74" s="277">
        <v>0</v>
      </c>
      <c r="FD74" s="205"/>
    </row>
    <row r="75" spans="1:160" ht="12.75">
      <c r="A75" s="169">
        <v>68</v>
      </c>
      <c r="B75" s="172" t="s">
        <v>13</v>
      </c>
      <c r="C75" s="258" t="s">
        <v>14</v>
      </c>
      <c r="D75" s="235">
        <v>41547</v>
      </c>
      <c r="E75" s="357">
        <v>46317871</v>
      </c>
      <c r="F75" s="357">
        <v>0</v>
      </c>
      <c r="G75" s="357">
        <v>0</v>
      </c>
      <c r="H75" s="357">
        <v>46317871</v>
      </c>
      <c r="I75" s="357">
        <v>21815717</v>
      </c>
      <c r="J75" s="357">
        <v>0</v>
      </c>
      <c r="K75" s="357">
        <v>0</v>
      </c>
      <c r="L75" s="357">
        <v>0</v>
      </c>
      <c r="M75" s="357">
        <v>0</v>
      </c>
      <c r="N75" s="357">
        <v>0</v>
      </c>
      <c r="O75" s="357">
        <v>21815717</v>
      </c>
      <c r="P75" s="357">
        <v>0</v>
      </c>
      <c r="Q75" s="357">
        <v>0</v>
      </c>
      <c r="R75" s="357">
        <v>21815717</v>
      </c>
      <c r="S75" s="357">
        <v>24201</v>
      </c>
      <c r="T75" s="357">
        <v>0</v>
      </c>
      <c r="U75" s="357">
        <v>0</v>
      </c>
      <c r="V75" s="357">
        <v>24201</v>
      </c>
      <c r="W75" s="357">
        <v>571</v>
      </c>
      <c r="X75" s="357">
        <v>0</v>
      </c>
      <c r="Y75" s="357">
        <v>0</v>
      </c>
      <c r="Z75" s="357">
        <v>571</v>
      </c>
      <c r="AA75" s="357">
        <v>23630</v>
      </c>
      <c r="AB75" s="357">
        <v>0</v>
      </c>
      <c r="AC75" s="357">
        <v>0</v>
      </c>
      <c r="AD75" s="357">
        <v>0</v>
      </c>
      <c r="AE75" s="357">
        <v>0</v>
      </c>
      <c r="AF75" s="357">
        <v>0</v>
      </c>
      <c r="AG75" s="357">
        <v>23630</v>
      </c>
      <c r="AH75" s="357">
        <v>0</v>
      </c>
      <c r="AI75" s="357">
        <v>0</v>
      </c>
      <c r="AJ75" s="357">
        <v>23630</v>
      </c>
      <c r="AK75" s="357">
        <v>23630</v>
      </c>
      <c r="AL75" s="357">
        <v>0</v>
      </c>
      <c r="AM75" s="357">
        <v>0</v>
      </c>
      <c r="AN75" s="357">
        <v>23630</v>
      </c>
      <c r="AO75" s="357">
        <v>1030290</v>
      </c>
      <c r="AP75" s="357">
        <v>0</v>
      </c>
      <c r="AQ75" s="357">
        <v>0</v>
      </c>
      <c r="AR75" s="357">
        <v>1030290</v>
      </c>
      <c r="AS75" s="357">
        <v>10000</v>
      </c>
      <c r="AT75" s="357">
        <v>0</v>
      </c>
      <c r="AU75" s="357">
        <v>0</v>
      </c>
      <c r="AV75" s="357">
        <v>10000</v>
      </c>
      <c r="AW75" s="357">
        <v>380015</v>
      </c>
      <c r="AX75" s="357">
        <v>0</v>
      </c>
      <c r="AY75" s="357">
        <v>0</v>
      </c>
      <c r="AZ75" s="357">
        <v>380015</v>
      </c>
      <c r="BA75" s="357">
        <v>650275</v>
      </c>
      <c r="BB75" s="357">
        <v>0</v>
      </c>
      <c r="BC75" s="357">
        <v>0</v>
      </c>
      <c r="BD75" s="357">
        <v>650275</v>
      </c>
      <c r="BE75" s="357">
        <v>1116076</v>
      </c>
      <c r="BF75" s="357">
        <v>0</v>
      </c>
      <c r="BG75" s="357">
        <v>0</v>
      </c>
      <c r="BH75" s="357">
        <v>1116076</v>
      </c>
      <c r="BI75" s="357">
        <v>27734</v>
      </c>
      <c r="BJ75" s="357">
        <v>0</v>
      </c>
      <c r="BK75" s="357">
        <v>0</v>
      </c>
      <c r="BL75" s="357">
        <v>27734</v>
      </c>
      <c r="BM75" s="357">
        <v>37566</v>
      </c>
      <c r="BN75" s="357">
        <v>0</v>
      </c>
      <c r="BO75" s="357">
        <v>0</v>
      </c>
      <c r="BP75" s="357">
        <v>37566</v>
      </c>
      <c r="BQ75" s="357">
        <v>1831651</v>
      </c>
      <c r="BR75" s="357">
        <v>0</v>
      </c>
      <c r="BS75" s="357">
        <v>0</v>
      </c>
      <c r="BT75" s="357">
        <v>0</v>
      </c>
      <c r="BU75" s="357">
        <v>0</v>
      </c>
      <c r="BV75" s="357">
        <v>0</v>
      </c>
      <c r="BW75" s="357">
        <v>1831651</v>
      </c>
      <c r="BX75" s="357">
        <v>0</v>
      </c>
      <c r="BY75" s="357">
        <v>0</v>
      </c>
      <c r="BZ75" s="357">
        <v>1831651</v>
      </c>
      <c r="CA75" s="357">
        <v>45000</v>
      </c>
      <c r="CB75" s="357">
        <v>0</v>
      </c>
      <c r="CC75" s="357">
        <v>0</v>
      </c>
      <c r="CD75" s="357">
        <v>45000</v>
      </c>
      <c r="CE75" s="357">
        <v>524679</v>
      </c>
      <c r="CF75" s="357">
        <v>0</v>
      </c>
      <c r="CG75" s="357">
        <v>0</v>
      </c>
      <c r="CH75" s="357">
        <v>524679</v>
      </c>
      <c r="CI75" s="357">
        <v>569679</v>
      </c>
      <c r="CJ75" s="357">
        <v>0</v>
      </c>
      <c r="CK75" s="357">
        <v>0</v>
      </c>
      <c r="CL75" s="357">
        <v>0</v>
      </c>
      <c r="CM75" s="357">
        <v>0</v>
      </c>
      <c r="CN75" s="357">
        <v>0</v>
      </c>
      <c r="CO75" s="357">
        <v>569679</v>
      </c>
      <c r="CP75" s="357">
        <v>0</v>
      </c>
      <c r="CQ75" s="357">
        <v>0</v>
      </c>
      <c r="CR75" s="357">
        <v>569679</v>
      </c>
      <c r="CS75" s="357">
        <v>21856</v>
      </c>
      <c r="CT75" s="357">
        <v>0</v>
      </c>
      <c r="CU75" s="357">
        <v>0</v>
      </c>
      <c r="CV75" s="357">
        <v>21856</v>
      </c>
      <c r="CW75" s="357">
        <v>21393</v>
      </c>
      <c r="CX75" s="357">
        <v>0</v>
      </c>
      <c r="CY75" s="357">
        <v>0</v>
      </c>
      <c r="CZ75" s="357">
        <v>21393</v>
      </c>
      <c r="DA75" s="357">
        <v>0</v>
      </c>
      <c r="DB75" s="357">
        <v>0</v>
      </c>
      <c r="DC75" s="357">
        <v>0</v>
      </c>
      <c r="DD75" s="357">
        <v>0</v>
      </c>
      <c r="DE75" s="357">
        <v>51429</v>
      </c>
      <c r="DF75" s="357">
        <v>0</v>
      </c>
      <c r="DG75" s="357">
        <v>0</v>
      </c>
      <c r="DH75" s="357">
        <v>51429</v>
      </c>
      <c r="DI75" s="357">
        <v>0</v>
      </c>
      <c r="DJ75" s="357">
        <v>0</v>
      </c>
      <c r="DK75" s="357">
        <v>0</v>
      </c>
      <c r="DL75" s="357">
        <v>0</v>
      </c>
      <c r="DM75" s="357">
        <v>0</v>
      </c>
      <c r="DN75" s="357">
        <v>0</v>
      </c>
      <c r="DO75" s="357">
        <v>0</v>
      </c>
      <c r="DP75" s="357">
        <v>0</v>
      </c>
      <c r="DQ75" s="357">
        <v>94678</v>
      </c>
      <c r="DR75" s="357">
        <v>0</v>
      </c>
      <c r="DS75" s="357">
        <v>0</v>
      </c>
      <c r="DT75" s="357">
        <v>0</v>
      </c>
      <c r="DU75" s="357">
        <v>0</v>
      </c>
      <c r="DV75" s="357">
        <v>0</v>
      </c>
      <c r="DW75" s="357">
        <v>94678</v>
      </c>
      <c r="DX75" s="357">
        <v>0</v>
      </c>
      <c r="DY75" s="357">
        <v>0</v>
      </c>
      <c r="DZ75" s="357">
        <v>94678</v>
      </c>
      <c r="EA75" s="357">
        <v>0</v>
      </c>
      <c r="EB75" s="357">
        <v>0</v>
      </c>
      <c r="EC75" s="357">
        <v>60000</v>
      </c>
      <c r="ED75" s="357">
        <v>0</v>
      </c>
      <c r="EE75" s="357">
        <v>0</v>
      </c>
      <c r="EF75" s="357">
        <v>60000</v>
      </c>
      <c r="EG75" s="357">
        <v>30000</v>
      </c>
      <c r="EH75" s="357">
        <v>0</v>
      </c>
      <c r="EI75" s="357">
        <v>0</v>
      </c>
      <c r="EJ75" s="357">
        <v>30000</v>
      </c>
      <c r="EK75" s="357">
        <v>720000</v>
      </c>
      <c r="EL75" s="357">
        <v>0</v>
      </c>
      <c r="EM75" s="357">
        <v>0</v>
      </c>
      <c r="EN75" s="357">
        <v>720000</v>
      </c>
      <c r="EO75" s="357">
        <v>810000</v>
      </c>
      <c r="EP75" s="357">
        <v>0</v>
      </c>
      <c r="EQ75" s="357">
        <v>0</v>
      </c>
      <c r="ER75" s="357">
        <v>0</v>
      </c>
      <c r="ES75" s="357">
        <v>0</v>
      </c>
      <c r="ET75" s="357">
        <v>0</v>
      </c>
      <c r="EU75" s="357">
        <v>810000</v>
      </c>
      <c r="EV75" s="357">
        <v>0</v>
      </c>
      <c r="EW75" s="357">
        <v>0</v>
      </c>
      <c r="EX75" s="357">
        <v>810000</v>
      </c>
      <c r="EY75" s="357">
        <v>18486079</v>
      </c>
      <c r="EZ75" s="357">
        <v>0</v>
      </c>
      <c r="FA75" s="357">
        <v>0</v>
      </c>
      <c r="FB75" s="357">
        <v>18486079</v>
      </c>
      <c r="FC75" s="277">
        <v>0</v>
      </c>
      <c r="FD75" s="205"/>
    </row>
    <row r="76" spans="1:160" ht="12.75">
      <c r="A76" s="169">
        <v>69</v>
      </c>
      <c r="B76" s="172" t="s">
        <v>15</v>
      </c>
      <c r="C76" s="258" t="s">
        <v>16</v>
      </c>
      <c r="D76" s="235">
        <v>41639</v>
      </c>
      <c r="E76" s="357">
        <v>258571570</v>
      </c>
      <c r="F76" s="357">
        <v>0</v>
      </c>
      <c r="G76" s="357">
        <v>0</v>
      </c>
      <c r="H76" s="357">
        <v>258571570</v>
      </c>
      <c r="I76" s="357">
        <v>121787209</v>
      </c>
      <c r="J76" s="357">
        <v>0</v>
      </c>
      <c r="K76" s="357">
        <v>0</v>
      </c>
      <c r="L76" s="357">
        <v>852143</v>
      </c>
      <c r="M76" s="357">
        <v>0</v>
      </c>
      <c r="N76" s="357">
        <v>0</v>
      </c>
      <c r="O76" s="357">
        <v>122639352</v>
      </c>
      <c r="P76" s="357">
        <v>0</v>
      </c>
      <c r="Q76" s="357">
        <v>0</v>
      </c>
      <c r="R76" s="357">
        <v>122639352</v>
      </c>
      <c r="S76" s="357">
        <v>24447</v>
      </c>
      <c r="T76" s="357">
        <v>0</v>
      </c>
      <c r="U76" s="357">
        <v>0</v>
      </c>
      <c r="V76" s="357">
        <v>24447</v>
      </c>
      <c r="W76" s="357">
        <v>4264</v>
      </c>
      <c r="X76" s="357">
        <v>0</v>
      </c>
      <c r="Y76" s="357">
        <v>0</v>
      </c>
      <c r="Z76" s="357">
        <v>4264</v>
      </c>
      <c r="AA76" s="357">
        <v>20183</v>
      </c>
      <c r="AB76" s="357">
        <v>0</v>
      </c>
      <c r="AC76" s="357">
        <v>0</v>
      </c>
      <c r="AD76" s="357">
        <v>0</v>
      </c>
      <c r="AE76" s="357">
        <v>0</v>
      </c>
      <c r="AF76" s="357">
        <v>0</v>
      </c>
      <c r="AG76" s="357">
        <v>20183</v>
      </c>
      <c r="AH76" s="357">
        <v>0</v>
      </c>
      <c r="AI76" s="357">
        <v>0</v>
      </c>
      <c r="AJ76" s="357">
        <v>20183</v>
      </c>
      <c r="AK76" s="357">
        <v>20183</v>
      </c>
      <c r="AL76" s="357">
        <v>0</v>
      </c>
      <c r="AM76" s="357">
        <v>0</v>
      </c>
      <c r="AN76" s="357">
        <v>20183</v>
      </c>
      <c r="AO76" s="357">
        <v>754941</v>
      </c>
      <c r="AP76" s="357">
        <v>0</v>
      </c>
      <c r="AQ76" s="357">
        <v>0</v>
      </c>
      <c r="AR76" s="357">
        <v>754941</v>
      </c>
      <c r="AS76" s="357">
        <v>5650</v>
      </c>
      <c r="AT76" s="357">
        <v>0</v>
      </c>
      <c r="AU76" s="357">
        <v>0</v>
      </c>
      <c r="AV76" s="357">
        <v>5650</v>
      </c>
      <c r="AW76" s="357">
        <v>2732665</v>
      </c>
      <c r="AX76" s="357">
        <v>0</v>
      </c>
      <c r="AY76" s="357">
        <v>0</v>
      </c>
      <c r="AZ76" s="357">
        <v>2732665</v>
      </c>
      <c r="BA76" s="357">
        <v>-1977724</v>
      </c>
      <c r="BB76" s="357">
        <v>0</v>
      </c>
      <c r="BC76" s="357">
        <v>0</v>
      </c>
      <c r="BD76" s="357">
        <v>-1977724</v>
      </c>
      <c r="BE76" s="357">
        <v>2637631</v>
      </c>
      <c r="BF76" s="357">
        <v>0</v>
      </c>
      <c r="BG76" s="357">
        <v>0</v>
      </c>
      <c r="BH76" s="357">
        <v>2637631</v>
      </c>
      <c r="BI76" s="357">
        <v>28376</v>
      </c>
      <c r="BJ76" s="357">
        <v>0</v>
      </c>
      <c r="BK76" s="357">
        <v>0</v>
      </c>
      <c r="BL76" s="357">
        <v>28376</v>
      </c>
      <c r="BM76" s="357">
        <v>0</v>
      </c>
      <c r="BN76" s="357">
        <v>0</v>
      </c>
      <c r="BO76" s="357">
        <v>0</v>
      </c>
      <c r="BP76" s="357">
        <v>0</v>
      </c>
      <c r="BQ76" s="357">
        <v>688283</v>
      </c>
      <c r="BR76" s="357">
        <v>0</v>
      </c>
      <c r="BS76" s="357">
        <v>0</v>
      </c>
      <c r="BT76" s="357">
        <v>448200</v>
      </c>
      <c r="BU76" s="357">
        <v>0</v>
      </c>
      <c r="BV76" s="357">
        <v>0</v>
      </c>
      <c r="BW76" s="357">
        <v>1136483</v>
      </c>
      <c r="BX76" s="357">
        <v>0</v>
      </c>
      <c r="BY76" s="357">
        <v>0</v>
      </c>
      <c r="BZ76" s="357">
        <v>1136483</v>
      </c>
      <c r="CA76" s="357">
        <v>218878</v>
      </c>
      <c r="CB76" s="357">
        <v>0</v>
      </c>
      <c r="CC76" s="357">
        <v>0</v>
      </c>
      <c r="CD76" s="357">
        <v>218878</v>
      </c>
      <c r="CE76" s="357">
        <v>3823214</v>
      </c>
      <c r="CF76" s="357">
        <v>0</v>
      </c>
      <c r="CG76" s="357">
        <v>0</v>
      </c>
      <c r="CH76" s="357">
        <v>3823214</v>
      </c>
      <c r="CI76" s="357">
        <v>4042092</v>
      </c>
      <c r="CJ76" s="357">
        <v>0</v>
      </c>
      <c r="CK76" s="357">
        <v>0</v>
      </c>
      <c r="CL76" s="357">
        <v>100000</v>
      </c>
      <c r="CM76" s="357">
        <v>0</v>
      </c>
      <c r="CN76" s="357">
        <v>0</v>
      </c>
      <c r="CO76" s="357">
        <v>4142092</v>
      </c>
      <c r="CP76" s="357">
        <v>0</v>
      </c>
      <c r="CQ76" s="357">
        <v>0</v>
      </c>
      <c r="CR76" s="357">
        <v>4142092</v>
      </c>
      <c r="CS76" s="357">
        <v>280069</v>
      </c>
      <c r="CT76" s="357">
        <v>0</v>
      </c>
      <c r="CU76" s="357">
        <v>0</v>
      </c>
      <c r="CV76" s="357">
        <v>280069</v>
      </c>
      <c r="CW76" s="357">
        <v>103686</v>
      </c>
      <c r="CX76" s="357">
        <v>0</v>
      </c>
      <c r="CY76" s="357">
        <v>0</v>
      </c>
      <c r="CZ76" s="357">
        <v>103686</v>
      </c>
      <c r="DA76" s="357">
        <v>1645</v>
      </c>
      <c r="DB76" s="357">
        <v>0</v>
      </c>
      <c r="DC76" s="357">
        <v>0</v>
      </c>
      <c r="DD76" s="357">
        <v>1645</v>
      </c>
      <c r="DE76" s="357">
        <v>0</v>
      </c>
      <c r="DF76" s="357">
        <v>0</v>
      </c>
      <c r="DG76" s="357">
        <v>0</v>
      </c>
      <c r="DH76" s="357">
        <v>0</v>
      </c>
      <c r="DI76" s="357">
        <v>0</v>
      </c>
      <c r="DJ76" s="357">
        <v>0</v>
      </c>
      <c r="DK76" s="357">
        <v>0</v>
      </c>
      <c r="DL76" s="357">
        <v>0</v>
      </c>
      <c r="DM76" s="357">
        <v>0</v>
      </c>
      <c r="DN76" s="357">
        <v>0</v>
      </c>
      <c r="DO76" s="357">
        <v>0</v>
      </c>
      <c r="DP76" s="357">
        <v>0</v>
      </c>
      <c r="DQ76" s="357">
        <v>385400</v>
      </c>
      <c r="DR76" s="357">
        <v>0</v>
      </c>
      <c r="DS76" s="357">
        <v>0</v>
      </c>
      <c r="DT76" s="357">
        <v>38793</v>
      </c>
      <c r="DU76" s="357">
        <v>0</v>
      </c>
      <c r="DV76" s="357">
        <v>0</v>
      </c>
      <c r="DW76" s="357">
        <v>424193</v>
      </c>
      <c r="DX76" s="357">
        <v>0</v>
      </c>
      <c r="DY76" s="357">
        <v>0</v>
      </c>
      <c r="DZ76" s="357">
        <v>424193</v>
      </c>
      <c r="EA76" s="357">
        <v>0</v>
      </c>
      <c r="EB76" s="357">
        <v>0</v>
      </c>
      <c r="EC76" s="357">
        <v>30000</v>
      </c>
      <c r="ED76" s="357">
        <v>0</v>
      </c>
      <c r="EE76" s="357">
        <v>0</v>
      </c>
      <c r="EF76" s="357">
        <v>30000</v>
      </c>
      <c r="EG76" s="357">
        <v>173681</v>
      </c>
      <c r="EH76" s="357">
        <v>0</v>
      </c>
      <c r="EI76" s="357">
        <v>0</v>
      </c>
      <c r="EJ76" s="357">
        <v>173681</v>
      </c>
      <c r="EK76" s="357">
        <v>430000</v>
      </c>
      <c r="EL76" s="357">
        <v>0</v>
      </c>
      <c r="EM76" s="357">
        <v>0</v>
      </c>
      <c r="EN76" s="357">
        <v>430000</v>
      </c>
      <c r="EO76" s="357">
        <v>633681</v>
      </c>
      <c r="EP76" s="357">
        <v>0</v>
      </c>
      <c r="EQ76" s="357">
        <v>0</v>
      </c>
      <c r="ER76" s="357">
        <v>0</v>
      </c>
      <c r="ES76" s="357">
        <v>0</v>
      </c>
      <c r="ET76" s="357">
        <v>0</v>
      </c>
      <c r="EU76" s="357">
        <v>633681</v>
      </c>
      <c r="EV76" s="357">
        <v>0</v>
      </c>
      <c r="EW76" s="357">
        <v>0</v>
      </c>
      <c r="EX76" s="357">
        <v>633681</v>
      </c>
      <c r="EY76" s="357">
        <v>116282720</v>
      </c>
      <c r="EZ76" s="357">
        <v>0</v>
      </c>
      <c r="FA76" s="357">
        <v>0</v>
      </c>
      <c r="FB76" s="357">
        <v>116282720</v>
      </c>
      <c r="FC76" s="277">
        <v>0</v>
      </c>
      <c r="FD76" s="205"/>
    </row>
    <row r="77" spans="1:160" ht="12.75">
      <c r="A77" s="169">
        <v>70</v>
      </c>
      <c r="B77" s="172" t="s">
        <v>17</v>
      </c>
      <c r="C77" s="258" t="s">
        <v>18</v>
      </c>
      <c r="D77" s="235">
        <v>41639</v>
      </c>
      <c r="E77" s="357">
        <v>292965501</v>
      </c>
      <c r="F77" s="357">
        <v>0</v>
      </c>
      <c r="G77" s="357">
        <v>0</v>
      </c>
      <c r="H77" s="357">
        <v>292965501</v>
      </c>
      <c r="I77" s="357">
        <v>137986751</v>
      </c>
      <c r="J77" s="357">
        <v>0</v>
      </c>
      <c r="K77" s="357">
        <v>0</v>
      </c>
      <c r="L77" s="357">
        <v>0</v>
      </c>
      <c r="M77" s="357">
        <v>0</v>
      </c>
      <c r="N77" s="357">
        <v>0</v>
      </c>
      <c r="O77" s="357">
        <v>137986751</v>
      </c>
      <c r="P77" s="357">
        <v>0</v>
      </c>
      <c r="Q77" s="357">
        <v>0</v>
      </c>
      <c r="R77" s="357">
        <v>137986751</v>
      </c>
      <c r="S77" s="357">
        <v>440209</v>
      </c>
      <c r="T77" s="357">
        <v>0</v>
      </c>
      <c r="U77" s="357">
        <v>0</v>
      </c>
      <c r="V77" s="357">
        <v>440209</v>
      </c>
      <c r="W77" s="357">
        <v>191665</v>
      </c>
      <c r="X77" s="357">
        <v>0</v>
      </c>
      <c r="Y77" s="357">
        <v>0</v>
      </c>
      <c r="Z77" s="357">
        <v>191665</v>
      </c>
      <c r="AA77" s="357">
        <v>248544</v>
      </c>
      <c r="AB77" s="357">
        <v>0</v>
      </c>
      <c r="AC77" s="357">
        <v>0</v>
      </c>
      <c r="AD77" s="357">
        <v>0</v>
      </c>
      <c r="AE77" s="357">
        <v>0</v>
      </c>
      <c r="AF77" s="357">
        <v>0</v>
      </c>
      <c r="AG77" s="357">
        <v>248544</v>
      </c>
      <c r="AH77" s="357">
        <v>0</v>
      </c>
      <c r="AI77" s="357">
        <v>0</v>
      </c>
      <c r="AJ77" s="357">
        <v>248544</v>
      </c>
      <c r="AK77" s="357">
        <v>248544</v>
      </c>
      <c r="AL77" s="357">
        <v>0</v>
      </c>
      <c r="AM77" s="357">
        <v>0</v>
      </c>
      <c r="AN77" s="357">
        <v>248544</v>
      </c>
      <c r="AO77" s="357">
        <v>5703000</v>
      </c>
      <c r="AP77" s="357">
        <v>0</v>
      </c>
      <c r="AQ77" s="357">
        <v>0</v>
      </c>
      <c r="AR77" s="357">
        <v>5703000</v>
      </c>
      <c r="AS77" s="357">
        <v>96084</v>
      </c>
      <c r="AT77" s="357">
        <v>0</v>
      </c>
      <c r="AU77" s="357">
        <v>0</v>
      </c>
      <c r="AV77" s="357">
        <v>96084</v>
      </c>
      <c r="AW77" s="357">
        <v>2233629</v>
      </c>
      <c r="AX77" s="357">
        <v>0</v>
      </c>
      <c r="AY77" s="357">
        <v>0</v>
      </c>
      <c r="AZ77" s="357">
        <v>2233629</v>
      </c>
      <c r="BA77" s="357">
        <v>3469371</v>
      </c>
      <c r="BB77" s="357">
        <v>0</v>
      </c>
      <c r="BC77" s="357">
        <v>0</v>
      </c>
      <c r="BD77" s="357">
        <v>3469371</v>
      </c>
      <c r="BE77" s="357">
        <v>7759353</v>
      </c>
      <c r="BF77" s="357">
        <v>0</v>
      </c>
      <c r="BG77" s="357">
        <v>0</v>
      </c>
      <c r="BH77" s="357">
        <v>7759353</v>
      </c>
      <c r="BI77" s="357">
        <v>127756</v>
      </c>
      <c r="BJ77" s="357">
        <v>0</v>
      </c>
      <c r="BK77" s="357">
        <v>0</v>
      </c>
      <c r="BL77" s="357">
        <v>127756</v>
      </c>
      <c r="BM77" s="357">
        <v>0</v>
      </c>
      <c r="BN77" s="357">
        <v>0</v>
      </c>
      <c r="BO77" s="357">
        <v>0</v>
      </c>
      <c r="BP77" s="357">
        <v>0</v>
      </c>
      <c r="BQ77" s="357">
        <v>11356480</v>
      </c>
      <c r="BR77" s="357">
        <v>0</v>
      </c>
      <c r="BS77" s="357">
        <v>0</v>
      </c>
      <c r="BT77" s="357">
        <v>0</v>
      </c>
      <c r="BU77" s="357">
        <v>0</v>
      </c>
      <c r="BV77" s="357">
        <v>0</v>
      </c>
      <c r="BW77" s="357">
        <v>11356480</v>
      </c>
      <c r="BX77" s="357">
        <v>0</v>
      </c>
      <c r="BY77" s="357">
        <v>0</v>
      </c>
      <c r="BZ77" s="357">
        <v>11356480</v>
      </c>
      <c r="CA77" s="357">
        <v>195062</v>
      </c>
      <c r="CB77" s="357">
        <v>0</v>
      </c>
      <c r="CC77" s="357">
        <v>0</v>
      </c>
      <c r="CD77" s="357">
        <v>195062</v>
      </c>
      <c r="CE77" s="357">
        <v>7818411</v>
      </c>
      <c r="CF77" s="357">
        <v>0</v>
      </c>
      <c r="CG77" s="357">
        <v>0</v>
      </c>
      <c r="CH77" s="357">
        <v>7818411</v>
      </c>
      <c r="CI77" s="357">
        <v>8013473</v>
      </c>
      <c r="CJ77" s="357">
        <v>0</v>
      </c>
      <c r="CK77" s="357">
        <v>0</v>
      </c>
      <c r="CL77" s="357">
        <v>0</v>
      </c>
      <c r="CM77" s="357">
        <v>0</v>
      </c>
      <c r="CN77" s="357">
        <v>0</v>
      </c>
      <c r="CO77" s="357">
        <v>8013473</v>
      </c>
      <c r="CP77" s="357">
        <v>0</v>
      </c>
      <c r="CQ77" s="357">
        <v>0</v>
      </c>
      <c r="CR77" s="357">
        <v>8013473</v>
      </c>
      <c r="CS77" s="357">
        <v>25923</v>
      </c>
      <c r="CT77" s="357">
        <v>0</v>
      </c>
      <c r="CU77" s="357">
        <v>0</v>
      </c>
      <c r="CV77" s="357">
        <v>25923</v>
      </c>
      <c r="CW77" s="357">
        <v>78961</v>
      </c>
      <c r="CX77" s="357">
        <v>0</v>
      </c>
      <c r="CY77" s="357">
        <v>0</v>
      </c>
      <c r="CZ77" s="357">
        <v>78961</v>
      </c>
      <c r="DA77" s="357">
        <v>0</v>
      </c>
      <c r="DB77" s="357">
        <v>0</v>
      </c>
      <c r="DC77" s="357">
        <v>0</v>
      </c>
      <c r="DD77" s="357">
        <v>0</v>
      </c>
      <c r="DE77" s="357">
        <v>0</v>
      </c>
      <c r="DF77" s="357">
        <v>0</v>
      </c>
      <c r="DG77" s="357">
        <v>0</v>
      </c>
      <c r="DH77" s="357">
        <v>0</v>
      </c>
      <c r="DI77" s="357">
        <v>0</v>
      </c>
      <c r="DJ77" s="357">
        <v>0</v>
      </c>
      <c r="DK77" s="357">
        <v>0</v>
      </c>
      <c r="DL77" s="357">
        <v>0</v>
      </c>
      <c r="DM77" s="357">
        <v>0</v>
      </c>
      <c r="DN77" s="357">
        <v>0</v>
      </c>
      <c r="DO77" s="357">
        <v>0</v>
      </c>
      <c r="DP77" s="357">
        <v>0</v>
      </c>
      <c r="DQ77" s="357">
        <v>104884</v>
      </c>
      <c r="DR77" s="357">
        <v>0</v>
      </c>
      <c r="DS77" s="357">
        <v>0</v>
      </c>
      <c r="DT77" s="357">
        <v>0</v>
      </c>
      <c r="DU77" s="357">
        <v>0</v>
      </c>
      <c r="DV77" s="357">
        <v>0</v>
      </c>
      <c r="DW77" s="357">
        <v>104884</v>
      </c>
      <c r="DX77" s="357">
        <v>0</v>
      </c>
      <c r="DY77" s="357">
        <v>0</v>
      </c>
      <c r="DZ77" s="357">
        <v>104884</v>
      </c>
      <c r="EA77" s="357">
        <v>0</v>
      </c>
      <c r="EB77" s="357">
        <v>0</v>
      </c>
      <c r="EC77" s="357">
        <v>0</v>
      </c>
      <c r="ED77" s="357">
        <v>0</v>
      </c>
      <c r="EE77" s="357">
        <v>0</v>
      </c>
      <c r="EF77" s="357">
        <v>0</v>
      </c>
      <c r="EG77" s="357">
        <v>334463</v>
      </c>
      <c r="EH77" s="357">
        <v>0</v>
      </c>
      <c r="EI77" s="357">
        <v>0</v>
      </c>
      <c r="EJ77" s="357">
        <v>334463</v>
      </c>
      <c r="EK77" s="357">
        <v>596000</v>
      </c>
      <c r="EL77" s="357">
        <v>0</v>
      </c>
      <c r="EM77" s="357">
        <v>0</v>
      </c>
      <c r="EN77" s="357">
        <v>596000</v>
      </c>
      <c r="EO77" s="357">
        <v>930463</v>
      </c>
      <c r="EP77" s="357">
        <v>0</v>
      </c>
      <c r="EQ77" s="357">
        <v>0</v>
      </c>
      <c r="ER77" s="357">
        <v>0</v>
      </c>
      <c r="ES77" s="357">
        <v>0</v>
      </c>
      <c r="ET77" s="357">
        <v>0</v>
      </c>
      <c r="EU77" s="357">
        <v>930463</v>
      </c>
      <c r="EV77" s="357">
        <v>0</v>
      </c>
      <c r="EW77" s="357">
        <v>0</v>
      </c>
      <c r="EX77" s="357">
        <v>930463</v>
      </c>
      <c r="EY77" s="357">
        <v>117332907</v>
      </c>
      <c r="EZ77" s="357">
        <v>0</v>
      </c>
      <c r="FA77" s="357">
        <v>0</v>
      </c>
      <c r="FB77" s="357">
        <v>117332907</v>
      </c>
      <c r="FC77" s="277">
        <v>0</v>
      </c>
      <c r="FD77" s="205"/>
    </row>
    <row r="78" spans="1:160" ht="12.75">
      <c r="A78" s="169">
        <v>71</v>
      </c>
      <c r="B78" s="172" t="s">
        <v>19</v>
      </c>
      <c r="C78" s="258" t="s">
        <v>37</v>
      </c>
      <c r="D78" s="235">
        <v>41542</v>
      </c>
      <c r="E78" s="357">
        <v>154119360</v>
      </c>
      <c r="F78" s="357">
        <v>0</v>
      </c>
      <c r="G78" s="357">
        <v>0</v>
      </c>
      <c r="H78" s="357">
        <v>154119360</v>
      </c>
      <c r="I78" s="357">
        <v>72590219</v>
      </c>
      <c r="J78" s="357">
        <v>0</v>
      </c>
      <c r="K78" s="357">
        <v>0</v>
      </c>
      <c r="L78" s="357">
        <v>-2300000</v>
      </c>
      <c r="M78" s="357">
        <v>0</v>
      </c>
      <c r="N78" s="357">
        <v>0</v>
      </c>
      <c r="O78" s="357">
        <v>70290219</v>
      </c>
      <c r="P78" s="357">
        <v>0</v>
      </c>
      <c r="Q78" s="357">
        <v>0</v>
      </c>
      <c r="R78" s="357">
        <v>70290219</v>
      </c>
      <c r="S78" s="357">
        <v>13281.11</v>
      </c>
      <c r="T78" s="357">
        <v>0</v>
      </c>
      <c r="U78" s="357">
        <v>0</v>
      </c>
      <c r="V78" s="357">
        <v>13281.11</v>
      </c>
      <c r="W78" s="357">
        <v>81757.94</v>
      </c>
      <c r="X78" s="357">
        <v>0</v>
      </c>
      <c r="Y78" s="357">
        <v>0</v>
      </c>
      <c r="Z78" s="357">
        <v>81757.94</v>
      </c>
      <c r="AA78" s="357">
        <v>-68476.83</v>
      </c>
      <c r="AB78" s="357">
        <v>0</v>
      </c>
      <c r="AC78" s="357">
        <v>0</v>
      </c>
      <c r="AD78" s="357">
        <v>0</v>
      </c>
      <c r="AE78" s="357">
        <v>0</v>
      </c>
      <c r="AF78" s="357">
        <v>0</v>
      </c>
      <c r="AG78" s="357">
        <v>-68476.83</v>
      </c>
      <c r="AH78" s="357">
        <v>0</v>
      </c>
      <c r="AI78" s="357">
        <v>0</v>
      </c>
      <c r="AJ78" s="357">
        <v>-68476.83</v>
      </c>
      <c r="AK78" s="357">
        <v>-68476.83</v>
      </c>
      <c r="AL78" s="357">
        <v>0</v>
      </c>
      <c r="AM78" s="357">
        <v>0</v>
      </c>
      <c r="AN78" s="357">
        <v>-68476.83</v>
      </c>
      <c r="AO78" s="357">
        <v>2016503.21</v>
      </c>
      <c r="AP78" s="357">
        <v>0</v>
      </c>
      <c r="AQ78" s="357">
        <v>0</v>
      </c>
      <c r="AR78" s="357">
        <v>2016503.21</v>
      </c>
      <c r="AS78" s="357">
        <v>49183.01</v>
      </c>
      <c r="AT78" s="357">
        <v>0</v>
      </c>
      <c r="AU78" s="357">
        <v>0</v>
      </c>
      <c r="AV78" s="357">
        <v>49183.01</v>
      </c>
      <c r="AW78" s="357">
        <v>1093345.18</v>
      </c>
      <c r="AX78" s="357">
        <v>0</v>
      </c>
      <c r="AY78" s="357">
        <v>0</v>
      </c>
      <c r="AZ78" s="357">
        <v>1093345.18</v>
      </c>
      <c r="BA78" s="357">
        <v>923158.03</v>
      </c>
      <c r="BB78" s="357">
        <v>0</v>
      </c>
      <c r="BC78" s="357">
        <v>0</v>
      </c>
      <c r="BD78" s="357">
        <v>923158.03</v>
      </c>
      <c r="BE78" s="357">
        <v>3603355.74</v>
      </c>
      <c r="BF78" s="357">
        <v>0</v>
      </c>
      <c r="BG78" s="357">
        <v>0</v>
      </c>
      <c r="BH78" s="357">
        <v>3603355.74</v>
      </c>
      <c r="BI78" s="357">
        <v>73948.68</v>
      </c>
      <c r="BJ78" s="357">
        <v>0</v>
      </c>
      <c r="BK78" s="357">
        <v>0</v>
      </c>
      <c r="BL78" s="357">
        <v>73948.68</v>
      </c>
      <c r="BM78" s="357">
        <v>3801.4</v>
      </c>
      <c r="BN78" s="357">
        <v>0</v>
      </c>
      <c r="BO78" s="357">
        <v>0</v>
      </c>
      <c r="BP78" s="357">
        <v>3801.4</v>
      </c>
      <c r="BQ78" s="357">
        <v>4604263.85</v>
      </c>
      <c r="BR78" s="357">
        <v>0</v>
      </c>
      <c r="BS78" s="357">
        <v>0</v>
      </c>
      <c r="BT78" s="357">
        <v>0</v>
      </c>
      <c r="BU78" s="357">
        <v>0</v>
      </c>
      <c r="BV78" s="357">
        <v>0</v>
      </c>
      <c r="BW78" s="357">
        <v>4604263.85</v>
      </c>
      <c r="BX78" s="357">
        <v>0</v>
      </c>
      <c r="BY78" s="357">
        <v>0</v>
      </c>
      <c r="BZ78" s="357">
        <v>4604263.85</v>
      </c>
      <c r="CA78" s="357">
        <v>0</v>
      </c>
      <c r="CB78" s="357">
        <v>0</v>
      </c>
      <c r="CC78" s="357">
        <v>0</v>
      </c>
      <c r="CD78" s="357">
        <v>0</v>
      </c>
      <c r="CE78" s="357">
        <v>1937740.35</v>
      </c>
      <c r="CF78" s="357">
        <v>0</v>
      </c>
      <c r="CG78" s="357">
        <v>0</v>
      </c>
      <c r="CH78" s="357">
        <v>1937740.35</v>
      </c>
      <c r="CI78" s="357">
        <v>1937740.35</v>
      </c>
      <c r="CJ78" s="357">
        <v>0</v>
      </c>
      <c r="CK78" s="357">
        <v>0</v>
      </c>
      <c r="CL78" s="357">
        <v>0</v>
      </c>
      <c r="CM78" s="357">
        <v>0</v>
      </c>
      <c r="CN78" s="357">
        <v>0</v>
      </c>
      <c r="CO78" s="357">
        <v>1937740.35</v>
      </c>
      <c r="CP78" s="357">
        <v>0</v>
      </c>
      <c r="CQ78" s="357">
        <v>0</v>
      </c>
      <c r="CR78" s="357">
        <v>1937740.35</v>
      </c>
      <c r="CS78" s="357">
        <v>194602.85</v>
      </c>
      <c r="CT78" s="357">
        <v>0</v>
      </c>
      <c r="CU78" s="357">
        <v>0</v>
      </c>
      <c r="CV78" s="357">
        <v>194602.85</v>
      </c>
      <c r="CW78" s="357">
        <v>18508.81</v>
      </c>
      <c r="CX78" s="357">
        <v>0</v>
      </c>
      <c r="CY78" s="357">
        <v>0</v>
      </c>
      <c r="CZ78" s="357">
        <v>18508.81</v>
      </c>
      <c r="DA78" s="357">
        <v>978.52</v>
      </c>
      <c r="DB78" s="357">
        <v>0</v>
      </c>
      <c r="DC78" s="357">
        <v>0</v>
      </c>
      <c r="DD78" s="357">
        <v>978.52</v>
      </c>
      <c r="DE78" s="357">
        <v>0</v>
      </c>
      <c r="DF78" s="357">
        <v>0</v>
      </c>
      <c r="DG78" s="357">
        <v>0</v>
      </c>
      <c r="DH78" s="357">
        <v>0</v>
      </c>
      <c r="DI78" s="357">
        <v>217.87</v>
      </c>
      <c r="DJ78" s="357">
        <v>0</v>
      </c>
      <c r="DK78" s="357">
        <v>0</v>
      </c>
      <c r="DL78" s="357">
        <v>217.87</v>
      </c>
      <c r="DM78" s="357">
        <v>0</v>
      </c>
      <c r="DN78" s="357">
        <v>0</v>
      </c>
      <c r="DO78" s="357">
        <v>0</v>
      </c>
      <c r="DP78" s="357">
        <v>0</v>
      </c>
      <c r="DQ78" s="357">
        <v>214308.05</v>
      </c>
      <c r="DR78" s="357">
        <v>0</v>
      </c>
      <c r="DS78" s="357">
        <v>0</v>
      </c>
      <c r="DT78" s="357">
        <v>0</v>
      </c>
      <c r="DU78" s="357">
        <v>0</v>
      </c>
      <c r="DV78" s="357">
        <v>0</v>
      </c>
      <c r="DW78" s="357">
        <v>214308.05</v>
      </c>
      <c r="DX78" s="357">
        <v>0</v>
      </c>
      <c r="DY78" s="357">
        <v>0</v>
      </c>
      <c r="DZ78" s="357">
        <v>214308.05</v>
      </c>
      <c r="EA78" s="357">
        <v>0</v>
      </c>
      <c r="EB78" s="357">
        <v>0</v>
      </c>
      <c r="EC78" s="357">
        <v>0</v>
      </c>
      <c r="ED78" s="357">
        <v>0</v>
      </c>
      <c r="EE78" s="357">
        <v>0</v>
      </c>
      <c r="EF78" s="357">
        <v>0</v>
      </c>
      <c r="EG78" s="357">
        <v>8555.65</v>
      </c>
      <c r="EH78" s="357">
        <v>0</v>
      </c>
      <c r="EI78" s="357">
        <v>0</v>
      </c>
      <c r="EJ78" s="357">
        <v>8555.65</v>
      </c>
      <c r="EK78" s="357">
        <v>1126000</v>
      </c>
      <c r="EL78" s="357">
        <v>0</v>
      </c>
      <c r="EM78" s="357">
        <v>0</v>
      </c>
      <c r="EN78" s="357">
        <v>1126000</v>
      </c>
      <c r="EO78" s="357">
        <v>1134555.65</v>
      </c>
      <c r="EP78" s="357">
        <v>0</v>
      </c>
      <c r="EQ78" s="357">
        <v>0</v>
      </c>
      <c r="ER78" s="357">
        <v>0</v>
      </c>
      <c r="ES78" s="357">
        <v>0</v>
      </c>
      <c r="ET78" s="357">
        <v>0</v>
      </c>
      <c r="EU78" s="357">
        <v>1134555.65</v>
      </c>
      <c r="EV78" s="357">
        <v>0</v>
      </c>
      <c r="EW78" s="357">
        <v>0</v>
      </c>
      <c r="EX78" s="357">
        <v>1134555.65</v>
      </c>
      <c r="EY78" s="357">
        <v>62467827.9</v>
      </c>
      <c r="EZ78" s="357">
        <v>0</v>
      </c>
      <c r="FA78" s="357">
        <v>0</v>
      </c>
      <c r="FB78" s="357">
        <v>62467827.9</v>
      </c>
      <c r="FC78" s="277">
        <v>0</v>
      </c>
      <c r="FD78" s="205"/>
    </row>
    <row r="79" spans="1:160" ht="12.75">
      <c r="A79" s="169">
        <v>72</v>
      </c>
      <c r="B79" s="172" t="s">
        <v>38</v>
      </c>
      <c r="C79" s="258" t="s">
        <v>39</v>
      </c>
      <c r="D79" s="235">
        <v>41647</v>
      </c>
      <c r="E79" s="357">
        <v>86355040</v>
      </c>
      <c r="F79" s="357">
        <v>0</v>
      </c>
      <c r="G79" s="357">
        <v>0</v>
      </c>
      <c r="H79" s="357">
        <v>86355040</v>
      </c>
      <c r="I79" s="357">
        <v>40673224</v>
      </c>
      <c r="J79" s="357">
        <v>0</v>
      </c>
      <c r="K79" s="357">
        <v>0</v>
      </c>
      <c r="L79" s="357">
        <v>0</v>
      </c>
      <c r="M79" s="357">
        <v>0</v>
      </c>
      <c r="N79" s="357">
        <v>0</v>
      </c>
      <c r="O79" s="357">
        <v>40673224</v>
      </c>
      <c r="P79" s="357">
        <v>0</v>
      </c>
      <c r="Q79" s="357">
        <v>0</v>
      </c>
      <c r="R79" s="357">
        <v>40673224</v>
      </c>
      <c r="S79" s="357">
        <v>49846</v>
      </c>
      <c r="T79" s="357">
        <v>0</v>
      </c>
      <c r="U79" s="357">
        <v>0</v>
      </c>
      <c r="V79" s="357">
        <v>49846</v>
      </c>
      <c r="W79" s="357">
        <v>170092</v>
      </c>
      <c r="X79" s="357">
        <v>0</v>
      </c>
      <c r="Y79" s="357">
        <v>0</v>
      </c>
      <c r="Z79" s="357">
        <v>170092</v>
      </c>
      <c r="AA79" s="357">
        <v>-120246</v>
      </c>
      <c r="AB79" s="357">
        <v>0</v>
      </c>
      <c r="AC79" s="357">
        <v>0</v>
      </c>
      <c r="AD79" s="357">
        <v>0</v>
      </c>
      <c r="AE79" s="357">
        <v>0</v>
      </c>
      <c r="AF79" s="357">
        <v>0</v>
      </c>
      <c r="AG79" s="357">
        <v>-120246</v>
      </c>
      <c r="AH79" s="357">
        <v>0</v>
      </c>
      <c r="AI79" s="357">
        <v>0</v>
      </c>
      <c r="AJ79" s="357">
        <v>-120246</v>
      </c>
      <c r="AK79" s="357">
        <v>-120246</v>
      </c>
      <c r="AL79" s="357">
        <v>0</v>
      </c>
      <c r="AM79" s="357">
        <v>0</v>
      </c>
      <c r="AN79" s="357">
        <v>-120246</v>
      </c>
      <c r="AO79" s="357">
        <v>2090307</v>
      </c>
      <c r="AP79" s="357">
        <v>0</v>
      </c>
      <c r="AQ79" s="357">
        <v>0</v>
      </c>
      <c r="AR79" s="357">
        <v>2090307</v>
      </c>
      <c r="AS79" s="357">
        <v>0</v>
      </c>
      <c r="AT79" s="357">
        <v>0</v>
      </c>
      <c r="AU79" s="357">
        <v>0</v>
      </c>
      <c r="AV79" s="357">
        <v>0</v>
      </c>
      <c r="AW79" s="357">
        <v>803697</v>
      </c>
      <c r="AX79" s="357">
        <v>0</v>
      </c>
      <c r="AY79" s="357">
        <v>0</v>
      </c>
      <c r="AZ79" s="357">
        <v>803697</v>
      </c>
      <c r="BA79" s="357">
        <v>1286610</v>
      </c>
      <c r="BB79" s="357">
        <v>0</v>
      </c>
      <c r="BC79" s="357">
        <v>0</v>
      </c>
      <c r="BD79" s="357">
        <v>1286610</v>
      </c>
      <c r="BE79" s="357">
        <v>2632435</v>
      </c>
      <c r="BF79" s="357">
        <v>0</v>
      </c>
      <c r="BG79" s="357">
        <v>0</v>
      </c>
      <c r="BH79" s="357">
        <v>2632435</v>
      </c>
      <c r="BI79" s="357">
        <v>38853</v>
      </c>
      <c r="BJ79" s="357">
        <v>0</v>
      </c>
      <c r="BK79" s="357">
        <v>0</v>
      </c>
      <c r="BL79" s="357">
        <v>38853</v>
      </c>
      <c r="BM79" s="357">
        <v>4121</v>
      </c>
      <c r="BN79" s="357">
        <v>0</v>
      </c>
      <c r="BO79" s="357">
        <v>0</v>
      </c>
      <c r="BP79" s="357">
        <v>4121</v>
      </c>
      <c r="BQ79" s="357">
        <v>3962019</v>
      </c>
      <c r="BR79" s="357">
        <v>0</v>
      </c>
      <c r="BS79" s="357">
        <v>0</v>
      </c>
      <c r="BT79" s="357">
        <v>0</v>
      </c>
      <c r="BU79" s="357">
        <v>0</v>
      </c>
      <c r="BV79" s="357">
        <v>0</v>
      </c>
      <c r="BW79" s="357">
        <v>3962019</v>
      </c>
      <c r="BX79" s="357">
        <v>0</v>
      </c>
      <c r="BY79" s="357">
        <v>0</v>
      </c>
      <c r="BZ79" s="357">
        <v>3962019</v>
      </c>
      <c r="CA79" s="357">
        <v>0</v>
      </c>
      <c r="CB79" s="357">
        <v>0</v>
      </c>
      <c r="CC79" s="357">
        <v>0</v>
      </c>
      <c r="CD79" s="357">
        <v>0</v>
      </c>
      <c r="CE79" s="357">
        <v>1038848</v>
      </c>
      <c r="CF79" s="357">
        <v>0</v>
      </c>
      <c r="CG79" s="357">
        <v>0</v>
      </c>
      <c r="CH79" s="357">
        <v>1038848</v>
      </c>
      <c r="CI79" s="357">
        <v>1038848</v>
      </c>
      <c r="CJ79" s="357">
        <v>0</v>
      </c>
      <c r="CK79" s="357">
        <v>0</v>
      </c>
      <c r="CL79" s="357">
        <v>0</v>
      </c>
      <c r="CM79" s="357">
        <v>0</v>
      </c>
      <c r="CN79" s="357">
        <v>0</v>
      </c>
      <c r="CO79" s="357">
        <v>1038848</v>
      </c>
      <c r="CP79" s="357">
        <v>0</v>
      </c>
      <c r="CQ79" s="357">
        <v>0</v>
      </c>
      <c r="CR79" s="357">
        <v>1038848</v>
      </c>
      <c r="CS79" s="357">
        <v>27873</v>
      </c>
      <c r="CT79" s="357">
        <v>0</v>
      </c>
      <c r="CU79" s="357">
        <v>0</v>
      </c>
      <c r="CV79" s="357">
        <v>27873</v>
      </c>
      <c r="CW79" s="357">
        <v>0</v>
      </c>
      <c r="CX79" s="357">
        <v>0</v>
      </c>
      <c r="CY79" s="357">
        <v>0</v>
      </c>
      <c r="CZ79" s="357">
        <v>0</v>
      </c>
      <c r="DA79" s="357">
        <v>0</v>
      </c>
      <c r="DB79" s="357">
        <v>0</v>
      </c>
      <c r="DC79" s="357">
        <v>0</v>
      </c>
      <c r="DD79" s="357">
        <v>0</v>
      </c>
      <c r="DE79" s="357">
        <v>0</v>
      </c>
      <c r="DF79" s="357">
        <v>0</v>
      </c>
      <c r="DG79" s="357">
        <v>0</v>
      </c>
      <c r="DH79" s="357">
        <v>0</v>
      </c>
      <c r="DI79" s="357">
        <v>0</v>
      </c>
      <c r="DJ79" s="357">
        <v>0</v>
      </c>
      <c r="DK79" s="357">
        <v>0</v>
      </c>
      <c r="DL79" s="357">
        <v>0</v>
      </c>
      <c r="DM79" s="357">
        <v>0</v>
      </c>
      <c r="DN79" s="357">
        <v>0</v>
      </c>
      <c r="DO79" s="357">
        <v>0</v>
      </c>
      <c r="DP79" s="357">
        <v>0</v>
      </c>
      <c r="DQ79" s="357">
        <v>27873</v>
      </c>
      <c r="DR79" s="357">
        <v>0</v>
      </c>
      <c r="DS79" s="357">
        <v>0</v>
      </c>
      <c r="DT79" s="357">
        <v>0</v>
      </c>
      <c r="DU79" s="357">
        <v>0</v>
      </c>
      <c r="DV79" s="357">
        <v>0</v>
      </c>
      <c r="DW79" s="357">
        <v>27873</v>
      </c>
      <c r="DX79" s="357">
        <v>0</v>
      </c>
      <c r="DY79" s="357">
        <v>0</v>
      </c>
      <c r="DZ79" s="357">
        <v>27873</v>
      </c>
      <c r="EA79" s="357">
        <v>0</v>
      </c>
      <c r="EB79" s="357">
        <v>0</v>
      </c>
      <c r="EC79" s="357">
        <v>0</v>
      </c>
      <c r="ED79" s="357">
        <v>0</v>
      </c>
      <c r="EE79" s="357">
        <v>0</v>
      </c>
      <c r="EF79" s="357">
        <v>0</v>
      </c>
      <c r="EG79" s="357">
        <v>0</v>
      </c>
      <c r="EH79" s="357">
        <v>0</v>
      </c>
      <c r="EI79" s="357">
        <v>0</v>
      </c>
      <c r="EJ79" s="357">
        <v>0</v>
      </c>
      <c r="EK79" s="357">
        <v>0</v>
      </c>
      <c r="EL79" s="357">
        <v>0</v>
      </c>
      <c r="EM79" s="357">
        <v>0</v>
      </c>
      <c r="EN79" s="357">
        <v>0</v>
      </c>
      <c r="EO79" s="357">
        <v>0</v>
      </c>
      <c r="EP79" s="357">
        <v>0</v>
      </c>
      <c r="EQ79" s="357">
        <v>0</v>
      </c>
      <c r="ER79" s="357">
        <v>0</v>
      </c>
      <c r="ES79" s="357">
        <v>0</v>
      </c>
      <c r="ET79" s="357">
        <v>0</v>
      </c>
      <c r="EU79" s="357">
        <v>0</v>
      </c>
      <c r="EV79" s="357">
        <v>0</v>
      </c>
      <c r="EW79" s="357">
        <v>0</v>
      </c>
      <c r="EX79" s="357">
        <v>0</v>
      </c>
      <c r="EY79" s="357">
        <v>35764730</v>
      </c>
      <c r="EZ79" s="357">
        <v>0</v>
      </c>
      <c r="FA79" s="357">
        <v>0</v>
      </c>
      <c r="FB79" s="357">
        <v>35764730</v>
      </c>
      <c r="FC79" s="277">
        <v>0</v>
      </c>
      <c r="FD79" s="205"/>
    </row>
    <row r="80" spans="1:160" ht="12.75">
      <c r="A80" s="169">
        <v>73</v>
      </c>
      <c r="B80" s="172" t="s">
        <v>40</v>
      </c>
      <c r="C80" s="258" t="s">
        <v>41</v>
      </c>
      <c r="D80" s="235">
        <v>41654</v>
      </c>
      <c r="E80" s="357">
        <v>193271683</v>
      </c>
      <c r="F80" s="357">
        <v>0</v>
      </c>
      <c r="G80" s="357">
        <v>0</v>
      </c>
      <c r="H80" s="357">
        <v>193271683</v>
      </c>
      <c r="I80" s="357">
        <v>91030963</v>
      </c>
      <c r="J80" s="357">
        <v>0</v>
      </c>
      <c r="K80" s="357">
        <v>0</v>
      </c>
      <c r="L80" s="357">
        <v>-2000000</v>
      </c>
      <c r="M80" s="357">
        <v>0</v>
      </c>
      <c r="N80" s="357">
        <v>0</v>
      </c>
      <c r="O80" s="357">
        <v>89030963</v>
      </c>
      <c r="P80" s="357">
        <v>0</v>
      </c>
      <c r="Q80" s="357">
        <v>0</v>
      </c>
      <c r="R80" s="357">
        <v>89030963</v>
      </c>
      <c r="S80" s="357">
        <v>46562</v>
      </c>
      <c r="T80" s="357">
        <v>0</v>
      </c>
      <c r="U80" s="357">
        <v>0</v>
      </c>
      <c r="V80" s="357">
        <v>46562</v>
      </c>
      <c r="W80" s="357">
        <v>6716</v>
      </c>
      <c r="X80" s="357">
        <v>0</v>
      </c>
      <c r="Y80" s="357">
        <v>0</v>
      </c>
      <c r="Z80" s="357">
        <v>6716</v>
      </c>
      <c r="AA80" s="357">
        <v>39846</v>
      </c>
      <c r="AB80" s="357">
        <v>0</v>
      </c>
      <c r="AC80" s="357">
        <v>0</v>
      </c>
      <c r="AD80" s="357">
        <v>0</v>
      </c>
      <c r="AE80" s="357">
        <v>0</v>
      </c>
      <c r="AF80" s="357">
        <v>0</v>
      </c>
      <c r="AG80" s="357">
        <v>39846</v>
      </c>
      <c r="AH80" s="357">
        <v>0</v>
      </c>
      <c r="AI80" s="357">
        <v>0</v>
      </c>
      <c r="AJ80" s="357">
        <v>39846</v>
      </c>
      <c r="AK80" s="357">
        <v>39846</v>
      </c>
      <c r="AL80" s="357">
        <v>0</v>
      </c>
      <c r="AM80" s="357">
        <v>0</v>
      </c>
      <c r="AN80" s="357">
        <v>39846</v>
      </c>
      <c r="AO80" s="357">
        <v>1345575</v>
      </c>
      <c r="AP80" s="357">
        <v>0</v>
      </c>
      <c r="AQ80" s="357">
        <v>0</v>
      </c>
      <c r="AR80" s="357">
        <v>1345575</v>
      </c>
      <c r="AS80" s="357">
        <v>1979</v>
      </c>
      <c r="AT80" s="357">
        <v>0</v>
      </c>
      <c r="AU80" s="357">
        <v>0</v>
      </c>
      <c r="AV80" s="357">
        <v>1979</v>
      </c>
      <c r="AW80" s="357">
        <v>2014832</v>
      </c>
      <c r="AX80" s="357">
        <v>0</v>
      </c>
      <c r="AY80" s="357">
        <v>0</v>
      </c>
      <c r="AZ80" s="357">
        <v>2014832</v>
      </c>
      <c r="BA80" s="357">
        <v>-669257</v>
      </c>
      <c r="BB80" s="357">
        <v>0</v>
      </c>
      <c r="BC80" s="357">
        <v>0</v>
      </c>
      <c r="BD80" s="357">
        <v>-669257</v>
      </c>
      <c r="BE80" s="357">
        <v>2319414</v>
      </c>
      <c r="BF80" s="357">
        <v>0</v>
      </c>
      <c r="BG80" s="357">
        <v>0</v>
      </c>
      <c r="BH80" s="357">
        <v>2319414</v>
      </c>
      <c r="BI80" s="357">
        <v>50679</v>
      </c>
      <c r="BJ80" s="357">
        <v>0</v>
      </c>
      <c r="BK80" s="357">
        <v>0</v>
      </c>
      <c r="BL80" s="357">
        <v>50679</v>
      </c>
      <c r="BM80" s="357">
        <v>663</v>
      </c>
      <c r="BN80" s="357">
        <v>0</v>
      </c>
      <c r="BO80" s="357">
        <v>0</v>
      </c>
      <c r="BP80" s="357">
        <v>663</v>
      </c>
      <c r="BQ80" s="357">
        <v>1701499</v>
      </c>
      <c r="BR80" s="357">
        <v>0</v>
      </c>
      <c r="BS80" s="357">
        <v>0</v>
      </c>
      <c r="BT80" s="357">
        <v>0</v>
      </c>
      <c r="BU80" s="357">
        <v>0</v>
      </c>
      <c r="BV80" s="357">
        <v>0</v>
      </c>
      <c r="BW80" s="357">
        <v>1701499</v>
      </c>
      <c r="BX80" s="357">
        <v>0</v>
      </c>
      <c r="BY80" s="357">
        <v>0</v>
      </c>
      <c r="BZ80" s="357">
        <v>1701499</v>
      </c>
      <c r="CA80" s="357">
        <v>165037</v>
      </c>
      <c r="CB80" s="357">
        <v>0</v>
      </c>
      <c r="CC80" s="357">
        <v>0</v>
      </c>
      <c r="CD80" s="357">
        <v>165037</v>
      </c>
      <c r="CE80" s="357">
        <v>2324220</v>
      </c>
      <c r="CF80" s="357">
        <v>0</v>
      </c>
      <c r="CG80" s="357">
        <v>0</v>
      </c>
      <c r="CH80" s="357">
        <v>2324220</v>
      </c>
      <c r="CI80" s="357">
        <v>2489257</v>
      </c>
      <c r="CJ80" s="357">
        <v>0</v>
      </c>
      <c r="CK80" s="357">
        <v>0</v>
      </c>
      <c r="CL80" s="357">
        <v>0</v>
      </c>
      <c r="CM80" s="357">
        <v>0</v>
      </c>
      <c r="CN80" s="357">
        <v>0</v>
      </c>
      <c r="CO80" s="357">
        <v>2489257</v>
      </c>
      <c r="CP80" s="357">
        <v>0</v>
      </c>
      <c r="CQ80" s="357">
        <v>0</v>
      </c>
      <c r="CR80" s="357">
        <v>2489257</v>
      </c>
      <c r="CS80" s="357">
        <v>43291</v>
      </c>
      <c r="CT80" s="357">
        <v>0</v>
      </c>
      <c r="CU80" s="357">
        <v>0</v>
      </c>
      <c r="CV80" s="357">
        <v>43291</v>
      </c>
      <c r="CW80" s="357">
        <v>1912</v>
      </c>
      <c r="CX80" s="357">
        <v>0</v>
      </c>
      <c r="CY80" s="357">
        <v>0</v>
      </c>
      <c r="CZ80" s="357">
        <v>1912</v>
      </c>
      <c r="DA80" s="357">
        <v>7808</v>
      </c>
      <c r="DB80" s="357">
        <v>0</v>
      </c>
      <c r="DC80" s="357">
        <v>0</v>
      </c>
      <c r="DD80" s="357">
        <v>7808</v>
      </c>
      <c r="DE80" s="357">
        <v>0</v>
      </c>
      <c r="DF80" s="357">
        <v>0</v>
      </c>
      <c r="DG80" s="357">
        <v>0</v>
      </c>
      <c r="DH80" s="357">
        <v>0</v>
      </c>
      <c r="DI80" s="357">
        <v>2257</v>
      </c>
      <c r="DJ80" s="357">
        <v>0</v>
      </c>
      <c r="DK80" s="357">
        <v>0</v>
      </c>
      <c r="DL80" s="357">
        <v>2257</v>
      </c>
      <c r="DM80" s="357">
        <v>35000</v>
      </c>
      <c r="DN80" s="357">
        <v>0</v>
      </c>
      <c r="DO80" s="357">
        <v>0</v>
      </c>
      <c r="DP80" s="357">
        <v>35000</v>
      </c>
      <c r="DQ80" s="357">
        <v>90268</v>
      </c>
      <c r="DR80" s="357">
        <v>0</v>
      </c>
      <c r="DS80" s="357">
        <v>0</v>
      </c>
      <c r="DT80" s="357">
        <v>0</v>
      </c>
      <c r="DU80" s="357">
        <v>0</v>
      </c>
      <c r="DV80" s="357">
        <v>0</v>
      </c>
      <c r="DW80" s="357">
        <v>90268</v>
      </c>
      <c r="DX80" s="357">
        <v>0</v>
      </c>
      <c r="DY80" s="357">
        <v>0</v>
      </c>
      <c r="DZ80" s="357">
        <v>90268</v>
      </c>
      <c r="EA80" s="357">
        <v>0</v>
      </c>
      <c r="EB80" s="357">
        <v>0</v>
      </c>
      <c r="EC80" s="357">
        <v>147637</v>
      </c>
      <c r="ED80" s="357">
        <v>0</v>
      </c>
      <c r="EE80" s="357">
        <v>0</v>
      </c>
      <c r="EF80" s="357">
        <v>147637</v>
      </c>
      <c r="EG80" s="357">
        <v>90225</v>
      </c>
      <c r="EH80" s="357">
        <v>0</v>
      </c>
      <c r="EI80" s="357">
        <v>0</v>
      </c>
      <c r="EJ80" s="357">
        <v>90225</v>
      </c>
      <c r="EK80" s="357">
        <v>417683</v>
      </c>
      <c r="EL80" s="357">
        <v>0</v>
      </c>
      <c r="EM80" s="357">
        <v>0</v>
      </c>
      <c r="EN80" s="357">
        <v>417683</v>
      </c>
      <c r="EO80" s="357">
        <v>655545</v>
      </c>
      <c r="EP80" s="357">
        <v>0</v>
      </c>
      <c r="EQ80" s="357">
        <v>0</v>
      </c>
      <c r="ER80" s="357">
        <v>0</v>
      </c>
      <c r="ES80" s="357">
        <v>0</v>
      </c>
      <c r="ET80" s="357">
        <v>0</v>
      </c>
      <c r="EU80" s="357">
        <v>655545</v>
      </c>
      <c r="EV80" s="357">
        <v>0</v>
      </c>
      <c r="EW80" s="357">
        <v>0</v>
      </c>
      <c r="EX80" s="357">
        <v>655545</v>
      </c>
      <c r="EY80" s="357">
        <v>84054548</v>
      </c>
      <c r="EZ80" s="357">
        <v>0</v>
      </c>
      <c r="FA80" s="357">
        <v>0</v>
      </c>
      <c r="FB80" s="357">
        <v>84054548</v>
      </c>
      <c r="FC80" s="277">
        <v>0</v>
      </c>
      <c r="FD80" s="205"/>
    </row>
    <row r="81" spans="1:160" ht="12.75">
      <c r="A81" s="169">
        <v>74</v>
      </c>
      <c r="B81" s="172" t="s">
        <v>42</v>
      </c>
      <c r="C81" s="258" t="s">
        <v>43</v>
      </c>
      <c r="D81" s="235">
        <v>311213</v>
      </c>
      <c r="E81" s="357">
        <v>93636607</v>
      </c>
      <c r="F81" s="357">
        <v>0</v>
      </c>
      <c r="G81" s="357">
        <v>0</v>
      </c>
      <c r="H81" s="357">
        <v>93636607</v>
      </c>
      <c r="I81" s="357">
        <v>44102842</v>
      </c>
      <c r="J81" s="357">
        <v>0</v>
      </c>
      <c r="K81" s="357">
        <v>0</v>
      </c>
      <c r="L81" s="357">
        <v>273000</v>
      </c>
      <c r="M81" s="357">
        <v>0</v>
      </c>
      <c r="N81" s="357">
        <v>0</v>
      </c>
      <c r="O81" s="357">
        <v>44375842</v>
      </c>
      <c r="P81" s="357">
        <v>0</v>
      </c>
      <c r="Q81" s="357">
        <v>0</v>
      </c>
      <c r="R81" s="357">
        <v>44375842</v>
      </c>
      <c r="S81" s="357">
        <v>41965.3</v>
      </c>
      <c r="T81" s="357">
        <v>0</v>
      </c>
      <c r="U81" s="357">
        <v>0</v>
      </c>
      <c r="V81" s="357">
        <v>41965.3</v>
      </c>
      <c r="W81" s="357">
        <v>9433.72</v>
      </c>
      <c r="X81" s="357">
        <v>0</v>
      </c>
      <c r="Y81" s="357">
        <v>0</v>
      </c>
      <c r="Z81" s="357">
        <v>9433.72</v>
      </c>
      <c r="AA81" s="357">
        <v>32531.58</v>
      </c>
      <c r="AB81" s="357">
        <v>0</v>
      </c>
      <c r="AC81" s="357">
        <v>0</v>
      </c>
      <c r="AD81" s="357">
        <v>5058.67</v>
      </c>
      <c r="AE81" s="357">
        <v>0</v>
      </c>
      <c r="AF81" s="357">
        <v>0</v>
      </c>
      <c r="AG81" s="357">
        <v>37590.25</v>
      </c>
      <c r="AH81" s="357">
        <v>0</v>
      </c>
      <c r="AI81" s="357">
        <v>0</v>
      </c>
      <c r="AJ81" s="357">
        <v>37590.25</v>
      </c>
      <c r="AK81" s="357">
        <v>37590.25</v>
      </c>
      <c r="AL81" s="357">
        <v>0</v>
      </c>
      <c r="AM81" s="357">
        <v>0</v>
      </c>
      <c r="AN81" s="357">
        <v>37590.25</v>
      </c>
      <c r="AO81" s="357">
        <v>1419194.71</v>
      </c>
      <c r="AP81" s="357">
        <v>0</v>
      </c>
      <c r="AQ81" s="357">
        <v>0</v>
      </c>
      <c r="AR81" s="357">
        <v>1419194.71</v>
      </c>
      <c r="AS81" s="357">
        <v>0</v>
      </c>
      <c r="AT81" s="357">
        <v>0</v>
      </c>
      <c r="AU81" s="357">
        <v>0</v>
      </c>
      <c r="AV81" s="357">
        <v>0</v>
      </c>
      <c r="AW81" s="357">
        <v>918324.92</v>
      </c>
      <c r="AX81" s="357">
        <v>0</v>
      </c>
      <c r="AY81" s="357">
        <v>0</v>
      </c>
      <c r="AZ81" s="357">
        <v>918324.92</v>
      </c>
      <c r="BA81" s="357">
        <v>500869.79</v>
      </c>
      <c r="BB81" s="357">
        <v>0</v>
      </c>
      <c r="BC81" s="357">
        <v>0</v>
      </c>
      <c r="BD81" s="357">
        <v>500869.79</v>
      </c>
      <c r="BE81" s="357">
        <v>1444706.31</v>
      </c>
      <c r="BF81" s="357">
        <v>0</v>
      </c>
      <c r="BG81" s="357">
        <v>0</v>
      </c>
      <c r="BH81" s="357">
        <v>1444706.31</v>
      </c>
      <c r="BI81" s="357">
        <v>22948.98</v>
      </c>
      <c r="BJ81" s="357">
        <v>0</v>
      </c>
      <c r="BK81" s="357">
        <v>0</v>
      </c>
      <c r="BL81" s="357">
        <v>22948.98</v>
      </c>
      <c r="BM81" s="357">
        <v>39789.11</v>
      </c>
      <c r="BN81" s="357">
        <v>0</v>
      </c>
      <c r="BO81" s="357">
        <v>0</v>
      </c>
      <c r="BP81" s="357">
        <v>39789.11</v>
      </c>
      <c r="BQ81" s="357">
        <v>2008314.19</v>
      </c>
      <c r="BR81" s="357">
        <v>0</v>
      </c>
      <c r="BS81" s="357">
        <v>0</v>
      </c>
      <c r="BT81" s="357">
        <v>0</v>
      </c>
      <c r="BU81" s="357">
        <v>0</v>
      </c>
      <c r="BV81" s="357">
        <v>0</v>
      </c>
      <c r="BW81" s="357">
        <v>2008314.19</v>
      </c>
      <c r="BX81" s="357">
        <v>0</v>
      </c>
      <c r="BY81" s="357">
        <v>0</v>
      </c>
      <c r="BZ81" s="357">
        <v>2008314.19</v>
      </c>
      <c r="CA81" s="357">
        <v>0</v>
      </c>
      <c r="CB81" s="357">
        <v>0</v>
      </c>
      <c r="CC81" s="357">
        <v>0</v>
      </c>
      <c r="CD81" s="357">
        <v>0</v>
      </c>
      <c r="CE81" s="357">
        <v>1359506.69</v>
      </c>
      <c r="CF81" s="357">
        <v>0</v>
      </c>
      <c r="CG81" s="357">
        <v>0</v>
      </c>
      <c r="CH81" s="357">
        <v>1359506.69</v>
      </c>
      <c r="CI81" s="357">
        <v>1359506.69</v>
      </c>
      <c r="CJ81" s="357">
        <v>0</v>
      </c>
      <c r="CK81" s="357">
        <v>0</v>
      </c>
      <c r="CL81" s="357">
        <v>0</v>
      </c>
      <c r="CM81" s="357">
        <v>0</v>
      </c>
      <c r="CN81" s="357">
        <v>0</v>
      </c>
      <c r="CO81" s="357">
        <v>1359506.69</v>
      </c>
      <c r="CP81" s="357">
        <v>0</v>
      </c>
      <c r="CQ81" s="357">
        <v>0</v>
      </c>
      <c r="CR81" s="357">
        <v>1359506.69</v>
      </c>
      <c r="CS81" s="357">
        <v>46068.3</v>
      </c>
      <c r="CT81" s="357">
        <v>0</v>
      </c>
      <c r="CU81" s="357">
        <v>0</v>
      </c>
      <c r="CV81" s="357">
        <v>46068.3</v>
      </c>
      <c r="CW81" s="357">
        <v>16400.58</v>
      </c>
      <c r="CX81" s="357">
        <v>0</v>
      </c>
      <c r="CY81" s="357">
        <v>0</v>
      </c>
      <c r="CZ81" s="357">
        <v>16400.58</v>
      </c>
      <c r="DA81" s="357">
        <v>364.14</v>
      </c>
      <c r="DB81" s="357">
        <v>0</v>
      </c>
      <c r="DC81" s="357">
        <v>0</v>
      </c>
      <c r="DD81" s="357">
        <v>364.14</v>
      </c>
      <c r="DE81" s="357">
        <v>1060.4</v>
      </c>
      <c r="DF81" s="357">
        <v>0</v>
      </c>
      <c r="DG81" s="357">
        <v>0</v>
      </c>
      <c r="DH81" s="357">
        <v>1060.4</v>
      </c>
      <c r="DI81" s="357">
        <v>0</v>
      </c>
      <c r="DJ81" s="357">
        <v>0</v>
      </c>
      <c r="DK81" s="357">
        <v>0</v>
      </c>
      <c r="DL81" s="357">
        <v>0</v>
      </c>
      <c r="DM81" s="357">
        <v>0</v>
      </c>
      <c r="DN81" s="357">
        <v>0</v>
      </c>
      <c r="DO81" s="357">
        <v>0</v>
      </c>
      <c r="DP81" s="357">
        <v>0</v>
      </c>
      <c r="DQ81" s="357">
        <v>63893.42</v>
      </c>
      <c r="DR81" s="357">
        <v>0</v>
      </c>
      <c r="DS81" s="357">
        <v>0</v>
      </c>
      <c r="DT81" s="357">
        <v>0</v>
      </c>
      <c r="DU81" s="357">
        <v>0</v>
      </c>
      <c r="DV81" s="357">
        <v>0</v>
      </c>
      <c r="DW81" s="357">
        <v>63893.42</v>
      </c>
      <c r="DX81" s="357">
        <v>0</v>
      </c>
      <c r="DY81" s="357">
        <v>0</v>
      </c>
      <c r="DZ81" s="357">
        <v>63893.42</v>
      </c>
      <c r="EA81" s="357">
        <v>0</v>
      </c>
      <c r="EB81" s="357">
        <v>0</v>
      </c>
      <c r="EC81" s="357">
        <v>0</v>
      </c>
      <c r="ED81" s="357">
        <v>0</v>
      </c>
      <c r="EE81" s="357">
        <v>0</v>
      </c>
      <c r="EF81" s="357">
        <v>0</v>
      </c>
      <c r="EG81" s="357">
        <v>66000</v>
      </c>
      <c r="EH81" s="357">
        <v>0</v>
      </c>
      <c r="EI81" s="357">
        <v>0</v>
      </c>
      <c r="EJ81" s="357">
        <v>66000</v>
      </c>
      <c r="EK81" s="357">
        <v>330000</v>
      </c>
      <c r="EL81" s="357">
        <v>0</v>
      </c>
      <c r="EM81" s="357">
        <v>0</v>
      </c>
      <c r="EN81" s="357">
        <v>330000</v>
      </c>
      <c r="EO81" s="357">
        <v>396000</v>
      </c>
      <c r="EP81" s="357">
        <v>0</v>
      </c>
      <c r="EQ81" s="357">
        <v>0</v>
      </c>
      <c r="ER81" s="357">
        <v>0</v>
      </c>
      <c r="ES81" s="357">
        <v>0</v>
      </c>
      <c r="ET81" s="357">
        <v>0</v>
      </c>
      <c r="EU81" s="357">
        <v>396000</v>
      </c>
      <c r="EV81" s="357">
        <v>0</v>
      </c>
      <c r="EW81" s="357">
        <v>0</v>
      </c>
      <c r="EX81" s="357">
        <v>396000</v>
      </c>
      <c r="EY81" s="357">
        <v>40510537.5</v>
      </c>
      <c r="EZ81" s="357">
        <v>0</v>
      </c>
      <c r="FA81" s="357">
        <v>0</v>
      </c>
      <c r="FB81" s="357">
        <v>40510537.5</v>
      </c>
      <c r="FC81" s="277">
        <v>0</v>
      </c>
      <c r="FD81" s="205"/>
    </row>
    <row r="82" spans="1:160" ht="12.75">
      <c r="A82" s="169">
        <v>75</v>
      </c>
      <c r="B82" s="172" t="s">
        <v>44</v>
      </c>
      <c r="C82" s="258" t="s">
        <v>45</v>
      </c>
      <c r="D82" s="235">
        <v>281113</v>
      </c>
      <c r="E82" s="357">
        <v>210882058</v>
      </c>
      <c r="F82" s="357">
        <v>0</v>
      </c>
      <c r="G82" s="357">
        <v>0</v>
      </c>
      <c r="H82" s="357">
        <v>210882058</v>
      </c>
      <c r="I82" s="357">
        <v>99325449</v>
      </c>
      <c r="J82" s="357">
        <v>0</v>
      </c>
      <c r="K82" s="357">
        <v>0</v>
      </c>
      <c r="L82" s="357">
        <v>300000</v>
      </c>
      <c r="M82" s="357">
        <v>0</v>
      </c>
      <c r="N82" s="357">
        <v>0</v>
      </c>
      <c r="O82" s="357">
        <v>99625449</v>
      </c>
      <c r="P82" s="357">
        <v>0</v>
      </c>
      <c r="Q82" s="357">
        <v>0</v>
      </c>
      <c r="R82" s="357">
        <v>99625449</v>
      </c>
      <c r="S82" s="357">
        <v>82835</v>
      </c>
      <c r="T82" s="357">
        <v>0</v>
      </c>
      <c r="U82" s="357">
        <v>0</v>
      </c>
      <c r="V82" s="357">
        <v>82835</v>
      </c>
      <c r="W82" s="357">
        <v>50382</v>
      </c>
      <c r="X82" s="357">
        <v>0</v>
      </c>
      <c r="Y82" s="357">
        <v>0</v>
      </c>
      <c r="Z82" s="357">
        <v>50382</v>
      </c>
      <c r="AA82" s="357">
        <v>32453</v>
      </c>
      <c r="AB82" s="357">
        <v>0</v>
      </c>
      <c r="AC82" s="357">
        <v>0</v>
      </c>
      <c r="AD82" s="357">
        <v>0</v>
      </c>
      <c r="AE82" s="357">
        <v>0</v>
      </c>
      <c r="AF82" s="357">
        <v>0</v>
      </c>
      <c r="AG82" s="357">
        <v>32453</v>
      </c>
      <c r="AH82" s="357">
        <v>0</v>
      </c>
      <c r="AI82" s="357">
        <v>0</v>
      </c>
      <c r="AJ82" s="357">
        <v>32453</v>
      </c>
      <c r="AK82" s="357">
        <v>32453</v>
      </c>
      <c r="AL82" s="357">
        <v>0</v>
      </c>
      <c r="AM82" s="357">
        <v>0</v>
      </c>
      <c r="AN82" s="357">
        <v>32453</v>
      </c>
      <c r="AO82" s="357">
        <v>3779469</v>
      </c>
      <c r="AP82" s="357">
        <v>0</v>
      </c>
      <c r="AQ82" s="357">
        <v>0</v>
      </c>
      <c r="AR82" s="357">
        <v>3779469</v>
      </c>
      <c r="AS82" s="357">
        <v>50000</v>
      </c>
      <c r="AT82" s="357">
        <v>0</v>
      </c>
      <c r="AU82" s="357">
        <v>0</v>
      </c>
      <c r="AV82" s="357">
        <v>50000</v>
      </c>
      <c r="AW82" s="357">
        <v>2052487</v>
      </c>
      <c r="AX82" s="357">
        <v>0</v>
      </c>
      <c r="AY82" s="357">
        <v>0</v>
      </c>
      <c r="AZ82" s="357">
        <v>2052487</v>
      </c>
      <c r="BA82" s="357">
        <v>1726982</v>
      </c>
      <c r="BB82" s="357">
        <v>0</v>
      </c>
      <c r="BC82" s="357">
        <v>0</v>
      </c>
      <c r="BD82" s="357">
        <v>1726982</v>
      </c>
      <c r="BE82" s="357">
        <v>5367050</v>
      </c>
      <c r="BF82" s="357">
        <v>0</v>
      </c>
      <c r="BG82" s="357">
        <v>0</v>
      </c>
      <c r="BH82" s="357">
        <v>5367050</v>
      </c>
      <c r="BI82" s="357">
        <v>33740</v>
      </c>
      <c r="BJ82" s="357">
        <v>0</v>
      </c>
      <c r="BK82" s="357">
        <v>0</v>
      </c>
      <c r="BL82" s="357">
        <v>33740</v>
      </c>
      <c r="BM82" s="357">
        <v>0</v>
      </c>
      <c r="BN82" s="357">
        <v>0</v>
      </c>
      <c r="BO82" s="357">
        <v>0</v>
      </c>
      <c r="BP82" s="357">
        <v>0</v>
      </c>
      <c r="BQ82" s="357">
        <v>7127772</v>
      </c>
      <c r="BR82" s="357">
        <v>0</v>
      </c>
      <c r="BS82" s="357">
        <v>0</v>
      </c>
      <c r="BT82" s="357">
        <v>0</v>
      </c>
      <c r="BU82" s="357">
        <v>0</v>
      </c>
      <c r="BV82" s="357">
        <v>0</v>
      </c>
      <c r="BW82" s="357">
        <v>7127772</v>
      </c>
      <c r="BX82" s="357">
        <v>0</v>
      </c>
      <c r="BY82" s="357">
        <v>0</v>
      </c>
      <c r="BZ82" s="357">
        <v>7127772</v>
      </c>
      <c r="CA82" s="357">
        <v>0</v>
      </c>
      <c r="CB82" s="357">
        <v>0</v>
      </c>
      <c r="CC82" s="357">
        <v>0</v>
      </c>
      <c r="CD82" s="357">
        <v>0</v>
      </c>
      <c r="CE82" s="357">
        <v>2332399</v>
      </c>
      <c r="CF82" s="357">
        <v>0</v>
      </c>
      <c r="CG82" s="357">
        <v>0</v>
      </c>
      <c r="CH82" s="357">
        <v>2332399</v>
      </c>
      <c r="CI82" s="357">
        <v>2332399</v>
      </c>
      <c r="CJ82" s="357">
        <v>0</v>
      </c>
      <c r="CK82" s="357">
        <v>0</v>
      </c>
      <c r="CL82" s="357">
        <v>0</v>
      </c>
      <c r="CM82" s="357">
        <v>0</v>
      </c>
      <c r="CN82" s="357">
        <v>0</v>
      </c>
      <c r="CO82" s="357">
        <v>2332399</v>
      </c>
      <c r="CP82" s="357">
        <v>0</v>
      </c>
      <c r="CQ82" s="357">
        <v>0</v>
      </c>
      <c r="CR82" s="357">
        <v>2332399</v>
      </c>
      <c r="CS82" s="357">
        <v>66350</v>
      </c>
      <c r="CT82" s="357">
        <v>0</v>
      </c>
      <c r="CU82" s="357">
        <v>0</v>
      </c>
      <c r="CV82" s="357">
        <v>66350</v>
      </c>
      <c r="CW82" s="357">
        <v>197774</v>
      </c>
      <c r="CX82" s="357">
        <v>0</v>
      </c>
      <c r="CY82" s="357">
        <v>0</v>
      </c>
      <c r="CZ82" s="357">
        <v>197774</v>
      </c>
      <c r="DA82" s="357">
        <v>8435</v>
      </c>
      <c r="DB82" s="357">
        <v>0</v>
      </c>
      <c r="DC82" s="357">
        <v>0</v>
      </c>
      <c r="DD82" s="357">
        <v>8435</v>
      </c>
      <c r="DE82" s="357">
        <v>0</v>
      </c>
      <c r="DF82" s="357">
        <v>0</v>
      </c>
      <c r="DG82" s="357">
        <v>0</v>
      </c>
      <c r="DH82" s="357">
        <v>0</v>
      </c>
      <c r="DI82" s="357">
        <v>0</v>
      </c>
      <c r="DJ82" s="357">
        <v>0</v>
      </c>
      <c r="DK82" s="357">
        <v>0</v>
      </c>
      <c r="DL82" s="357">
        <v>0</v>
      </c>
      <c r="DM82" s="357">
        <v>0</v>
      </c>
      <c r="DN82" s="357">
        <v>0</v>
      </c>
      <c r="DO82" s="357">
        <v>0</v>
      </c>
      <c r="DP82" s="357">
        <v>0</v>
      </c>
      <c r="DQ82" s="357">
        <v>272559</v>
      </c>
      <c r="DR82" s="357">
        <v>0</v>
      </c>
      <c r="DS82" s="357">
        <v>0</v>
      </c>
      <c r="DT82" s="357">
        <v>0</v>
      </c>
      <c r="DU82" s="357">
        <v>0</v>
      </c>
      <c r="DV82" s="357">
        <v>0</v>
      </c>
      <c r="DW82" s="357">
        <v>272559</v>
      </c>
      <c r="DX82" s="357">
        <v>0</v>
      </c>
      <c r="DY82" s="357">
        <v>0</v>
      </c>
      <c r="DZ82" s="357">
        <v>272559</v>
      </c>
      <c r="EA82" s="357">
        <v>0</v>
      </c>
      <c r="EB82" s="357">
        <v>0</v>
      </c>
      <c r="EC82" s="357">
        <v>0</v>
      </c>
      <c r="ED82" s="357">
        <v>0</v>
      </c>
      <c r="EE82" s="357">
        <v>0</v>
      </c>
      <c r="EF82" s="357">
        <v>0</v>
      </c>
      <c r="EG82" s="357">
        <v>58054</v>
      </c>
      <c r="EH82" s="357">
        <v>0</v>
      </c>
      <c r="EI82" s="357">
        <v>0</v>
      </c>
      <c r="EJ82" s="357">
        <v>58054</v>
      </c>
      <c r="EK82" s="357">
        <v>1000217</v>
      </c>
      <c r="EL82" s="357">
        <v>0</v>
      </c>
      <c r="EM82" s="357">
        <v>0</v>
      </c>
      <c r="EN82" s="357">
        <v>1000217</v>
      </c>
      <c r="EO82" s="357">
        <v>1058271</v>
      </c>
      <c r="EP82" s="357">
        <v>0</v>
      </c>
      <c r="EQ82" s="357">
        <v>0</v>
      </c>
      <c r="ER82" s="357">
        <v>0</v>
      </c>
      <c r="ES82" s="357">
        <v>0</v>
      </c>
      <c r="ET82" s="357">
        <v>0</v>
      </c>
      <c r="EU82" s="357">
        <v>1058271</v>
      </c>
      <c r="EV82" s="357">
        <v>0</v>
      </c>
      <c r="EW82" s="357">
        <v>0</v>
      </c>
      <c r="EX82" s="357">
        <v>1058271</v>
      </c>
      <c r="EY82" s="357">
        <v>88801995</v>
      </c>
      <c r="EZ82" s="357">
        <v>0</v>
      </c>
      <c r="FA82" s="357">
        <v>0</v>
      </c>
      <c r="FB82" s="357">
        <v>88801995</v>
      </c>
      <c r="FC82" s="277">
        <v>0</v>
      </c>
      <c r="FD82" s="205"/>
    </row>
    <row r="83" spans="1:160" ht="12.75">
      <c r="A83" s="169">
        <v>76</v>
      </c>
      <c r="B83" s="172" t="s">
        <v>46</v>
      </c>
      <c r="C83" s="258" t="s">
        <v>47</v>
      </c>
      <c r="D83" s="235">
        <v>41639</v>
      </c>
      <c r="E83" s="357">
        <v>46467074</v>
      </c>
      <c r="F83" s="357">
        <v>0</v>
      </c>
      <c r="G83" s="357">
        <v>0</v>
      </c>
      <c r="H83" s="357">
        <v>46467074</v>
      </c>
      <c r="I83" s="357">
        <v>21885992</v>
      </c>
      <c r="J83" s="357">
        <v>0</v>
      </c>
      <c r="K83" s="357">
        <v>0</v>
      </c>
      <c r="L83" s="357">
        <v>54748</v>
      </c>
      <c r="M83" s="357">
        <v>0</v>
      </c>
      <c r="N83" s="357">
        <v>0</v>
      </c>
      <c r="O83" s="357">
        <v>21940740</v>
      </c>
      <c r="P83" s="357">
        <v>0</v>
      </c>
      <c r="Q83" s="357">
        <v>0</v>
      </c>
      <c r="R83" s="357">
        <v>21940740</v>
      </c>
      <c r="S83" s="357">
        <v>70117</v>
      </c>
      <c r="T83" s="357">
        <v>0</v>
      </c>
      <c r="U83" s="357">
        <v>0</v>
      </c>
      <c r="V83" s="357">
        <v>70117</v>
      </c>
      <c r="W83" s="357">
        <v>28062</v>
      </c>
      <c r="X83" s="357">
        <v>0</v>
      </c>
      <c r="Y83" s="357">
        <v>0</v>
      </c>
      <c r="Z83" s="357">
        <v>28062</v>
      </c>
      <c r="AA83" s="357">
        <v>42055</v>
      </c>
      <c r="AB83" s="357">
        <v>0</v>
      </c>
      <c r="AC83" s="357">
        <v>0</v>
      </c>
      <c r="AD83" s="357">
        <v>0</v>
      </c>
      <c r="AE83" s="357">
        <v>0</v>
      </c>
      <c r="AF83" s="357">
        <v>0</v>
      </c>
      <c r="AG83" s="357">
        <v>42055</v>
      </c>
      <c r="AH83" s="357">
        <v>0</v>
      </c>
      <c r="AI83" s="357">
        <v>0</v>
      </c>
      <c r="AJ83" s="357">
        <v>42055</v>
      </c>
      <c r="AK83" s="357">
        <v>42055</v>
      </c>
      <c r="AL83" s="357">
        <v>0</v>
      </c>
      <c r="AM83" s="357">
        <v>0</v>
      </c>
      <c r="AN83" s="357">
        <v>42055</v>
      </c>
      <c r="AO83" s="357">
        <v>2493240</v>
      </c>
      <c r="AP83" s="357">
        <v>0</v>
      </c>
      <c r="AQ83" s="357">
        <v>0</v>
      </c>
      <c r="AR83" s="357">
        <v>2493240</v>
      </c>
      <c r="AS83" s="357">
        <v>0</v>
      </c>
      <c r="AT83" s="357">
        <v>0</v>
      </c>
      <c r="AU83" s="357">
        <v>0</v>
      </c>
      <c r="AV83" s="357">
        <v>0</v>
      </c>
      <c r="AW83" s="357">
        <v>342739</v>
      </c>
      <c r="AX83" s="357">
        <v>0</v>
      </c>
      <c r="AY83" s="357">
        <v>0</v>
      </c>
      <c r="AZ83" s="357">
        <v>342739</v>
      </c>
      <c r="BA83" s="357">
        <v>2150501</v>
      </c>
      <c r="BB83" s="357">
        <v>0</v>
      </c>
      <c r="BC83" s="357">
        <v>0</v>
      </c>
      <c r="BD83" s="357">
        <v>2150501</v>
      </c>
      <c r="BE83" s="357">
        <v>1028938</v>
      </c>
      <c r="BF83" s="357">
        <v>0</v>
      </c>
      <c r="BG83" s="357">
        <v>0</v>
      </c>
      <c r="BH83" s="357">
        <v>1028938</v>
      </c>
      <c r="BI83" s="357">
        <v>43920</v>
      </c>
      <c r="BJ83" s="357">
        <v>0</v>
      </c>
      <c r="BK83" s="357">
        <v>0</v>
      </c>
      <c r="BL83" s="357">
        <v>43920</v>
      </c>
      <c r="BM83" s="357">
        <v>59796</v>
      </c>
      <c r="BN83" s="357">
        <v>0</v>
      </c>
      <c r="BO83" s="357">
        <v>0</v>
      </c>
      <c r="BP83" s="357">
        <v>59796</v>
      </c>
      <c r="BQ83" s="357">
        <v>3283155</v>
      </c>
      <c r="BR83" s="357">
        <v>0</v>
      </c>
      <c r="BS83" s="357">
        <v>0</v>
      </c>
      <c r="BT83" s="357">
        <v>16076</v>
      </c>
      <c r="BU83" s="357">
        <v>0</v>
      </c>
      <c r="BV83" s="357">
        <v>0</v>
      </c>
      <c r="BW83" s="357">
        <v>3299231</v>
      </c>
      <c r="BX83" s="357">
        <v>0</v>
      </c>
      <c r="BY83" s="357">
        <v>0</v>
      </c>
      <c r="BZ83" s="357">
        <v>3299231</v>
      </c>
      <c r="CA83" s="357">
        <v>0</v>
      </c>
      <c r="CB83" s="357">
        <v>0</v>
      </c>
      <c r="CC83" s="357">
        <v>0</v>
      </c>
      <c r="CD83" s="357">
        <v>0</v>
      </c>
      <c r="CE83" s="357">
        <v>527507</v>
      </c>
      <c r="CF83" s="357">
        <v>0</v>
      </c>
      <c r="CG83" s="357">
        <v>0</v>
      </c>
      <c r="CH83" s="357">
        <v>527507</v>
      </c>
      <c r="CI83" s="357">
        <v>527507</v>
      </c>
      <c r="CJ83" s="357">
        <v>0</v>
      </c>
      <c r="CK83" s="357">
        <v>0</v>
      </c>
      <c r="CL83" s="357">
        <v>0</v>
      </c>
      <c r="CM83" s="357">
        <v>0</v>
      </c>
      <c r="CN83" s="357">
        <v>0</v>
      </c>
      <c r="CO83" s="357">
        <v>527507</v>
      </c>
      <c r="CP83" s="357">
        <v>0</v>
      </c>
      <c r="CQ83" s="357">
        <v>0</v>
      </c>
      <c r="CR83" s="357">
        <v>527507</v>
      </c>
      <c r="CS83" s="357">
        <v>109497</v>
      </c>
      <c r="CT83" s="357">
        <v>0</v>
      </c>
      <c r="CU83" s="357">
        <v>0</v>
      </c>
      <c r="CV83" s="357">
        <v>109497</v>
      </c>
      <c r="CW83" s="357">
        <v>129118</v>
      </c>
      <c r="CX83" s="357">
        <v>0</v>
      </c>
      <c r="CY83" s="357">
        <v>0</v>
      </c>
      <c r="CZ83" s="357">
        <v>129118</v>
      </c>
      <c r="DA83" s="357">
        <v>3943</v>
      </c>
      <c r="DB83" s="357">
        <v>0</v>
      </c>
      <c r="DC83" s="357">
        <v>0</v>
      </c>
      <c r="DD83" s="357">
        <v>3943</v>
      </c>
      <c r="DE83" s="357">
        <v>59796</v>
      </c>
      <c r="DF83" s="357">
        <v>0</v>
      </c>
      <c r="DG83" s="357">
        <v>0</v>
      </c>
      <c r="DH83" s="357">
        <v>59796</v>
      </c>
      <c r="DI83" s="357">
        <v>9161</v>
      </c>
      <c r="DJ83" s="357">
        <v>0</v>
      </c>
      <c r="DK83" s="357">
        <v>0</v>
      </c>
      <c r="DL83" s="357">
        <v>9161</v>
      </c>
      <c r="DM83" s="357">
        <v>0</v>
      </c>
      <c r="DN83" s="357">
        <v>0</v>
      </c>
      <c r="DO83" s="357">
        <v>0</v>
      </c>
      <c r="DP83" s="357">
        <v>0</v>
      </c>
      <c r="DQ83" s="357">
        <v>311515</v>
      </c>
      <c r="DR83" s="357">
        <v>0</v>
      </c>
      <c r="DS83" s="357">
        <v>0</v>
      </c>
      <c r="DT83" s="357">
        <v>0</v>
      </c>
      <c r="DU83" s="357">
        <v>0</v>
      </c>
      <c r="DV83" s="357">
        <v>0</v>
      </c>
      <c r="DW83" s="357">
        <v>311515</v>
      </c>
      <c r="DX83" s="357">
        <v>0</v>
      </c>
      <c r="DY83" s="357">
        <v>0</v>
      </c>
      <c r="DZ83" s="357">
        <v>311515</v>
      </c>
      <c r="EA83" s="357">
        <v>0</v>
      </c>
      <c r="EB83" s="357">
        <v>0</v>
      </c>
      <c r="EC83" s="357">
        <v>0</v>
      </c>
      <c r="ED83" s="357">
        <v>0</v>
      </c>
      <c r="EE83" s="357">
        <v>0</v>
      </c>
      <c r="EF83" s="357">
        <v>0</v>
      </c>
      <c r="EG83" s="357">
        <v>24114</v>
      </c>
      <c r="EH83" s="357">
        <v>0</v>
      </c>
      <c r="EI83" s="357">
        <v>0</v>
      </c>
      <c r="EJ83" s="357">
        <v>24114</v>
      </c>
      <c r="EK83" s="357">
        <v>574225</v>
      </c>
      <c r="EL83" s="357">
        <v>0</v>
      </c>
      <c r="EM83" s="357">
        <v>0</v>
      </c>
      <c r="EN83" s="357">
        <v>574225</v>
      </c>
      <c r="EO83" s="357">
        <v>598339</v>
      </c>
      <c r="EP83" s="357">
        <v>0</v>
      </c>
      <c r="EQ83" s="357">
        <v>0</v>
      </c>
      <c r="ER83" s="357">
        <v>0</v>
      </c>
      <c r="ES83" s="357">
        <v>0</v>
      </c>
      <c r="ET83" s="357">
        <v>0</v>
      </c>
      <c r="EU83" s="357">
        <v>598339</v>
      </c>
      <c r="EV83" s="357">
        <v>0</v>
      </c>
      <c r="EW83" s="357">
        <v>0</v>
      </c>
      <c r="EX83" s="357">
        <v>598339</v>
      </c>
      <c r="EY83" s="357">
        <v>17162093</v>
      </c>
      <c r="EZ83" s="357">
        <v>0</v>
      </c>
      <c r="FA83" s="357">
        <v>0</v>
      </c>
      <c r="FB83" s="357">
        <v>17162093</v>
      </c>
      <c r="FC83" s="277">
        <v>0</v>
      </c>
      <c r="FD83" s="205"/>
    </row>
    <row r="84" spans="1:160" ht="12.75">
      <c r="A84" s="169">
        <v>77</v>
      </c>
      <c r="B84" s="172" t="s">
        <v>48</v>
      </c>
      <c r="C84" s="258" t="s">
        <v>49</v>
      </c>
      <c r="D84" s="235">
        <v>41639</v>
      </c>
      <c r="E84" s="357">
        <v>227638649</v>
      </c>
      <c r="F84" s="357">
        <v>0</v>
      </c>
      <c r="G84" s="357">
        <v>0</v>
      </c>
      <c r="H84" s="357">
        <v>227638649</v>
      </c>
      <c r="I84" s="357">
        <v>107217804</v>
      </c>
      <c r="J84" s="357">
        <v>0</v>
      </c>
      <c r="K84" s="357">
        <v>0</v>
      </c>
      <c r="L84" s="357">
        <v>0</v>
      </c>
      <c r="M84" s="357">
        <v>0</v>
      </c>
      <c r="N84" s="357">
        <v>0</v>
      </c>
      <c r="O84" s="357">
        <v>107217804</v>
      </c>
      <c r="P84" s="357">
        <v>0</v>
      </c>
      <c r="Q84" s="357">
        <v>0</v>
      </c>
      <c r="R84" s="357">
        <v>107217804</v>
      </c>
      <c r="S84" s="357">
        <v>81728.7</v>
      </c>
      <c r="T84" s="357">
        <v>0</v>
      </c>
      <c r="U84" s="357">
        <v>0</v>
      </c>
      <c r="V84" s="357">
        <v>81728.7</v>
      </c>
      <c r="W84" s="357">
        <v>5119.01</v>
      </c>
      <c r="X84" s="357">
        <v>0</v>
      </c>
      <c r="Y84" s="357">
        <v>0</v>
      </c>
      <c r="Z84" s="357">
        <v>5119.01</v>
      </c>
      <c r="AA84" s="357">
        <v>76609.69</v>
      </c>
      <c r="AB84" s="357">
        <v>0</v>
      </c>
      <c r="AC84" s="357">
        <v>0</v>
      </c>
      <c r="AD84" s="357">
        <v>0</v>
      </c>
      <c r="AE84" s="357">
        <v>0</v>
      </c>
      <c r="AF84" s="357">
        <v>0</v>
      </c>
      <c r="AG84" s="357">
        <v>76609.69</v>
      </c>
      <c r="AH84" s="357">
        <v>0</v>
      </c>
      <c r="AI84" s="357">
        <v>0</v>
      </c>
      <c r="AJ84" s="357">
        <v>76609.69</v>
      </c>
      <c r="AK84" s="357">
        <v>76609.69</v>
      </c>
      <c r="AL84" s="357">
        <v>0</v>
      </c>
      <c r="AM84" s="357">
        <v>0</v>
      </c>
      <c r="AN84" s="357">
        <v>76609.69</v>
      </c>
      <c r="AO84" s="357">
        <v>5495319.48</v>
      </c>
      <c r="AP84" s="357">
        <v>0</v>
      </c>
      <c r="AQ84" s="357">
        <v>0</v>
      </c>
      <c r="AR84" s="357">
        <v>5495319.48</v>
      </c>
      <c r="AS84" s="357">
        <v>0</v>
      </c>
      <c r="AT84" s="357">
        <v>0</v>
      </c>
      <c r="AU84" s="357">
        <v>0</v>
      </c>
      <c r="AV84" s="357">
        <v>0</v>
      </c>
      <c r="AW84" s="357">
        <v>2164728</v>
      </c>
      <c r="AX84" s="357">
        <v>0</v>
      </c>
      <c r="AY84" s="357">
        <v>0</v>
      </c>
      <c r="AZ84" s="357">
        <v>2164728</v>
      </c>
      <c r="BA84" s="357">
        <v>3330591.48</v>
      </c>
      <c r="BB84" s="357">
        <v>0</v>
      </c>
      <c r="BC84" s="357">
        <v>0</v>
      </c>
      <c r="BD84" s="357">
        <v>3330591.48</v>
      </c>
      <c r="BE84" s="357">
        <v>5269729.18</v>
      </c>
      <c r="BF84" s="357">
        <v>0</v>
      </c>
      <c r="BG84" s="357">
        <v>0</v>
      </c>
      <c r="BH84" s="357">
        <v>5269729.18</v>
      </c>
      <c r="BI84" s="357">
        <v>29094</v>
      </c>
      <c r="BJ84" s="357">
        <v>0</v>
      </c>
      <c r="BK84" s="357">
        <v>0</v>
      </c>
      <c r="BL84" s="357">
        <v>29094</v>
      </c>
      <c r="BM84" s="357">
        <v>9206</v>
      </c>
      <c r="BN84" s="357">
        <v>0</v>
      </c>
      <c r="BO84" s="357">
        <v>0</v>
      </c>
      <c r="BP84" s="357">
        <v>9206</v>
      </c>
      <c r="BQ84" s="357">
        <v>8638620.66</v>
      </c>
      <c r="BR84" s="357">
        <v>0</v>
      </c>
      <c r="BS84" s="357">
        <v>0</v>
      </c>
      <c r="BT84" s="357">
        <v>0</v>
      </c>
      <c r="BU84" s="357">
        <v>0</v>
      </c>
      <c r="BV84" s="357">
        <v>0</v>
      </c>
      <c r="BW84" s="357">
        <v>8638620.66</v>
      </c>
      <c r="BX84" s="357">
        <v>0</v>
      </c>
      <c r="BY84" s="357">
        <v>0</v>
      </c>
      <c r="BZ84" s="357">
        <v>8638620.66</v>
      </c>
      <c r="CA84" s="357">
        <v>100000</v>
      </c>
      <c r="CB84" s="357">
        <v>0</v>
      </c>
      <c r="CC84" s="357">
        <v>0</v>
      </c>
      <c r="CD84" s="357">
        <v>100000</v>
      </c>
      <c r="CE84" s="357">
        <v>2577965</v>
      </c>
      <c r="CF84" s="357">
        <v>0</v>
      </c>
      <c r="CG84" s="357">
        <v>0</v>
      </c>
      <c r="CH84" s="357">
        <v>2577965</v>
      </c>
      <c r="CI84" s="357">
        <v>2677965</v>
      </c>
      <c r="CJ84" s="357">
        <v>0</v>
      </c>
      <c r="CK84" s="357">
        <v>0</v>
      </c>
      <c r="CL84" s="357">
        <v>0</v>
      </c>
      <c r="CM84" s="357">
        <v>0</v>
      </c>
      <c r="CN84" s="357">
        <v>0</v>
      </c>
      <c r="CO84" s="357">
        <v>2677965</v>
      </c>
      <c r="CP84" s="357">
        <v>0</v>
      </c>
      <c r="CQ84" s="357">
        <v>0</v>
      </c>
      <c r="CR84" s="357">
        <v>2677965</v>
      </c>
      <c r="CS84" s="357">
        <v>260663.74</v>
      </c>
      <c r="CT84" s="357">
        <v>0</v>
      </c>
      <c r="CU84" s="357">
        <v>0</v>
      </c>
      <c r="CV84" s="357">
        <v>260663.74</v>
      </c>
      <c r="CW84" s="357">
        <v>91759.54</v>
      </c>
      <c r="CX84" s="357">
        <v>0</v>
      </c>
      <c r="CY84" s="357">
        <v>0</v>
      </c>
      <c r="CZ84" s="357">
        <v>91759.54</v>
      </c>
      <c r="DA84" s="357">
        <v>0</v>
      </c>
      <c r="DB84" s="357">
        <v>0</v>
      </c>
      <c r="DC84" s="357">
        <v>0</v>
      </c>
      <c r="DD84" s="357">
        <v>0</v>
      </c>
      <c r="DE84" s="357">
        <v>0</v>
      </c>
      <c r="DF84" s="357">
        <v>0</v>
      </c>
      <c r="DG84" s="357">
        <v>0</v>
      </c>
      <c r="DH84" s="357">
        <v>0</v>
      </c>
      <c r="DI84" s="357">
        <v>0</v>
      </c>
      <c r="DJ84" s="357">
        <v>0</v>
      </c>
      <c r="DK84" s="357">
        <v>0</v>
      </c>
      <c r="DL84" s="357">
        <v>0</v>
      </c>
      <c r="DM84" s="357">
        <v>0</v>
      </c>
      <c r="DN84" s="357">
        <v>0</v>
      </c>
      <c r="DO84" s="357">
        <v>0</v>
      </c>
      <c r="DP84" s="357">
        <v>0</v>
      </c>
      <c r="DQ84" s="357">
        <v>352423.28</v>
      </c>
      <c r="DR84" s="357">
        <v>0</v>
      </c>
      <c r="DS84" s="357">
        <v>0</v>
      </c>
      <c r="DT84" s="357">
        <v>0</v>
      </c>
      <c r="DU84" s="357">
        <v>0</v>
      </c>
      <c r="DV84" s="357">
        <v>0</v>
      </c>
      <c r="DW84" s="357">
        <v>352423.28</v>
      </c>
      <c r="DX84" s="357">
        <v>0</v>
      </c>
      <c r="DY84" s="357">
        <v>0</v>
      </c>
      <c r="DZ84" s="357">
        <v>352423.28</v>
      </c>
      <c r="EA84" s="357">
        <v>0</v>
      </c>
      <c r="EB84" s="357">
        <v>0</v>
      </c>
      <c r="EC84" s="357">
        <v>0</v>
      </c>
      <c r="ED84" s="357">
        <v>0</v>
      </c>
      <c r="EE84" s="357">
        <v>0</v>
      </c>
      <c r="EF84" s="357">
        <v>0</v>
      </c>
      <c r="EG84" s="357">
        <v>245191</v>
      </c>
      <c r="EH84" s="357">
        <v>0</v>
      </c>
      <c r="EI84" s="357">
        <v>0</v>
      </c>
      <c r="EJ84" s="357">
        <v>245191</v>
      </c>
      <c r="EK84" s="357">
        <v>1148726</v>
      </c>
      <c r="EL84" s="357">
        <v>0</v>
      </c>
      <c r="EM84" s="357">
        <v>0</v>
      </c>
      <c r="EN84" s="357">
        <v>1148726</v>
      </c>
      <c r="EO84" s="357">
        <v>1393917</v>
      </c>
      <c r="EP84" s="357">
        <v>0</v>
      </c>
      <c r="EQ84" s="357">
        <v>0</v>
      </c>
      <c r="ER84" s="357">
        <v>0</v>
      </c>
      <c r="ES84" s="357">
        <v>0</v>
      </c>
      <c r="ET84" s="357">
        <v>0</v>
      </c>
      <c r="EU84" s="357">
        <v>1393917</v>
      </c>
      <c r="EV84" s="357">
        <v>0</v>
      </c>
      <c r="EW84" s="357">
        <v>0</v>
      </c>
      <c r="EX84" s="357">
        <v>1393917</v>
      </c>
      <c r="EY84" s="357">
        <v>94078268.4</v>
      </c>
      <c r="EZ84" s="357">
        <v>0</v>
      </c>
      <c r="FA84" s="357">
        <v>0</v>
      </c>
      <c r="FB84" s="357">
        <v>94078268.4</v>
      </c>
      <c r="FC84" s="277">
        <v>0</v>
      </c>
      <c r="FD84" s="205"/>
    </row>
    <row r="85" spans="1:160" ht="12.75">
      <c r="A85" s="169">
        <v>78</v>
      </c>
      <c r="B85" s="172" t="s">
        <v>63</v>
      </c>
      <c r="C85" s="258" t="s">
        <v>64</v>
      </c>
      <c r="D85" s="235">
        <v>41667</v>
      </c>
      <c r="E85" s="357">
        <v>88235587</v>
      </c>
      <c r="F85" s="357">
        <v>0</v>
      </c>
      <c r="G85" s="357">
        <v>1714600</v>
      </c>
      <c r="H85" s="357">
        <v>89950187</v>
      </c>
      <c r="I85" s="357">
        <v>41558961</v>
      </c>
      <c r="J85" s="357">
        <v>0</v>
      </c>
      <c r="K85" s="357">
        <v>807577</v>
      </c>
      <c r="L85" s="357">
        <v>0</v>
      </c>
      <c r="M85" s="357">
        <v>0</v>
      </c>
      <c r="N85" s="357">
        <v>0</v>
      </c>
      <c r="O85" s="357">
        <v>41558961</v>
      </c>
      <c r="P85" s="357">
        <v>0</v>
      </c>
      <c r="Q85" s="357">
        <v>807577</v>
      </c>
      <c r="R85" s="357">
        <v>42366538</v>
      </c>
      <c r="S85" s="357">
        <v>426636</v>
      </c>
      <c r="T85" s="357">
        <v>0</v>
      </c>
      <c r="U85" s="357">
        <v>22308</v>
      </c>
      <c r="V85" s="357">
        <v>448944</v>
      </c>
      <c r="W85" s="357">
        <v>4097</v>
      </c>
      <c r="X85" s="357">
        <v>0</v>
      </c>
      <c r="Y85" s="357">
        <v>0</v>
      </c>
      <c r="Z85" s="357">
        <v>4097</v>
      </c>
      <c r="AA85" s="357">
        <v>422539</v>
      </c>
      <c r="AB85" s="357">
        <v>0</v>
      </c>
      <c r="AC85" s="357">
        <v>22308</v>
      </c>
      <c r="AD85" s="357">
        <v>0</v>
      </c>
      <c r="AE85" s="357">
        <v>0</v>
      </c>
      <c r="AF85" s="357">
        <v>0</v>
      </c>
      <c r="AG85" s="357">
        <v>422539</v>
      </c>
      <c r="AH85" s="357">
        <v>0</v>
      </c>
      <c r="AI85" s="357">
        <v>22308</v>
      </c>
      <c r="AJ85" s="357">
        <v>444847</v>
      </c>
      <c r="AK85" s="357">
        <v>422539</v>
      </c>
      <c r="AL85" s="357">
        <v>0</v>
      </c>
      <c r="AM85" s="357">
        <v>22308</v>
      </c>
      <c r="AN85" s="357">
        <v>444847</v>
      </c>
      <c r="AO85" s="357">
        <v>2100172</v>
      </c>
      <c r="AP85" s="357">
        <v>0</v>
      </c>
      <c r="AQ85" s="357">
        <v>0</v>
      </c>
      <c r="AR85" s="357">
        <v>2100172</v>
      </c>
      <c r="AS85" s="357">
        <v>6042</v>
      </c>
      <c r="AT85" s="357">
        <v>0</v>
      </c>
      <c r="AU85" s="357">
        <v>0</v>
      </c>
      <c r="AV85" s="357">
        <v>6042</v>
      </c>
      <c r="AW85" s="357">
        <v>828912</v>
      </c>
      <c r="AX85" s="357">
        <v>0</v>
      </c>
      <c r="AY85" s="357">
        <v>0</v>
      </c>
      <c r="AZ85" s="357">
        <v>828912</v>
      </c>
      <c r="BA85" s="357">
        <v>1271260</v>
      </c>
      <c r="BB85" s="357">
        <v>0</v>
      </c>
      <c r="BC85" s="357">
        <v>0</v>
      </c>
      <c r="BD85" s="357">
        <v>1271260</v>
      </c>
      <c r="BE85" s="357">
        <v>2144771</v>
      </c>
      <c r="BF85" s="357">
        <v>0</v>
      </c>
      <c r="BG85" s="357">
        <v>0</v>
      </c>
      <c r="BH85" s="357">
        <v>2144771</v>
      </c>
      <c r="BI85" s="357">
        <v>60636</v>
      </c>
      <c r="BJ85" s="357">
        <v>0</v>
      </c>
      <c r="BK85" s="357">
        <v>0</v>
      </c>
      <c r="BL85" s="357">
        <v>60636</v>
      </c>
      <c r="BM85" s="357">
        <v>25603.95</v>
      </c>
      <c r="BN85" s="357">
        <v>0</v>
      </c>
      <c r="BO85" s="357">
        <v>0</v>
      </c>
      <c r="BP85" s="357">
        <v>25603.95</v>
      </c>
      <c r="BQ85" s="357">
        <v>3502270.95</v>
      </c>
      <c r="BR85" s="357">
        <v>0</v>
      </c>
      <c r="BS85" s="357">
        <v>0</v>
      </c>
      <c r="BT85" s="357">
        <v>150000</v>
      </c>
      <c r="BU85" s="357">
        <v>0</v>
      </c>
      <c r="BV85" s="357">
        <v>0</v>
      </c>
      <c r="BW85" s="357">
        <v>3652270.95</v>
      </c>
      <c r="BX85" s="357">
        <v>0</v>
      </c>
      <c r="BY85" s="357">
        <v>0</v>
      </c>
      <c r="BZ85" s="357">
        <v>3652270.95</v>
      </c>
      <c r="CA85" s="357">
        <v>0</v>
      </c>
      <c r="CB85" s="357">
        <v>0</v>
      </c>
      <c r="CC85" s="357">
        <v>0</v>
      </c>
      <c r="CD85" s="357">
        <v>0</v>
      </c>
      <c r="CE85" s="357">
        <v>1589292</v>
      </c>
      <c r="CF85" s="357">
        <v>0</v>
      </c>
      <c r="CG85" s="357">
        <v>0</v>
      </c>
      <c r="CH85" s="357">
        <v>1589292</v>
      </c>
      <c r="CI85" s="357">
        <v>1589292</v>
      </c>
      <c r="CJ85" s="357">
        <v>0</v>
      </c>
      <c r="CK85" s="357">
        <v>0</v>
      </c>
      <c r="CL85" s="357">
        <v>850000</v>
      </c>
      <c r="CM85" s="357">
        <v>0</v>
      </c>
      <c r="CN85" s="357">
        <v>0</v>
      </c>
      <c r="CO85" s="357">
        <v>2439292</v>
      </c>
      <c r="CP85" s="357">
        <v>0</v>
      </c>
      <c r="CQ85" s="357">
        <v>0</v>
      </c>
      <c r="CR85" s="357">
        <v>2439292</v>
      </c>
      <c r="CS85" s="357">
        <v>146602</v>
      </c>
      <c r="CT85" s="357">
        <v>0</v>
      </c>
      <c r="CU85" s="357">
        <v>0</v>
      </c>
      <c r="CV85" s="357">
        <v>146602</v>
      </c>
      <c r="CW85" s="357">
        <v>46758</v>
      </c>
      <c r="CX85" s="357">
        <v>0</v>
      </c>
      <c r="CY85" s="357">
        <v>0</v>
      </c>
      <c r="CZ85" s="357">
        <v>46758</v>
      </c>
      <c r="DA85" s="357">
        <v>0</v>
      </c>
      <c r="DB85" s="357">
        <v>0</v>
      </c>
      <c r="DC85" s="357">
        <v>0</v>
      </c>
      <c r="DD85" s="357">
        <v>0</v>
      </c>
      <c r="DE85" s="357">
        <v>0</v>
      </c>
      <c r="DF85" s="357">
        <v>0</v>
      </c>
      <c r="DG85" s="357">
        <v>0</v>
      </c>
      <c r="DH85" s="357">
        <v>0</v>
      </c>
      <c r="DI85" s="357">
        <v>0</v>
      </c>
      <c r="DJ85" s="357">
        <v>0</v>
      </c>
      <c r="DK85" s="357">
        <v>0</v>
      </c>
      <c r="DL85" s="357">
        <v>0</v>
      </c>
      <c r="DM85" s="357">
        <v>0</v>
      </c>
      <c r="DN85" s="357">
        <v>0</v>
      </c>
      <c r="DO85" s="357">
        <v>559376</v>
      </c>
      <c r="DP85" s="357">
        <v>559376</v>
      </c>
      <c r="DQ85" s="357">
        <v>193360</v>
      </c>
      <c r="DR85" s="357">
        <v>0</v>
      </c>
      <c r="DS85" s="357">
        <v>559376</v>
      </c>
      <c r="DT85" s="357">
        <v>25000</v>
      </c>
      <c r="DU85" s="357">
        <v>0</v>
      </c>
      <c r="DV85" s="357">
        <v>0</v>
      </c>
      <c r="DW85" s="357">
        <v>218360</v>
      </c>
      <c r="DX85" s="357">
        <v>0</v>
      </c>
      <c r="DY85" s="357">
        <v>559376</v>
      </c>
      <c r="DZ85" s="357">
        <v>777736</v>
      </c>
      <c r="EA85" s="357">
        <v>0</v>
      </c>
      <c r="EB85" s="357">
        <v>559376</v>
      </c>
      <c r="EC85" s="357">
        <v>100000</v>
      </c>
      <c r="ED85" s="357">
        <v>0</v>
      </c>
      <c r="EE85" s="357">
        <v>0</v>
      </c>
      <c r="EF85" s="357">
        <v>100000</v>
      </c>
      <c r="EG85" s="357">
        <v>90000</v>
      </c>
      <c r="EH85" s="357">
        <v>0</v>
      </c>
      <c r="EI85" s="357">
        <v>0</v>
      </c>
      <c r="EJ85" s="357">
        <v>90000</v>
      </c>
      <c r="EK85" s="357">
        <v>582447</v>
      </c>
      <c r="EL85" s="357">
        <v>0</v>
      </c>
      <c r="EM85" s="357">
        <v>0</v>
      </c>
      <c r="EN85" s="357">
        <v>582447</v>
      </c>
      <c r="EO85" s="357">
        <v>772447</v>
      </c>
      <c r="EP85" s="357">
        <v>0</v>
      </c>
      <c r="EQ85" s="357">
        <v>0</v>
      </c>
      <c r="ER85" s="357">
        <v>0</v>
      </c>
      <c r="ES85" s="357">
        <v>0</v>
      </c>
      <c r="ET85" s="357">
        <v>0</v>
      </c>
      <c r="EU85" s="357">
        <v>772447</v>
      </c>
      <c r="EV85" s="357">
        <v>0</v>
      </c>
      <c r="EW85" s="357">
        <v>0</v>
      </c>
      <c r="EX85" s="357">
        <v>772447</v>
      </c>
      <c r="EY85" s="357">
        <v>34054052.1</v>
      </c>
      <c r="EZ85" s="357">
        <v>0</v>
      </c>
      <c r="FA85" s="357">
        <v>225893</v>
      </c>
      <c r="FB85" s="357">
        <v>34279945.1</v>
      </c>
      <c r="FC85" s="277">
        <v>0</v>
      </c>
      <c r="FD85" s="205"/>
    </row>
    <row r="86" spans="1:160" ht="12.75">
      <c r="A86" s="169">
        <v>79</v>
      </c>
      <c r="B86" s="172" t="s">
        <v>65</v>
      </c>
      <c r="C86" s="258" t="s">
        <v>66</v>
      </c>
      <c r="D86" s="235">
        <v>41639</v>
      </c>
      <c r="E86" s="357">
        <v>241194126</v>
      </c>
      <c r="F86" s="357">
        <v>0</v>
      </c>
      <c r="G86" s="357">
        <v>0</v>
      </c>
      <c r="H86" s="357">
        <v>241194126</v>
      </c>
      <c r="I86" s="357">
        <v>113602433</v>
      </c>
      <c r="J86" s="357">
        <v>0</v>
      </c>
      <c r="K86" s="357">
        <v>0</v>
      </c>
      <c r="L86" s="357">
        <v>915800</v>
      </c>
      <c r="M86" s="357">
        <v>0</v>
      </c>
      <c r="N86" s="357">
        <v>0</v>
      </c>
      <c r="O86" s="357">
        <v>114518233</v>
      </c>
      <c r="P86" s="357">
        <v>0</v>
      </c>
      <c r="Q86" s="357">
        <v>0</v>
      </c>
      <c r="R86" s="357">
        <v>114518233</v>
      </c>
      <c r="S86" s="357">
        <v>69632</v>
      </c>
      <c r="T86" s="357">
        <v>0</v>
      </c>
      <c r="U86" s="357">
        <v>0</v>
      </c>
      <c r="V86" s="357">
        <v>69632</v>
      </c>
      <c r="W86" s="357">
        <v>69282</v>
      </c>
      <c r="X86" s="357">
        <v>0</v>
      </c>
      <c r="Y86" s="357">
        <v>0</v>
      </c>
      <c r="Z86" s="357">
        <v>69282</v>
      </c>
      <c r="AA86" s="357">
        <v>350</v>
      </c>
      <c r="AB86" s="357">
        <v>0</v>
      </c>
      <c r="AC86" s="357">
        <v>0</v>
      </c>
      <c r="AD86" s="357">
        <v>0</v>
      </c>
      <c r="AE86" s="357">
        <v>0</v>
      </c>
      <c r="AF86" s="357">
        <v>0</v>
      </c>
      <c r="AG86" s="357">
        <v>350</v>
      </c>
      <c r="AH86" s="357">
        <v>0</v>
      </c>
      <c r="AI86" s="357">
        <v>0</v>
      </c>
      <c r="AJ86" s="357">
        <v>350</v>
      </c>
      <c r="AK86" s="357">
        <v>350</v>
      </c>
      <c r="AL86" s="357">
        <v>0</v>
      </c>
      <c r="AM86" s="357">
        <v>0</v>
      </c>
      <c r="AN86" s="357">
        <v>350</v>
      </c>
      <c r="AO86" s="357">
        <v>6210576</v>
      </c>
      <c r="AP86" s="357">
        <v>0</v>
      </c>
      <c r="AQ86" s="357">
        <v>0</v>
      </c>
      <c r="AR86" s="357">
        <v>6210576</v>
      </c>
      <c r="AS86" s="357">
        <v>50000</v>
      </c>
      <c r="AT86" s="357">
        <v>0</v>
      </c>
      <c r="AU86" s="357">
        <v>0</v>
      </c>
      <c r="AV86" s="357">
        <v>50000</v>
      </c>
      <c r="AW86" s="357">
        <v>2238823</v>
      </c>
      <c r="AX86" s="357">
        <v>0</v>
      </c>
      <c r="AY86" s="357">
        <v>0</v>
      </c>
      <c r="AZ86" s="357">
        <v>2238823</v>
      </c>
      <c r="BA86" s="357">
        <v>3971753</v>
      </c>
      <c r="BB86" s="357">
        <v>0</v>
      </c>
      <c r="BC86" s="357">
        <v>0</v>
      </c>
      <c r="BD86" s="357">
        <v>3971753</v>
      </c>
      <c r="BE86" s="357">
        <v>4492944</v>
      </c>
      <c r="BF86" s="357">
        <v>0</v>
      </c>
      <c r="BG86" s="357">
        <v>0</v>
      </c>
      <c r="BH86" s="357">
        <v>4492944</v>
      </c>
      <c r="BI86" s="357">
        <v>28438</v>
      </c>
      <c r="BJ86" s="357">
        <v>0</v>
      </c>
      <c r="BK86" s="357">
        <v>0</v>
      </c>
      <c r="BL86" s="357">
        <v>28438</v>
      </c>
      <c r="BM86" s="357">
        <v>0</v>
      </c>
      <c r="BN86" s="357">
        <v>0</v>
      </c>
      <c r="BO86" s="357">
        <v>0</v>
      </c>
      <c r="BP86" s="357">
        <v>0</v>
      </c>
      <c r="BQ86" s="357">
        <v>8493135</v>
      </c>
      <c r="BR86" s="357">
        <v>0</v>
      </c>
      <c r="BS86" s="357">
        <v>0</v>
      </c>
      <c r="BT86" s="357">
        <v>100000</v>
      </c>
      <c r="BU86" s="357">
        <v>0</v>
      </c>
      <c r="BV86" s="357">
        <v>0</v>
      </c>
      <c r="BW86" s="357">
        <v>8593135</v>
      </c>
      <c r="BX86" s="357">
        <v>0</v>
      </c>
      <c r="BY86" s="357">
        <v>0</v>
      </c>
      <c r="BZ86" s="357">
        <v>8593135</v>
      </c>
      <c r="CA86" s="357">
        <v>100000</v>
      </c>
      <c r="CB86" s="357">
        <v>0</v>
      </c>
      <c r="CC86" s="357">
        <v>0</v>
      </c>
      <c r="CD86" s="357">
        <v>100000</v>
      </c>
      <c r="CE86" s="357">
        <v>5425430</v>
      </c>
      <c r="CF86" s="357">
        <v>0</v>
      </c>
      <c r="CG86" s="357">
        <v>0</v>
      </c>
      <c r="CH86" s="357">
        <v>5425430</v>
      </c>
      <c r="CI86" s="357">
        <v>5525430</v>
      </c>
      <c r="CJ86" s="357">
        <v>0</v>
      </c>
      <c r="CK86" s="357">
        <v>0</v>
      </c>
      <c r="CL86" s="357">
        <v>356000</v>
      </c>
      <c r="CM86" s="357">
        <v>0</v>
      </c>
      <c r="CN86" s="357">
        <v>0</v>
      </c>
      <c r="CO86" s="357">
        <v>5881430</v>
      </c>
      <c r="CP86" s="357">
        <v>0</v>
      </c>
      <c r="CQ86" s="357">
        <v>0</v>
      </c>
      <c r="CR86" s="357">
        <v>5881430</v>
      </c>
      <c r="CS86" s="357">
        <v>447450</v>
      </c>
      <c r="CT86" s="357">
        <v>0</v>
      </c>
      <c r="CU86" s="357">
        <v>0</v>
      </c>
      <c r="CV86" s="357">
        <v>447450</v>
      </c>
      <c r="CW86" s="357">
        <v>66980</v>
      </c>
      <c r="CX86" s="357">
        <v>0</v>
      </c>
      <c r="CY86" s="357">
        <v>0</v>
      </c>
      <c r="CZ86" s="357">
        <v>66980</v>
      </c>
      <c r="DA86" s="357">
        <v>7110</v>
      </c>
      <c r="DB86" s="357">
        <v>0</v>
      </c>
      <c r="DC86" s="357">
        <v>0</v>
      </c>
      <c r="DD86" s="357">
        <v>7110</v>
      </c>
      <c r="DE86" s="357">
        <v>0</v>
      </c>
      <c r="DF86" s="357">
        <v>0</v>
      </c>
      <c r="DG86" s="357">
        <v>0</v>
      </c>
      <c r="DH86" s="357">
        <v>0</v>
      </c>
      <c r="DI86" s="357">
        <v>0</v>
      </c>
      <c r="DJ86" s="357">
        <v>0</v>
      </c>
      <c r="DK86" s="357">
        <v>0</v>
      </c>
      <c r="DL86" s="357">
        <v>0</v>
      </c>
      <c r="DM86" s="357">
        <v>63000</v>
      </c>
      <c r="DN86" s="357">
        <v>0</v>
      </c>
      <c r="DO86" s="357">
        <v>0</v>
      </c>
      <c r="DP86" s="357">
        <v>63000</v>
      </c>
      <c r="DQ86" s="357">
        <v>584540</v>
      </c>
      <c r="DR86" s="357">
        <v>0</v>
      </c>
      <c r="DS86" s="357">
        <v>0</v>
      </c>
      <c r="DT86" s="357">
        <v>0</v>
      </c>
      <c r="DU86" s="357">
        <v>0</v>
      </c>
      <c r="DV86" s="357">
        <v>0</v>
      </c>
      <c r="DW86" s="357">
        <v>584540</v>
      </c>
      <c r="DX86" s="357">
        <v>0</v>
      </c>
      <c r="DY86" s="357">
        <v>0</v>
      </c>
      <c r="DZ86" s="357">
        <v>584540</v>
      </c>
      <c r="EA86" s="357">
        <v>0</v>
      </c>
      <c r="EB86" s="357">
        <v>0</v>
      </c>
      <c r="EC86" s="357">
        <v>100000</v>
      </c>
      <c r="ED86" s="357">
        <v>0</v>
      </c>
      <c r="EE86" s="357">
        <v>0</v>
      </c>
      <c r="EF86" s="357">
        <v>100000</v>
      </c>
      <c r="EG86" s="357">
        <v>250000</v>
      </c>
      <c r="EH86" s="357">
        <v>0</v>
      </c>
      <c r="EI86" s="357">
        <v>0</v>
      </c>
      <c r="EJ86" s="357">
        <v>250000</v>
      </c>
      <c r="EK86" s="357">
        <v>1000000</v>
      </c>
      <c r="EL86" s="357">
        <v>0</v>
      </c>
      <c r="EM86" s="357">
        <v>0</v>
      </c>
      <c r="EN86" s="357">
        <v>1000000</v>
      </c>
      <c r="EO86" s="357">
        <v>1350000</v>
      </c>
      <c r="EP86" s="357">
        <v>0</v>
      </c>
      <c r="EQ86" s="357">
        <v>0</v>
      </c>
      <c r="ER86" s="357">
        <v>0</v>
      </c>
      <c r="ES86" s="357">
        <v>0</v>
      </c>
      <c r="ET86" s="357">
        <v>0</v>
      </c>
      <c r="EU86" s="357">
        <v>1350000</v>
      </c>
      <c r="EV86" s="357">
        <v>0</v>
      </c>
      <c r="EW86" s="357">
        <v>0</v>
      </c>
      <c r="EX86" s="357">
        <v>1350000</v>
      </c>
      <c r="EY86" s="357">
        <v>98108778</v>
      </c>
      <c r="EZ86" s="357">
        <v>0</v>
      </c>
      <c r="FA86" s="357">
        <v>0</v>
      </c>
      <c r="FB86" s="357">
        <v>98108778</v>
      </c>
      <c r="FC86" s="277">
        <v>0</v>
      </c>
      <c r="FD86" s="205"/>
    </row>
    <row r="87" spans="1:160" ht="12.75">
      <c r="A87" s="169">
        <v>80</v>
      </c>
      <c r="B87" s="172" t="s">
        <v>67</v>
      </c>
      <c r="C87" s="258" t="s">
        <v>68</v>
      </c>
      <c r="D87" s="235">
        <v>41639</v>
      </c>
      <c r="E87" s="357">
        <v>298694878</v>
      </c>
      <c r="F87" s="357">
        <v>0</v>
      </c>
      <c r="G87" s="357">
        <v>0</v>
      </c>
      <c r="H87" s="357">
        <v>298694878</v>
      </c>
      <c r="I87" s="357">
        <v>140685288</v>
      </c>
      <c r="J87" s="357">
        <v>0</v>
      </c>
      <c r="K87" s="357">
        <v>0</v>
      </c>
      <c r="L87" s="357">
        <v>-386145</v>
      </c>
      <c r="M87" s="357">
        <v>0</v>
      </c>
      <c r="N87" s="357">
        <v>0</v>
      </c>
      <c r="O87" s="357">
        <v>140299143</v>
      </c>
      <c r="P87" s="357">
        <v>0</v>
      </c>
      <c r="Q87" s="357">
        <v>0</v>
      </c>
      <c r="R87" s="357">
        <v>140299143</v>
      </c>
      <c r="S87" s="357">
        <v>223154</v>
      </c>
      <c r="T87" s="357">
        <v>0</v>
      </c>
      <c r="U87" s="357">
        <v>0</v>
      </c>
      <c r="V87" s="357">
        <v>223154</v>
      </c>
      <c r="W87" s="357">
        <v>46973</v>
      </c>
      <c r="X87" s="357">
        <v>0</v>
      </c>
      <c r="Y87" s="357">
        <v>0</v>
      </c>
      <c r="Z87" s="357">
        <v>46973</v>
      </c>
      <c r="AA87" s="357">
        <v>176181</v>
      </c>
      <c r="AB87" s="357">
        <v>0</v>
      </c>
      <c r="AC87" s="357">
        <v>0</v>
      </c>
      <c r="AD87" s="357">
        <v>0</v>
      </c>
      <c r="AE87" s="357">
        <v>0</v>
      </c>
      <c r="AF87" s="357">
        <v>0</v>
      </c>
      <c r="AG87" s="357">
        <v>176181</v>
      </c>
      <c r="AH87" s="357">
        <v>0</v>
      </c>
      <c r="AI87" s="357">
        <v>0</v>
      </c>
      <c r="AJ87" s="357">
        <v>176181</v>
      </c>
      <c r="AK87" s="357">
        <v>176181</v>
      </c>
      <c r="AL87" s="357">
        <v>0</v>
      </c>
      <c r="AM87" s="357">
        <v>0</v>
      </c>
      <c r="AN87" s="357">
        <v>176181</v>
      </c>
      <c r="AO87" s="357">
        <v>9080409</v>
      </c>
      <c r="AP87" s="357">
        <v>0</v>
      </c>
      <c r="AQ87" s="357">
        <v>0</v>
      </c>
      <c r="AR87" s="357">
        <v>9080409</v>
      </c>
      <c r="AS87" s="357">
        <v>10000</v>
      </c>
      <c r="AT87" s="357">
        <v>0</v>
      </c>
      <c r="AU87" s="357">
        <v>0</v>
      </c>
      <c r="AV87" s="357">
        <v>10000</v>
      </c>
      <c r="AW87" s="357">
        <v>2730511</v>
      </c>
      <c r="AX87" s="357">
        <v>0</v>
      </c>
      <c r="AY87" s="357">
        <v>0</v>
      </c>
      <c r="AZ87" s="357">
        <v>2730511</v>
      </c>
      <c r="BA87" s="357">
        <v>6349898</v>
      </c>
      <c r="BB87" s="357">
        <v>0</v>
      </c>
      <c r="BC87" s="357">
        <v>0</v>
      </c>
      <c r="BD87" s="357">
        <v>6349898</v>
      </c>
      <c r="BE87" s="357">
        <v>9398595</v>
      </c>
      <c r="BF87" s="357">
        <v>0</v>
      </c>
      <c r="BG87" s="357">
        <v>0</v>
      </c>
      <c r="BH87" s="357">
        <v>9398595</v>
      </c>
      <c r="BI87" s="357">
        <v>208606</v>
      </c>
      <c r="BJ87" s="357">
        <v>0</v>
      </c>
      <c r="BK87" s="357">
        <v>0</v>
      </c>
      <c r="BL87" s="357">
        <v>208606</v>
      </c>
      <c r="BM87" s="357">
        <v>89803</v>
      </c>
      <c r="BN87" s="357">
        <v>0</v>
      </c>
      <c r="BO87" s="357">
        <v>0</v>
      </c>
      <c r="BP87" s="357">
        <v>89803</v>
      </c>
      <c r="BQ87" s="357">
        <v>16046902</v>
      </c>
      <c r="BR87" s="357">
        <v>0</v>
      </c>
      <c r="BS87" s="357">
        <v>0</v>
      </c>
      <c r="BT87" s="357">
        <v>491076</v>
      </c>
      <c r="BU87" s="357">
        <v>0</v>
      </c>
      <c r="BV87" s="357">
        <v>0</v>
      </c>
      <c r="BW87" s="357">
        <v>16537978</v>
      </c>
      <c r="BX87" s="357">
        <v>0</v>
      </c>
      <c r="BY87" s="357">
        <v>0</v>
      </c>
      <c r="BZ87" s="357">
        <v>16537978</v>
      </c>
      <c r="CA87" s="357">
        <v>0</v>
      </c>
      <c r="CB87" s="357">
        <v>0</v>
      </c>
      <c r="CC87" s="357">
        <v>0</v>
      </c>
      <c r="CD87" s="357">
        <v>0</v>
      </c>
      <c r="CE87" s="357">
        <v>3443045</v>
      </c>
      <c r="CF87" s="357">
        <v>0</v>
      </c>
      <c r="CG87" s="357">
        <v>0</v>
      </c>
      <c r="CH87" s="357">
        <v>3443045</v>
      </c>
      <c r="CI87" s="357">
        <v>3443045</v>
      </c>
      <c r="CJ87" s="357">
        <v>0</v>
      </c>
      <c r="CK87" s="357">
        <v>0</v>
      </c>
      <c r="CL87" s="357">
        <v>2074315</v>
      </c>
      <c r="CM87" s="357">
        <v>0</v>
      </c>
      <c r="CN87" s="357">
        <v>0</v>
      </c>
      <c r="CO87" s="357">
        <v>5517360</v>
      </c>
      <c r="CP87" s="357">
        <v>0</v>
      </c>
      <c r="CQ87" s="357">
        <v>0</v>
      </c>
      <c r="CR87" s="357">
        <v>5517360</v>
      </c>
      <c r="CS87" s="357">
        <v>432844</v>
      </c>
      <c r="CT87" s="357">
        <v>0</v>
      </c>
      <c r="CU87" s="357">
        <v>0</v>
      </c>
      <c r="CV87" s="357">
        <v>432844</v>
      </c>
      <c r="CW87" s="357">
        <v>51218</v>
      </c>
      <c r="CX87" s="357">
        <v>0</v>
      </c>
      <c r="CY87" s="357">
        <v>0</v>
      </c>
      <c r="CZ87" s="357">
        <v>51218</v>
      </c>
      <c r="DA87" s="357">
        <v>0</v>
      </c>
      <c r="DB87" s="357">
        <v>0</v>
      </c>
      <c r="DC87" s="357">
        <v>0</v>
      </c>
      <c r="DD87" s="357">
        <v>0</v>
      </c>
      <c r="DE87" s="357">
        <v>20195</v>
      </c>
      <c r="DF87" s="357">
        <v>0</v>
      </c>
      <c r="DG87" s="357">
        <v>0</v>
      </c>
      <c r="DH87" s="357">
        <v>20195</v>
      </c>
      <c r="DI87" s="357">
        <v>4266</v>
      </c>
      <c r="DJ87" s="357">
        <v>0</v>
      </c>
      <c r="DK87" s="357">
        <v>0</v>
      </c>
      <c r="DL87" s="357">
        <v>4266</v>
      </c>
      <c r="DM87" s="357">
        <v>0</v>
      </c>
      <c r="DN87" s="357">
        <v>0</v>
      </c>
      <c r="DO87" s="357">
        <v>0</v>
      </c>
      <c r="DP87" s="357">
        <v>0</v>
      </c>
      <c r="DQ87" s="357">
        <v>508523</v>
      </c>
      <c r="DR87" s="357">
        <v>0</v>
      </c>
      <c r="DS87" s="357">
        <v>0</v>
      </c>
      <c r="DT87" s="357">
        <v>125521</v>
      </c>
      <c r="DU87" s="357">
        <v>0</v>
      </c>
      <c r="DV87" s="357">
        <v>0</v>
      </c>
      <c r="DW87" s="357">
        <v>634044</v>
      </c>
      <c r="DX87" s="357">
        <v>0</v>
      </c>
      <c r="DY87" s="357">
        <v>0</v>
      </c>
      <c r="DZ87" s="357">
        <v>634044</v>
      </c>
      <c r="EA87" s="357">
        <v>0</v>
      </c>
      <c r="EB87" s="357">
        <v>0</v>
      </c>
      <c r="EC87" s="357">
        <v>197887</v>
      </c>
      <c r="ED87" s="357">
        <v>0</v>
      </c>
      <c r="EE87" s="357">
        <v>0</v>
      </c>
      <c r="EF87" s="357">
        <v>197887</v>
      </c>
      <c r="EG87" s="357">
        <v>1131759</v>
      </c>
      <c r="EH87" s="357">
        <v>0</v>
      </c>
      <c r="EI87" s="357">
        <v>0</v>
      </c>
      <c r="EJ87" s="357">
        <v>1131759</v>
      </c>
      <c r="EK87" s="357">
        <v>2077507</v>
      </c>
      <c r="EL87" s="357">
        <v>0</v>
      </c>
      <c r="EM87" s="357">
        <v>0</v>
      </c>
      <c r="EN87" s="357">
        <v>2077507</v>
      </c>
      <c r="EO87" s="357">
        <v>3407153</v>
      </c>
      <c r="EP87" s="357">
        <v>0</v>
      </c>
      <c r="EQ87" s="357">
        <v>0</v>
      </c>
      <c r="ER87" s="357">
        <v>0</v>
      </c>
      <c r="ES87" s="357">
        <v>0</v>
      </c>
      <c r="ET87" s="357">
        <v>0</v>
      </c>
      <c r="EU87" s="357">
        <v>3407153</v>
      </c>
      <c r="EV87" s="357">
        <v>0</v>
      </c>
      <c r="EW87" s="357">
        <v>0</v>
      </c>
      <c r="EX87" s="357">
        <v>3407153</v>
      </c>
      <c r="EY87" s="357">
        <v>114026427</v>
      </c>
      <c r="EZ87" s="357">
        <v>0</v>
      </c>
      <c r="FA87" s="357">
        <v>0</v>
      </c>
      <c r="FB87" s="357">
        <v>114026427</v>
      </c>
      <c r="FC87" s="277">
        <v>0</v>
      </c>
      <c r="FD87" s="205"/>
    </row>
    <row r="88" spans="1:160" ht="12.75">
      <c r="A88" s="169">
        <v>81</v>
      </c>
      <c r="B88" s="172" t="s">
        <v>69</v>
      </c>
      <c r="C88" s="258" t="s">
        <v>70</v>
      </c>
      <c r="D88" s="235">
        <v>41639</v>
      </c>
      <c r="E88" s="357">
        <v>352280406</v>
      </c>
      <c r="F88" s="357">
        <v>0</v>
      </c>
      <c r="G88" s="357">
        <v>0</v>
      </c>
      <c r="H88" s="357">
        <v>352280406</v>
      </c>
      <c r="I88" s="357">
        <v>165924071</v>
      </c>
      <c r="J88" s="357">
        <v>0</v>
      </c>
      <c r="K88" s="357">
        <v>0</v>
      </c>
      <c r="L88" s="357">
        <v>-11030070</v>
      </c>
      <c r="M88" s="357">
        <v>0</v>
      </c>
      <c r="N88" s="357">
        <v>0</v>
      </c>
      <c r="O88" s="357">
        <v>154894001</v>
      </c>
      <c r="P88" s="357">
        <v>0</v>
      </c>
      <c r="Q88" s="357">
        <v>0</v>
      </c>
      <c r="R88" s="357">
        <v>154894001</v>
      </c>
      <c r="S88" s="357">
        <v>194802</v>
      </c>
      <c r="T88" s="357">
        <v>0</v>
      </c>
      <c r="U88" s="357">
        <v>0</v>
      </c>
      <c r="V88" s="357">
        <v>194802</v>
      </c>
      <c r="W88" s="357">
        <v>76532</v>
      </c>
      <c r="X88" s="357">
        <v>0</v>
      </c>
      <c r="Y88" s="357">
        <v>0</v>
      </c>
      <c r="Z88" s="357">
        <v>76532</v>
      </c>
      <c r="AA88" s="357">
        <v>118270</v>
      </c>
      <c r="AB88" s="357">
        <v>0</v>
      </c>
      <c r="AC88" s="357">
        <v>0</v>
      </c>
      <c r="AD88" s="357">
        <v>-5000</v>
      </c>
      <c r="AE88" s="357">
        <v>0</v>
      </c>
      <c r="AF88" s="357">
        <v>0</v>
      </c>
      <c r="AG88" s="357">
        <v>113270</v>
      </c>
      <c r="AH88" s="357">
        <v>0</v>
      </c>
      <c r="AI88" s="357">
        <v>0</v>
      </c>
      <c r="AJ88" s="357">
        <v>113270</v>
      </c>
      <c r="AK88" s="357">
        <v>113270</v>
      </c>
      <c r="AL88" s="357">
        <v>0</v>
      </c>
      <c r="AM88" s="357">
        <v>0</v>
      </c>
      <c r="AN88" s="357">
        <v>113270</v>
      </c>
      <c r="AO88" s="357">
        <v>4138660</v>
      </c>
      <c r="AP88" s="357">
        <v>0</v>
      </c>
      <c r="AQ88" s="357">
        <v>0</v>
      </c>
      <c r="AR88" s="357">
        <v>4138660</v>
      </c>
      <c r="AS88" s="357">
        <v>100000</v>
      </c>
      <c r="AT88" s="357">
        <v>0</v>
      </c>
      <c r="AU88" s="357">
        <v>0</v>
      </c>
      <c r="AV88" s="357">
        <v>100000</v>
      </c>
      <c r="AW88" s="357">
        <v>2377152</v>
      </c>
      <c r="AX88" s="357">
        <v>0</v>
      </c>
      <c r="AY88" s="357">
        <v>0</v>
      </c>
      <c r="AZ88" s="357">
        <v>2377152</v>
      </c>
      <c r="BA88" s="357">
        <v>1761508</v>
      </c>
      <c r="BB88" s="357">
        <v>0</v>
      </c>
      <c r="BC88" s="357">
        <v>0</v>
      </c>
      <c r="BD88" s="357">
        <v>1761508</v>
      </c>
      <c r="BE88" s="357">
        <v>7554377</v>
      </c>
      <c r="BF88" s="357">
        <v>0</v>
      </c>
      <c r="BG88" s="357">
        <v>0</v>
      </c>
      <c r="BH88" s="357">
        <v>7554377</v>
      </c>
      <c r="BI88" s="357">
        <v>75537</v>
      </c>
      <c r="BJ88" s="357">
        <v>0</v>
      </c>
      <c r="BK88" s="357">
        <v>0</v>
      </c>
      <c r="BL88" s="357">
        <v>75537</v>
      </c>
      <c r="BM88" s="357">
        <v>0</v>
      </c>
      <c r="BN88" s="357">
        <v>0</v>
      </c>
      <c r="BO88" s="357">
        <v>0</v>
      </c>
      <c r="BP88" s="357">
        <v>0</v>
      </c>
      <c r="BQ88" s="357">
        <v>9391422</v>
      </c>
      <c r="BR88" s="357">
        <v>0</v>
      </c>
      <c r="BS88" s="357">
        <v>0</v>
      </c>
      <c r="BT88" s="357">
        <v>0</v>
      </c>
      <c r="BU88" s="357">
        <v>0</v>
      </c>
      <c r="BV88" s="357">
        <v>0</v>
      </c>
      <c r="BW88" s="357">
        <v>9391422</v>
      </c>
      <c r="BX88" s="357">
        <v>0</v>
      </c>
      <c r="BY88" s="357">
        <v>0</v>
      </c>
      <c r="BZ88" s="357">
        <v>9391422</v>
      </c>
      <c r="CA88" s="357">
        <v>500000</v>
      </c>
      <c r="CB88" s="357">
        <v>0</v>
      </c>
      <c r="CC88" s="357">
        <v>0</v>
      </c>
      <c r="CD88" s="357">
        <v>500000</v>
      </c>
      <c r="CE88" s="357">
        <v>6436360</v>
      </c>
      <c r="CF88" s="357">
        <v>0</v>
      </c>
      <c r="CG88" s="357">
        <v>0</v>
      </c>
      <c r="CH88" s="357">
        <v>6436360</v>
      </c>
      <c r="CI88" s="357">
        <v>6936360</v>
      </c>
      <c r="CJ88" s="357">
        <v>0</v>
      </c>
      <c r="CK88" s="357">
        <v>0</v>
      </c>
      <c r="CL88" s="357">
        <v>0</v>
      </c>
      <c r="CM88" s="357">
        <v>0</v>
      </c>
      <c r="CN88" s="357">
        <v>0</v>
      </c>
      <c r="CO88" s="357">
        <v>6936360</v>
      </c>
      <c r="CP88" s="357">
        <v>0</v>
      </c>
      <c r="CQ88" s="357">
        <v>0</v>
      </c>
      <c r="CR88" s="357">
        <v>6936360</v>
      </c>
      <c r="CS88" s="357">
        <v>76557</v>
      </c>
      <c r="CT88" s="357">
        <v>0</v>
      </c>
      <c r="CU88" s="357">
        <v>0</v>
      </c>
      <c r="CV88" s="357">
        <v>76557</v>
      </c>
      <c r="CW88" s="357">
        <v>292607</v>
      </c>
      <c r="CX88" s="357">
        <v>0</v>
      </c>
      <c r="CY88" s="357">
        <v>0</v>
      </c>
      <c r="CZ88" s="357">
        <v>292607</v>
      </c>
      <c r="DA88" s="357">
        <v>0</v>
      </c>
      <c r="DB88" s="357">
        <v>0</v>
      </c>
      <c r="DC88" s="357">
        <v>0</v>
      </c>
      <c r="DD88" s="357">
        <v>0</v>
      </c>
      <c r="DE88" s="357">
        <v>0</v>
      </c>
      <c r="DF88" s="357">
        <v>0</v>
      </c>
      <c r="DG88" s="357">
        <v>0</v>
      </c>
      <c r="DH88" s="357">
        <v>0</v>
      </c>
      <c r="DI88" s="357">
        <v>0</v>
      </c>
      <c r="DJ88" s="357">
        <v>0</v>
      </c>
      <c r="DK88" s="357">
        <v>0</v>
      </c>
      <c r="DL88" s="357">
        <v>0</v>
      </c>
      <c r="DM88" s="357">
        <v>20000</v>
      </c>
      <c r="DN88" s="357">
        <v>0</v>
      </c>
      <c r="DO88" s="357">
        <v>0</v>
      </c>
      <c r="DP88" s="357">
        <v>20000</v>
      </c>
      <c r="DQ88" s="357">
        <v>389164</v>
      </c>
      <c r="DR88" s="357">
        <v>0</v>
      </c>
      <c r="DS88" s="357">
        <v>0</v>
      </c>
      <c r="DT88" s="357">
        <v>0</v>
      </c>
      <c r="DU88" s="357">
        <v>0</v>
      </c>
      <c r="DV88" s="357">
        <v>0</v>
      </c>
      <c r="DW88" s="357">
        <v>389164</v>
      </c>
      <c r="DX88" s="357">
        <v>0</v>
      </c>
      <c r="DY88" s="357">
        <v>0</v>
      </c>
      <c r="DZ88" s="357">
        <v>389164</v>
      </c>
      <c r="EA88" s="357">
        <v>0</v>
      </c>
      <c r="EB88" s="357">
        <v>0</v>
      </c>
      <c r="EC88" s="357">
        <v>4710000</v>
      </c>
      <c r="ED88" s="357">
        <v>0</v>
      </c>
      <c r="EE88" s="357">
        <v>0</v>
      </c>
      <c r="EF88" s="357">
        <v>4710000</v>
      </c>
      <c r="EG88" s="357">
        <v>2524063</v>
      </c>
      <c r="EH88" s="357">
        <v>0</v>
      </c>
      <c r="EI88" s="357">
        <v>0</v>
      </c>
      <c r="EJ88" s="357">
        <v>2524063</v>
      </c>
      <c r="EK88" s="357">
        <v>2441600</v>
      </c>
      <c r="EL88" s="357">
        <v>0</v>
      </c>
      <c r="EM88" s="357">
        <v>0</v>
      </c>
      <c r="EN88" s="357">
        <v>2441600</v>
      </c>
      <c r="EO88" s="357">
        <v>9675663</v>
      </c>
      <c r="EP88" s="357">
        <v>0</v>
      </c>
      <c r="EQ88" s="357">
        <v>0</v>
      </c>
      <c r="ER88" s="357">
        <v>0</v>
      </c>
      <c r="ES88" s="357">
        <v>0</v>
      </c>
      <c r="ET88" s="357">
        <v>0</v>
      </c>
      <c r="EU88" s="357">
        <v>9675663</v>
      </c>
      <c r="EV88" s="357">
        <v>0</v>
      </c>
      <c r="EW88" s="357">
        <v>0</v>
      </c>
      <c r="EX88" s="357">
        <v>9675663</v>
      </c>
      <c r="EY88" s="357">
        <v>128388122</v>
      </c>
      <c r="EZ88" s="357">
        <v>0</v>
      </c>
      <c r="FA88" s="357">
        <v>0</v>
      </c>
      <c r="FB88" s="357">
        <v>128388122</v>
      </c>
      <c r="FC88" s="277">
        <v>0</v>
      </c>
      <c r="FD88" s="205"/>
    </row>
    <row r="89" spans="1:160" ht="12.75">
      <c r="A89" s="169">
        <v>82</v>
      </c>
      <c r="B89" s="172" t="s">
        <v>71</v>
      </c>
      <c r="C89" s="258" t="s">
        <v>72</v>
      </c>
      <c r="D89" s="235">
        <v>41639</v>
      </c>
      <c r="E89" s="357">
        <v>45723002</v>
      </c>
      <c r="F89" s="357">
        <v>0</v>
      </c>
      <c r="G89" s="357">
        <v>0</v>
      </c>
      <c r="H89" s="357">
        <v>45723002</v>
      </c>
      <c r="I89" s="357">
        <v>21535534</v>
      </c>
      <c r="J89" s="357">
        <v>0</v>
      </c>
      <c r="K89" s="357">
        <v>0</v>
      </c>
      <c r="L89" s="357">
        <v>100000</v>
      </c>
      <c r="M89" s="357">
        <v>0</v>
      </c>
      <c r="N89" s="357">
        <v>0</v>
      </c>
      <c r="O89" s="357">
        <v>21635534</v>
      </c>
      <c r="P89" s="357">
        <v>0</v>
      </c>
      <c r="Q89" s="357">
        <v>0</v>
      </c>
      <c r="R89" s="357">
        <v>21635534</v>
      </c>
      <c r="S89" s="357">
        <v>34215</v>
      </c>
      <c r="T89" s="357">
        <v>0</v>
      </c>
      <c r="U89" s="357">
        <v>0</v>
      </c>
      <c r="V89" s="357">
        <v>34215</v>
      </c>
      <c r="W89" s="357">
        <v>14262</v>
      </c>
      <c r="X89" s="357">
        <v>0</v>
      </c>
      <c r="Y89" s="357">
        <v>0</v>
      </c>
      <c r="Z89" s="357">
        <v>14262</v>
      </c>
      <c r="AA89" s="357">
        <v>19953</v>
      </c>
      <c r="AB89" s="357">
        <v>0</v>
      </c>
      <c r="AC89" s="357">
        <v>0</v>
      </c>
      <c r="AD89" s="357">
        <v>0</v>
      </c>
      <c r="AE89" s="357">
        <v>0</v>
      </c>
      <c r="AF89" s="357">
        <v>0</v>
      </c>
      <c r="AG89" s="357">
        <v>19953</v>
      </c>
      <c r="AH89" s="357">
        <v>0</v>
      </c>
      <c r="AI89" s="357">
        <v>0</v>
      </c>
      <c r="AJ89" s="357">
        <v>19953</v>
      </c>
      <c r="AK89" s="357">
        <v>19953</v>
      </c>
      <c r="AL89" s="357">
        <v>0</v>
      </c>
      <c r="AM89" s="357">
        <v>0</v>
      </c>
      <c r="AN89" s="357">
        <v>19953</v>
      </c>
      <c r="AO89" s="357">
        <v>1507711</v>
      </c>
      <c r="AP89" s="357">
        <v>0</v>
      </c>
      <c r="AQ89" s="357">
        <v>0</v>
      </c>
      <c r="AR89" s="357">
        <v>1507711</v>
      </c>
      <c r="AS89" s="357">
        <v>0</v>
      </c>
      <c r="AT89" s="357">
        <v>0</v>
      </c>
      <c r="AU89" s="357">
        <v>0</v>
      </c>
      <c r="AV89" s="357">
        <v>0</v>
      </c>
      <c r="AW89" s="357">
        <v>400391</v>
      </c>
      <c r="AX89" s="357">
        <v>0</v>
      </c>
      <c r="AY89" s="357">
        <v>0</v>
      </c>
      <c r="AZ89" s="357">
        <v>400391</v>
      </c>
      <c r="BA89" s="357">
        <v>1107320</v>
      </c>
      <c r="BB89" s="357">
        <v>0</v>
      </c>
      <c r="BC89" s="357">
        <v>0</v>
      </c>
      <c r="BD89" s="357">
        <v>1107320</v>
      </c>
      <c r="BE89" s="357">
        <v>1452580</v>
      </c>
      <c r="BF89" s="357">
        <v>0</v>
      </c>
      <c r="BG89" s="357">
        <v>0</v>
      </c>
      <c r="BH89" s="357">
        <v>1452580</v>
      </c>
      <c r="BI89" s="357">
        <v>48721</v>
      </c>
      <c r="BJ89" s="357">
        <v>0</v>
      </c>
      <c r="BK89" s="357">
        <v>0</v>
      </c>
      <c r="BL89" s="357">
        <v>48721</v>
      </c>
      <c r="BM89" s="357">
        <v>35807</v>
      </c>
      <c r="BN89" s="357">
        <v>0</v>
      </c>
      <c r="BO89" s="357">
        <v>0</v>
      </c>
      <c r="BP89" s="357">
        <v>35807</v>
      </c>
      <c r="BQ89" s="357">
        <v>2644428</v>
      </c>
      <c r="BR89" s="357">
        <v>0</v>
      </c>
      <c r="BS89" s="357">
        <v>0</v>
      </c>
      <c r="BT89" s="357">
        <v>0</v>
      </c>
      <c r="BU89" s="357">
        <v>0</v>
      </c>
      <c r="BV89" s="357">
        <v>0</v>
      </c>
      <c r="BW89" s="357">
        <v>2644428</v>
      </c>
      <c r="BX89" s="357">
        <v>0</v>
      </c>
      <c r="BY89" s="357">
        <v>0</v>
      </c>
      <c r="BZ89" s="357">
        <v>2644428</v>
      </c>
      <c r="CA89" s="357">
        <v>6209</v>
      </c>
      <c r="CB89" s="357">
        <v>0</v>
      </c>
      <c r="CC89" s="357">
        <v>0</v>
      </c>
      <c r="CD89" s="357">
        <v>6209</v>
      </c>
      <c r="CE89" s="357">
        <v>591040</v>
      </c>
      <c r="CF89" s="357">
        <v>0</v>
      </c>
      <c r="CG89" s="357">
        <v>0</v>
      </c>
      <c r="CH89" s="357">
        <v>591040</v>
      </c>
      <c r="CI89" s="357">
        <v>597249</v>
      </c>
      <c r="CJ89" s="357">
        <v>0</v>
      </c>
      <c r="CK89" s="357">
        <v>0</v>
      </c>
      <c r="CL89" s="357">
        <v>0</v>
      </c>
      <c r="CM89" s="357">
        <v>0</v>
      </c>
      <c r="CN89" s="357">
        <v>0</v>
      </c>
      <c r="CO89" s="357">
        <v>597249</v>
      </c>
      <c r="CP89" s="357">
        <v>0</v>
      </c>
      <c r="CQ89" s="357">
        <v>0</v>
      </c>
      <c r="CR89" s="357">
        <v>597249</v>
      </c>
      <c r="CS89" s="357">
        <v>44624</v>
      </c>
      <c r="CT89" s="357">
        <v>0</v>
      </c>
      <c r="CU89" s="357">
        <v>0</v>
      </c>
      <c r="CV89" s="357">
        <v>44624</v>
      </c>
      <c r="CW89" s="357">
        <v>14037</v>
      </c>
      <c r="CX89" s="357">
        <v>0</v>
      </c>
      <c r="CY89" s="357">
        <v>0</v>
      </c>
      <c r="CZ89" s="357">
        <v>14037</v>
      </c>
      <c r="DA89" s="357">
        <v>4805</v>
      </c>
      <c r="DB89" s="357">
        <v>0</v>
      </c>
      <c r="DC89" s="357">
        <v>0</v>
      </c>
      <c r="DD89" s="357">
        <v>4805</v>
      </c>
      <c r="DE89" s="357">
        <v>13177</v>
      </c>
      <c r="DF89" s="357">
        <v>0</v>
      </c>
      <c r="DG89" s="357">
        <v>0</v>
      </c>
      <c r="DH89" s="357">
        <v>13177</v>
      </c>
      <c r="DI89" s="357">
        <v>0</v>
      </c>
      <c r="DJ89" s="357">
        <v>0</v>
      </c>
      <c r="DK89" s="357">
        <v>0</v>
      </c>
      <c r="DL89" s="357">
        <v>0</v>
      </c>
      <c r="DM89" s="357">
        <v>13473</v>
      </c>
      <c r="DN89" s="357">
        <v>0</v>
      </c>
      <c r="DO89" s="357">
        <v>0</v>
      </c>
      <c r="DP89" s="357">
        <v>13473</v>
      </c>
      <c r="DQ89" s="357">
        <v>90116</v>
      </c>
      <c r="DR89" s="357">
        <v>0</v>
      </c>
      <c r="DS89" s="357">
        <v>0</v>
      </c>
      <c r="DT89" s="357">
        <v>0</v>
      </c>
      <c r="DU89" s="357">
        <v>0</v>
      </c>
      <c r="DV89" s="357">
        <v>0</v>
      </c>
      <c r="DW89" s="357">
        <v>90116</v>
      </c>
      <c r="DX89" s="357">
        <v>0</v>
      </c>
      <c r="DY89" s="357">
        <v>0</v>
      </c>
      <c r="DZ89" s="357">
        <v>90116</v>
      </c>
      <c r="EA89" s="357">
        <v>0</v>
      </c>
      <c r="EB89" s="357">
        <v>0</v>
      </c>
      <c r="EC89" s="357">
        <v>0</v>
      </c>
      <c r="ED89" s="357">
        <v>0</v>
      </c>
      <c r="EE89" s="357">
        <v>0</v>
      </c>
      <c r="EF89" s="357">
        <v>0</v>
      </c>
      <c r="EG89" s="357">
        <v>20000</v>
      </c>
      <c r="EH89" s="357">
        <v>0</v>
      </c>
      <c r="EI89" s="357">
        <v>0</v>
      </c>
      <c r="EJ89" s="357">
        <v>20000</v>
      </c>
      <c r="EK89" s="357">
        <v>275000</v>
      </c>
      <c r="EL89" s="357">
        <v>0</v>
      </c>
      <c r="EM89" s="357">
        <v>0</v>
      </c>
      <c r="EN89" s="357">
        <v>275000</v>
      </c>
      <c r="EO89" s="357">
        <v>295000</v>
      </c>
      <c r="EP89" s="357">
        <v>0</v>
      </c>
      <c r="EQ89" s="357">
        <v>0</v>
      </c>
      <c r="ER89" s="357">
        <v>0</v>
      </c>
      <c r="ES89" s="357">
        <v>0</v>
      </c>
      <c r="ET89" s="357">
        <v>0</v>
      </c>
      <c r="EU89" s="357">
        <v>295000</v>
      </c>
      <c r="EV89" s="357">
        <v>0</v>
      </c>
      <c r="EW89" s="357">
        <v>0</v>
      </c>
      <c r="EX89" s="357">
        <v>295000</v>
      </c>
      <c r="EY89" s="357">
        <v>17988788</v>
      </c>
      <c r="EZ89" s="357">
        <v>0</v>
      </c>
      <c r="FA89" s="357">
        <v>0</v>
      </c>
      <c r="FB89" s="357">
        <v>17988788</v>
      </c>
      <c r="FC89" s="277">
        <v>0</v>
      </c>
      <c r="FD89" s="205"/>
    </row>
    <row r="90" spans="1:160" ht="12.75">
      <c r="A90" s="169">
        <v>83</v>
      </c>
      <c r="B90" s="172" t="s">
        <v>73</v>
      </c>
      <c r="C90" s="258" t="s">
        <v>74</v>
      </c>
      <c r="D90" s="235">
        <v>41639</v>
      </c>
      <c r="E90" s="357">
        <v>85165947</v>
      </c>
      <c r="F90" s="357">
        <v>0</v>
      </c>
      <c r="G90" s="357">
        <v>0</v>
      </c>
      <c r="H90" s="357">
        <v>85165947</v>
      </c>
      <c r="I90" s="357">
        <v>40113161</v>
      </c>
      <c r="J90" s="357">
        <v>0</v>
      </c>
      <c r="K90" s="357">
        <v>0</v>
      </c>
      <c r="L90" s="357">
        <v>200000</v>
      </c>
      <c r="M90" s="357">
        <v>0</v>
      </c>
      <c r="N90" s="357">
        <v>0</v>
      </c>
      <c r="O90" s="357">
        <v>40313161</v>
      </c>
      <c r="P90" s="357">
        <v>0</v>
      </c>
      <c r="Q90" s="357">
        <v>0</v>
      </c>
      <c r="R90" s="357">
        <v>40313161</v>
      </c>
      <c r="S90" s="357">
        <v>284325</v>
      </c>
      <c r="T90" s="357">
        <v>0</v>
      </c>
      <c r="U90" s="357">
        <v>0</v>
      </c>
      <c r="V90" s="357">
        <v>284325</v>
      </c>
      <c r="W90" s="357">
        <v>12371</v>
      </c>
      <c r="X90" s="357">
        <v>0</v>
      </c>
      <c r="Y90" s="357">
        <v>0</v>
      </c>
      <c r="Z90" s="357">
        <v>12371</v>
      </c>
      <c r="AA90" s="357">
        <v>271954</v>
      </c>
      <c r="AB90" s="357">
        <v>0</v>
      </c>
      <c r="AC90" s="357">
        <v>0</v>
      </c>
      <c r="AD90" s="357">
        <v>0</v>
      </c>
      <c r="AE90" s="357">
        <v>0</v>
      </c>
      <c r="AF90" s="357">
        <v>0</v>
      </c>
      <c r="AG90" s="357">
        <v>271954</v>
      </c>
      <c r="AH90" s="357">
        <v>0</v>
      </c>
      <c r="AI90" s="357">
        <v>0</v>
      </c>
      <c r="AJ90" s="357">
        <v>271954</v>
      </c>
      <c r="AK90" s="357">
        <v>271954</v>
      </c>
      <c r="AL90" s="357">
        <v>0</v>
      </c>
      <c r="AM90" s="357">
        <v>0</v>
      </c>
      <c r="AN90" s="357">
        <v>271954</v>
      </c>
      <c r="AO90" s="357">
        <v>3959378</v>
      </c>
      <c r="AP90" s="357">
        <v>0</v>
      </c>
      <c r="AQ90" s="357">
        <v>0</v>
      </c>
      <c r="AR90" s="357">
        <v>3959378</v>
      </c>
      <c r="AS90" s="357">
        <v>32680</v>
      </c>
      <c r="AT90" s="357">
        <v>0</v>
      </c>
      <c r="AU90" s="357">
        <v>0</v>
      </c>
      <c r="AV90" s="357">
        <v>32680</v>
      </c>
      <c r="AW90" s="357">
        <v>683543</v>
      </c>
      <c r="AX90" s="357">
        <v>0</v>
      </c>
      <c r="AY90" s="357">
        <v>0</v>
      </c>
      <c r="AZ90" s="357">
        <v>683543</v>
      </c>
      <c r="BA90" s="357">
        <v>3275835</v>
      </c>
      <c r="BB90" s="357">
        <v>0</v>
      </c>
      <c r="BC90" s="357">
        <v>0</v>
      </c>
      <c r="BD90" s="357">
        <v>3275835</v>
      </c>
      <c r="BE90" s="357">
        <v>2134832</v>
      </c>
      <c r="BF90" s="357">
        <v>0</v>
      </c>
      <c r="BG90" s="357">
        <v>0</v>
      </c>
      <c r="BH90" s="357">
        <v>2134832</v>
      </c>
      <c r="BI90" s="357">
        <v>117671</v>
      </c>
      <c r="BJ90" s="357">
        <v>0</v>
      </c>
      <c r="BK90" s="357">
        <v>0</v>
      </c>
      <c r="BL90" s="357">
        <v>117671</v>
      </c>
      <c r="BM90" s="357">
        <v>50572</v>
      </c>
      <c r="BN90" s="357">
        <v>0</v>
      </c>
      <c r="BO90" s="357">
        <v>0</v>
      </c>
      <c r="BP90" s="357">
        <v>50572</v>
      </c>
      <c r="BQ90" s="357">
        <v>5578910</v>
      </c>
      <c r="BR90" s="357">
        <v>0</v>
      </c>
      <c r="BS90" s="357">
        <v>0</v>
      </c>
      <c r="BT90" s="357">
        <v>100000</v>
      </c>
      <c r="BU90" s="357">
        <v>0</v>
      </c>
      <c r="BV90" s="357">
        <v>0</v>
      </c>
      <c r="BW90" s="357">
        <v>5678910</v>
      </c>
      <c r="BX90" s="357">
        <v>0</v>
      </c>
      <c r="BY90" s="357">
        <v>0</v>
      </c>
      <c r="BZ90" s="357">
        <v>5678910</v>
      </c>
      <c r="CA90" s="357">
        <v>0</v>
      </c>
      <c r="CB90" s="357">
        <v>0</v>
      </c>
      <c r="CC90" s="357">
        <v>0</v>
      </c>
      <c r="CD90" s="357">
        <v>0</v>
      </c>
      <c r="CE90" s="357">
        <v>1024722</v>
      </c>
      <c r="CF90" s="357">
        <v>0</v>
      </c>
      <c r="CG90" s="357">
        <v>0</v>
      </c>
      <c r="CH90" s="357">
        <v>1024722</v>
      </c>
      <c r="CI90" s="357">
        <v>1024722</v>
      </c>
      <c r="CJ90" s="357">
        <v>0</v>
      </c>
      <c r="CK90" s="357">
        <v>0</v>
      </c>
      <c r="CL90" s="357">
        <v>0</v>
      </c>
      <c r="CM90" s="357">
        <v>0</v>
      </c>
      <c r="CN90" s="357">
        <v>0</v>
      </c>
      <c r="CO90" s="357">
        <v>1024722</v>
      </c>
      <c r="CP90" s="357">
        <v>0</v>
      </c>
      <c r="CQ90" s="357">
        <v>0</v>
      </c>
      <c r="CR90" s="357">
        <v>1024722</v>
      </c>
      <c r="CS90" s="357">
        <v>137650</v>
      </c>
      <c r="CT90" s="357">
        <v>0</v>
      </c>
      <c r="CU90" s="357">
        <v>0</v>
      </c>
      <c r="CV90" s="357">
        <v>137650</v>
      </c>
      <c r="CW90" s="357">
        <v>8596</v>
      </c>
      <c r="CX90" s="357">
        <v>0</v>
      </c>
      <c r="CY90" s="357">
        <v>0</v>
      </c>
      <c r="CZ90" s="357">
        <v>8596</v>
      </c>
      <c r="DA90" s="357">
        <v>17034</v>
      </c>
      <c r="DB90" s="357">
        <v>0</v>
      </c>
      <c r="DC90" s="357">
        <v>0</v>
      </c>
      <c r="DD90" s="357">
        <v>17034</v>
      </c>
      <c r="DE90" s="357">
        <v>15912</v>
      </c>
      <c r="DF90" s="357">
        <v>0</v>
      </c>
      <c r="DG90" s="357">
        <v>0</v>
      </c>
      <c r="DH90" s="357">
        <v>15912</v>
      </c>
      <c r="DI90" s="357">
        <v>3199</v>
      </c>
      <c r="DJ90" s="357">
        <v>0</v>
      </c>
      <c r="DK90" s="357">
        <v>0</v>
      </c>
      <c r="DL90" s="357">
        <v>3199</v>
      </c>
      <c r="DM90" s="357">
        <v>77500</v>
      </c>
      <c r="DN90" s="357">
        <v>0</v>
      </c>
      <c r="DO90" s="357">
        <v>0</v>
      </c>
      <c r="DP90" s="357">
        <v>77500</v>
      </c>
      <c r="DQ90" s="357">
        <v>259891</v>
      </c>
      <c r="DR90" s="357">
        <v>0</v>
      </c>
      <c r="DS90" s="357">
        <v>0</v>
      </c>
      <c r="DT90" s="357">
        <v>0</v>
      </c>
      <c r="DU90" s="357">
        <v>0</v>
      </c>
      <c r="DV90" s="357">
        <v>0</v>
      </c>
      <c r="DW90" s="357">
        <v>259891</v>
      </c>
      <c r="DX90" s="357">
        <v>0</v>
      </c>
      <c r="DY90" s="357">
        <v>0</v>
      </c>
      <c r="DZ90" s="357">
        <v>259891</v>
      </c>
      <c r="EA90" s="357">
        <v>0</v>
      </c>
      <c r="EB90" s="357">
        <v>0</v>
      </c>
      <c r="EC90" s="357">
        <v>0</v>
      </c>
      <c r="ED90" s="357">
        <v>0</v>
      </c>
      <c r="EE90" s="357">
        <v>0</v>
      </c>
      <c r="EF90" s="357">
        <v>0</v>
      </c>
      <c r="EG90" s="357">
        <v>0</v>
      </c>
      <c r="EH90" s="357">
        <v>0</v>
      </c>
      <c r="EI90" s="357">
        <v>0</v>
      </c>
      <c r="EJ90" s="357">
        <v>0</v>
      </c>
      <c r="EK90" s="357">
        <v>856000</v>
      </c>
      <c r="EL90" s="357">
        <v>0</v>
      </c>
      <c r="EM90" s="357">
        <v>0</v>
      </c>
      <c r="EN90" s="357">
        <v>856000</v>
      </c>
      <c r="EO90" s="357">
        <v>856000</v>
      </c>
      <c r="EP90" s="357">
        <v>0</v>
      </c>
      <c r="EQ90" s="357">
        <v>0</v>
      </c>
      <c r="ER90" s="357">
        <v>0</v>
      </c>
      <c r="ES90" s="357">
        <v>0</v>
      </c>
      <c r="ET90" s="357">
        <v>0</v>
      </c>
      <c r="EU90" s="357">
        <v>856000</v>
      </c>
      <c r="EV90" s="357">
        <v>0</v>
      </c>
      <c r="EW90" s="357">
        <v>0</v>
      </c>
      <c r="EX90" s="357">
        <v>856000</v>
      </c>
      <c r="EY90" s="357">
        <v>32221684</v>
      </c>
      <c r="EZ90" s="357">
        <v>0</v>
      </c>
      <c r="FA90" s="357">
        <v>0</v>
      </c>
      <c r="FB90" s="357">
        <v>32221684</v>
      </c>
      <c r="FC90" s="277">
        <v>0</v>
      </c>
      <c r="FD90" s="205"/>
    </row>
    <row r="91" spans="1:160" ht="12.75">
      <c r="A91" s="169">
        <v>84</v>
      </c>
      <c r="B91" s="172" t="s">
        <v>75</v>
      </c>
      <c r="C91" s="258" t="s">
        <v>76</v>
      </c>
      <c r="D91" s="235">
        <v>41639</v>
      </c>
      <c r="E91" s="357">
        <v>53346516</v>
      </c>
      <c r="F91" s="357">
        <v>0</v>
      </c>
      <c r="G91" s="357">
        <v>0</v>
      </c>
      <c r="H91" s="357">
        <v>53346516</v>
      </c>
      <c r="I91" s="357">
        <v>25126209</v>
      </c>
      <c r="J91" s="357">
        <v>0</v>
      </c>
      <c r="K91" s="357">
        <v>0</v>
      </c>
      <c r="L91" s="357">
        <v>-604818</v>
      </c>
      <c r="M91" s="357">
        <v>0</v>
      </c>
      <c r="N91" s="357">
        <v>0</v>
      </c>
      <c r="O91" s="357">
        <v>24521391</v>
      </c>
      <c r="P91" s="357">
        <v>0</v>
      </c>
      <c r="Q91" s="357">
        <v>0</v>
      </c>
      <c r="R91" s="357">
        <v>24521391</v>
      </c>
      <c r="S91" s="357">
        <v>23617</v>
      </c>
      <c r="T91" s="357">
        <v>0</v>
      </c>
      <c r="U91" s="357">
        <v>0</v>
      </c>
      <c r="V91" s="357">
        <v>23617</v>
      </c>
      <c r="W91" s="357">
        <v>6099</v>
      </c>
      <c r="X91" s="357">
        <v>0</v>
      </c>
      <c r="Y91" s="357">
        <v>0</v>
      </c>
      <c r="Z91" s="357">
        <v>6099</v>
      </c>
      <c r="AA91" s="357">
        <v>17518</v>
      </c>
      <c r="AB91" s="357">
        <v>0</v>
      </c>
      <c r="AC91" s="357">
        <v>0</v>
      </c>
      <c r="AD91" s="357">
        <v>706</v>
      </c>
      <c r="AE91" s="357">
        <v>0</v>
      </c>
      <c r="AF91" s="357">
        <v>0</v>
      </c>
      <c r="AG91" s="357">
        <v>18224</v>
      </c>
      <c r="AH91" s="357">
        <v>0</v>
      </c>
      <c r="AI91" s="357">
        <v>0</v>
      </c>
      <c r="AJ91" s="357">
        <v>18224</v>
      </c>
      <c r="AK91" s="357">
        <v>18224</v>
      </c>
      <c r="AL91" s="357">
        <v>0</v>
      </c>
      <c r="AM91" s="357">
        <v>0</v>
      </c>
      <c r="AN91" s="357">
        <v>18224</v>
      </c>
      <c r="AO91" s="357">
        <v>1888969</v>
      </c>
      <c r="AP91" s="357">
        <v>0</v>
      </c>
      <c r="AQ91" s="357">
        <v>0</v>
      </c>
      <c r="AR91" s="357">
        <v>1888969</v>
      </c>
      <c r="AS91" s="357">
        <v>0</v>
      </c>
      <c r="AT91" s="357">
        <v>0</v>
      </c>
      <c r="AU91" s="357">
        <v>0</v>
      </c>
      <c r="AV91" s="357">
        <v>0</v>
      </c>
      <c r="AW91" s="357">
        <v>454054</v>
      </c>
      <c r="AX91" s="357">
        <v>0</v>
      </c>
      <c r="AY91" s="357">
        <v>0</v>
      </c>
      <c r="AZ91" s="357">
        <v>454054</v>
      </c>
      <c r="BA91" s="357">
        <v>1434915</v>
      </c>
      <c r="BB91" s="357">
        <v>0</v>
      </c>
      <c r="BC91" s="357">
        <v>0</v>
      </c>
      <c r="BD91" s="357">
        <v>1434915</v>
      </c>
      <c r="BE91" s="357">
        <v>758174</v>
      </c>
      <c r="BF91" s="357">
        <v>0</v>
      </c>
      <c r="BG91" s="357">
        <v>0</v>
      </c>
      <c r="BH91" s="357">
        <v>758174</v>
      </c>
      <c r="BI91" s="357">
        <v>33850</v>
      </c>
      <c r="BJ91" s="357">
        <v>0</v>
      </c>
      <c r="BK91" s="357">
        <v>0</v>
      </c>
      <c r="BL91" s="357">
        <v>33850</v>
      </c>
      <c r="BM91" s="357">
        <v>14418</v>
      </c>
      <c r="BN91" s="357">
        <v>0</v>
      </c>
      <c r="BO91" s="357">
        <v>0</v>
      </c>
      <c r="BP91" s="357">
        <v>14418</v>
      </c>
      <c r="BQ91" s="357">
        <v>2241357</v>
      </c>
      <c r="BR91" s="357">
        <v>0</v>
      </c>
      <c r="BS91" s="357">
        <v>0</v>
      </c>
      <c r="BT91" s="357">
        <v>-7847</v>
      </c>
      <c r="BU91" s="357">
        <v>0</v>
      </c>
      <c r="BV91" s="357">
        <v>0</v>
      </c>
      <c r="BW91" s="357">
        <v>2233510</v>
      </c>
      <c r="BX91" s="357">
        <v>0</v>
      </c>
      <c r="BY91" s="357">
        <v>0</v>
      </c>
      <c r="BZ91" s="357">
        <v>2233510</v>
      </c>
      <c r="CA91" s="357">
        <v>0</v>
      </c>
      <c r="CB91" s="357">
        <v>0</v>
      </c>
      <c r="CC91" s="357">
        <v>0</v>
      </c>
      <c r="CD91" s="357">
        <v>0</v>
      </c>
      <c r="CE91" s="357">
        <v>607836</v>
      </c>
      <c r="CF91" s="357">
        <v>0</v>
      </c>
      <c r="CG91" s="357">
        <v>0</v>
      </c>
      <c r="CH91" s="357">
        <v>607836</v>
      </c>
      <c r="CI91" s="357">
        <v>607836</v>
      </c>
      <c r="CJ91" s="357">
        <v>0</v>
      </c>
      <c r="CK91" s="357">
        <v>0</v>
      </c>
      <c r="CL91" s="357">
        <v>7039</v>
      </c>
      <c r="CM91" s="357">
        <v>0</v>
      </c>
      <c r="CN91" s="357">
        <v>0</v>
      </c>
      <c r="CO91" s="357">
        <v>614875</v>
      </c>
      <c r="CP91" s="357">
        <v>0</v>
      </c>
      <c r="CQ91" s="357">
        <v>0</v>
      </c>
      <c r="CR91" s="357">
        <v>614875</v>
      </c>
      <c r="CS91" s="357">
        <v>28426</v>
      </c>
      <c r="CT91" s="357">
        <v>0</v>
      </c>
      <c r="CU91" s="357">
        <v>0</v>
      </c>
      <c r="CV91" s="357">
        <v>28426</v>
      </c>
      <c r="CW91" s="357">
        <v>2303</v>
      </c>
      <c r="CX91" s="357">
        <v>0</v>
      </c>
      <c r="CY91" s="357">
        <v>0</v>
      </c>
      <c r="CZ91" s="357">
        <v>2303</v>
      </c>
      <c r="DA91" s="357">
        <v>0</v>
      </c>
      <c r="DB91" s="357">
        <v>0</v>
      </c>
      <c r="DC91" s="357">
        <v>0</v>
      </c>
      <c r="DD91" s="357">
        <v>0</v>
      </c>
      <c r="DE91" s="357">
        <v>7536</v>
      </c>
      <c r="DF91" s="357">
        <v>0</v>
      </c>
      <c r="DG91" s="357">
        <v>0</v>
      </c>
      <c r="DH91" s="357">
        <v>7536</v>
      </c>
      <c r="DI91" s="357">
        <v>0</v>
      </c>
      <c r="DJ91" s="357">
        <v>0</v>
      </c>
      <c r="DK91" s="357">
        <v>0</v>
      </c>
      <c r="DL91" s="357">
        <v>0</v>
      </c>
      <c r="DM91" s="357">
        <v>0</v>
      </c>
      <c r="DN91" s="357">
        <v>0</v>
      </c>
      <c r="DO91" s="357">
        <v>0</v>
      </c>
      <c r="DP91" s="357">
        <v>0</v>
      </c>
      <c r="DQ91" s="357">
        <v>38265</v>
      </c>
      <c r="DR91" s="357">
        <v>0</v>
      </c>
      <c r="DS91" s="357">
        <v>0</v>
      </c>
      <c r="DT91" s="357">
        <v>0</v>
      </c>
      <c r="DU91" s="357">
        <v>0</v>
      </c>
      <c r="DV91" s="357">
        <v>0</v>
      </c>
      <c r="DW91" s="357">
        <v>38265</v>
      </c>
      <c r="DX91" s="357">
        <v>0</v>
      </c>
      <c r="DY91" s="357">
        <v>0</v>
      </c>
      <c r="DZ91" s="357">
        <v>38265</v>
      </c>
      <c r="EA91" s="357">
        <v>0</v>
      </c>
      <c r="EB91" s="357">
        <v>0</v>
      </c>
      <c r="EC91" s="357">
        <v>0</v>
      </c>
      <c r="ED91" s="357">
        <v>0</v>
      </c>
      <c r="EE91" s="357">
        <v>0</v>
      </c>
      <c r="EF91" s="357">
        <v>0</v>
      </c>
      <c r="EG91" s="357">
        <v>14823</v>
      </c>
      <c r="EH91" s="357">
        <v>0</v>
      </c>
      <c r="EI91" s="357">
        <v>0</v>
      </c>
      <c r="EJ91" s="357">
        <v>14823</v>
      </c>
      <c r="EK91" s="357">
        <v>403020</v>
      </c>
      <c r="EL91" s="357">
        <v>0</v>
      </c>
      <c r="EM91" s="357">
        <v>0</v>
      </c>
      <c r="EN91" s="357">
        <v>403020</v>
      </c>
      <c r="EO91" s="357">
        <v>417843</v>
      </c>
      <c r="EP91" s="357">
        <v>0</v>
      </c>
      <c r="EQ91" s="357">
        <v>0</v>
      </c>
      <c r="ER91" s="357">
        <v>0</v>
      </c>
      <c r="ES91" s="357">
        <v>0</v>
      </c>
      <c r="ET91" s="357">
        <v>0</v>
      </c>
      <c r="EU91" s="357">
        <v>417843</v>
      </c>
      <c r="EV91" s="357">
        <v>0</v>
      </c>
      <c r="EW91" s="357">
        <v>0</v>
      </c>
      <c r="EX91" s="357">
        <v>417843</v>
      </c>
      <c r="EY91" s="357">
        <v>21198674</v>
      </c>
      <c r="EZ91" s="357">
        <v>0</v>
      </c>
      <c r="FA91" s="357">
        <v>0</v>
      </c>
      <c r="FB91" s="357">
        <v>21198674</v>
      </c>
      <c r="FC91" s="277">
        <v>0</v>
      </c>
      <c r="FD91" s="205"/>
    </row>
    <row r="92" spans="1:160" ht="12.75">
      <c r="A92" s="169">
        <v>85</v>
      </c>
      <c r="B92" s="172" t="s">
        <v>77</v>
      </c>
      <c r="C92" s="258" t="s">
        <v>78</v>
      </c>
      <c r="D92" s="235">
        <v>80114</v>
      </c>
      <c r="E92" s="357">
        <v>74227871</v>
      </c>
      <c r="F92" s="357">
        <v>0</v>
      </c>
      <c r="G92" s="357">
        <v>0</v>
      </c>
      <c r="H92" s="357">
        <v>74227871</v>
      </c>
      <c r="I92" s="357">
        <v>34961327</v>
      </c>
      <c r="J92" s="357">
        <v>0</v>
      </c>
      <c r="K92" s="357">
        <v>0</v>
      </c>
      <c r="L92" s="357">
        <v>-1600000</v>
      </c>
      <c r="M92" s="357">
        <v>0</v>
      </c>
      <c r="N92" s="357">
        <v>0</v>
      </c>
      <c r="O92" s="357">
        <v>33361327</v>
      </c>
      <c r="P92" s="357">
        <v>0</v>
      </c>
      <c r="Q92" s="357">
        <v>0</v>
      </c>
      <c r="R92" s="357">
        <v>33361327</v>
      </c>
      <c r="S92" s="357">
        <v>28971</v>
      </c>
      <c r="T92" s="357">
        <v>0</v>
      </c>
      <c r="U92" s="357">
        <v>0</v>
      </c>
      <c r="V92" s="357">
        <v>28971</v>
      </c>
      <c r="W92" s="357">
        <v>4658</v>
      </c>
      <c r="X92" s="357">
        <v>0</v>
      </c>
      <c r="Y92" s="357">
        <v>0</v>
      </c>
      <c r="Z92" s="357">
        <v>4658</v>
      </c>
      <c r="AA92" s="357">
        <v>24313</v>
      </c>
      <c r="AB92" s="357">
        <v>0</v>
      </c>
      <c r="AC92" s="357">
        <v>0</v>
      </c>
      <c r="AD92" s="357">
        <v>0</v>
      </c>
      <c r="AE92" s="357">
        <v>0</v>
      </c>
      <c r="AF92" s="357">
        <v>0</v>
      </c>
      <c r="AG92" s="357">
        <v>24313</v>
      </c>
      <c r="AH92" s="357">
        <v>0</v>
      </c>
      <c r="AI92" s="357">
        <v>0</v>
      </c>
      <c r="AJ92" s="357">
        <v>24313</v>
      </c>
      <c r="AK92" s="357">
        <v>24313</v>
      </c>
      <c r="AL92" s="357">
        <v>0</v>
      </c>
      <c r="AM92" s="357">
        <v>0</v>
      </c>
      <c r="AN92" s="357">
        <v>24313</v>
      </c>
      <c r="AO92" s="357">
        <v>2349171</v>
      </c>
      <c r="AP92" s="357">
        <v>0</v>
      </c>
      <c r="AQ92" s="357">
        <v>0</v>
      </c>
      <c r="AR92" s="357">
        <v>2349171</v>
      </c>
      <c r="AS92" s="357">
        <v>20000</v>
      </c>
      <c r="AT92" s="357">
        <v>0</v>
      </c>
      <c r="AU92" s="357">
        <v>0</v>
      </c>
      <c r="AV92" s="357">
        <v>20000</v>
      </c>
      <c r="AW92" s="357">
        <v>656165</v>
      </c>
      <c r="AX92" s="357">
        <v>0</v>
      </c>
      <c r="AY92" s="357">
        <v>0</v>
      </c>
      <c r="AZ92" s="357">
        <v>656165</v>
      </c>
      <c r="BA92" s="357">
        <v>1693006</v>
      </c>
      <c r="BB92" s="357">
        <v>0</v>
      </c>
      <c r="BC92" s="357">
        <v>0</v>
      </c>
      <c r="BD92" s="357">
        <v>1693006</v>
      </c>
      <c r="BE92" s="357">
        <v>2227907</v>
      </c>
      <c r="BF92" s="357">
        <v>0</v>
      </c>
      <c r="BG92" s="357">
        <v>0</v>
      </c>
      <c r="BH92" s="357">
        <v>2227907</v>
      </c>
      <c r="BI92" s="357">
        <v>62843</v>
      </c>
      <c r="BJ92" s="357">
        <v>0</v>
      </c>
      <c r="BK92" s="357">
        <v>0</v>
      </c>
      <c r="BL92" s="357">
        <v>62843</v>
      </c>
      <c r="BM92" s="357">
        <v>25162</v>
      </c>
      <c r="BN92" s="357">
        <v>0</v>
      </c>
      <c r="BO92" s="357">
        <v>0</v>
      </c>
      <c r="BP92" s="357">
        <v>25162</v>
      </c>
      <c r="BQ92" s="357">
        <v>4008918</v>
      </c>
      <c r="BR92" s="357">
        <v>0</v>
      </c>
      <c r="BS92" s="357">
        <v>0</v>
      </c>
      <c r="BT92" s="357">
        <v>0</v>
      </c>
      <c r="BU92" s="357">
        <v>0</v>
      </c>
      <c r="BV92" s="357">
        <v>0</v>
      </c>
      <c r="BW92" s="357">
        <v>4008918</v>
      </c>
      <c r="BX92" s="357">
        <v>0</v>
      </c>
      <c r="BY92" s="357">
        <v>0</v>
      </c>
      <c r="BZ92" s="357">
        <v>4008918</v>
      </c>
      <c r="CA92" s="357">
        <v>20000</v>
      </c>
      <c r="CB92" s="357">
        <v>0</v>
      </c>
      <c r="CC92" s="357">
        <v>0</v>
      </c>
      <c r="CD92" s="357">
        <v>20000</v>
      </c>
      <c r="CE92" s="357">
        <v>876342</v>
      </c>
      <c r="CF92" s="357">
        <v>0</v>
      </c>
      <c r="CG92" s="357">
        <v>0</v>
      </c>
      <c r="CH92" s="357">
        <v>876342</v>
      </c>
      <c r="CI92" s="357">
        <v>896342</v>
      </c>
      <c r="CJ92" s="357">
        <v>0</v>
      </c>
      <c r="CK92" s="357">
        <v>0</v>
      </c>
      <c r="CL92" s="357">
        <v>0</v>
      </c>
      <c r="CM92" s="357">
        <v>0</v>
      </c>
      <c r="CN92" s="357">
        <v>0</v>
      </c>
      <c r="CO92" s="357">
        <v>896342</v>
      </c>
      <c r="CP92" s="357">
        <v>0</v>
      </c>
      <c r="CQ92" s="357">
        <v>0</v>
      </c>
      <c r="CR92" s="357">
        <v>896342</v>
      </c>
      <c r="CS92" s="357">
        <v>123789</v>
      </c>
      <c r="CT92" s="357">
        <v>0</v>
      </c>
      <c r="CU92" s="357">
        <v>0</v>
      </c>
      <c r="CV92" s="357">
        <v>123789</v>
      </c>
      <c r="CW92" s="357">
        <v>2216</v>
      </c>
      <c r="CX92" s="357">
        <v>0</v>
      </c>
      <c r="CY92" s="357">
        <v>0</v>
      </c>
      <c r="CZ92" s="357">
        <v>2216</v>
      </c>
      <c r="DA92" s="357">
        <v>9991</v>
      </c>
      <c r="DB92" s="357">
        <v>0</v>
      </c>
      <c r="DC92" s="357">
        <v>0</v>
      </c>
      <c r="DD92" s="357">
        <v>9991</v>
      </c>
      <c r="DE92" s="357">
        <v>25162</v>
      </c>
      <c r="DF92" s="357">
        <v>0</v>
      </c>
      <c r="DG92" s="357">
        <v>0</v>
      </c>
      <c r="DH92" s="357">
        <v>25162</v>
      </c>
      <c r="DI92" s="357">
        <v>0</v>
      </c>
      <c r="DJ92" s="357">
        <v>0</v>
      </c>
      <c r="DK92" s="357">
        <v>0</v>
      </c>
      <c r="DL92" s="357">
        <v>0</v>
      </c>
      <c r="DM92" s="357">
        <v>0</v>
      </c>
      <c r="DN92" s="357">
        <v>0</v>
      </c>
      <c r="DO92" s="357">
        <v>0</v>
      </c>
      <c r="DP92" s="357">
        <v>0</v>
      </c>
      <c r="DQ92" s="357">
        <v>161158</v>
      </c>
      <c r="DR92" s="357">
        <v>0</v>
      </c>
      <c r="DS92" s="357">
        <v>0</v>
      </c>
      <c r="DT92" s="357">
        <v>0</v>
      </c>
      <c r="DU92" s="357">
        <v>0</v>
      </c>
      <c r="DV92" s="357">
        <v>0</v>
      </c>
      <c r="DW92" s="357">
        <v>161158</v>
      </c>
      <c r="DX92" s="357">
        <v>0</v>
      </c>
      <c r="DY92" s="357">
        <v>0</v>
      </c>
      <c r="DZ92" s="357">
        <v>161158</v>
      </c>
      <c r="EA92" s="357">
        <v>0</v>
      </c>
      <c r="EB92" s="357">
        <v>0</v>
      </c>
      <c r="EC92" s="357">
        <v>50000</v>
      </c>
      <c r="ED92" s="357">
        <v>0</v>
      </c>
      <c r="EE92" s="357">
        <v>0</v>
      </c>
      <c r="EF92" s="357">
        <v>50000</v>
      </c>
      <c r="EG92" s="357">
        <v>75000</v>
      </c>
      <c r="EH92" s="357">
        <v>0</v>
      </c>
      <c r="EI92" s="357">
        <v>0</v>
      </c>
      <c r="EJ92" s="357">
        <v>75000</v>
      </c>
      <c r="EK92" s="357">
        <v>500000</v>
      </c>
      <c r="EL92" s="357">
        <v>0</v>
      </c>
      <c r="EM92" s="357">
        <v>0</v>
      </c>
      <c r="EN92" s="357">
        <v>500000</v>
      </c>
      <c r="EO92" s="357">
        <v>625000</v>
      </c>
      <c r="EP92" s="357">
        <v>0</v>
      </c>
      <c r="EQ92" s="357">
        <v>0</v>
      </c>
      <c r="ER92" s="357">
        <v>0</v>
      </c>
      <c r="ES92" s="357">
        <v>0</v>
      </c>
      <c r="ET92" s="357">
        <v>0</v>
      </c>
      <c r="EU92" s="357">
        <v>625000</v>
      </c>
      <c r="EV92" s="357">
        <v>0</v>
      </c>
      <c r="EW92" s="357">
        <v>0</v>
      </c>
      <c r="EX92" s="357">
        <v>625000</v>
      </c>
      <c r="EY92" s="357">
        <v>27645596</v>
      </c>
      <c r="EZ92" s="357">
        <v>0</v>
      </c>
      <c r="FA92" s="357">
        <v>0</v>
      </c>
      <c r="FB92" s="357">
        <v>27645596</v>
      </c>
      <c r="FC92" s="277">
        <v>0</v>
      </c>
      <c r="FD92" s="205"/>
    </row>
    <row r="93" spans="1:160" ht="12.75">
      <c r="A93" s="169">
        <v>86</v>
      </c>
      <c r="B93" s="172" t="s">
        <v>79</v>
      </c>
      <c r="C93" s="258" t="s">
        <v>80</v>
      </c>
      <c r="D93" s="235">
        <v>41639</v>
      </c>
      <c r="E93" s="357">
        <v>114917562</v>
      </c>
      <c r="F93" s="357">
        <v>0</v>
      </c>
      <c r="G93" s="357">
        <v>0</v>
      </c>
      <c r="H93" s="357">
        <v>114917562</v>
      </c>
      <c r="I93" s="357">
        <v>54126172</v>
      </c>
      <c r="J93" s="357">
        <v>0</v>
      </c>
      <c r="K93" s="357">
        <v>0</v>
      </c>
      <c r="L93" s="357">
        <v>-455204</v>
      </c>
      <c r="M93" s="357">
        <v>0</v>
      </c>
      <c r="N93" s="357">
        <v>0</v>
      </c>
      <c r="O93" s="357">
        <v>53670968</v>
      </c>
      <c r="P93" s="357">
        <v>0</v>
      </c>
      <c r="Q93" s="357">
        <v>0</v>
      </c>
      <c r="R93" s="357">
        <v>53670968</v>
      </c>
      <c r="S93" s="357">
        <v>86996</v>
      </c>
      <c r="T93" s="357">
        <v>0</v>
      </c>
      <c r="U93" s="357">
        <v>0</v>
      </c>
      <c r="V93" s="357">
        <v>86996</v>
      </c>
      <c r="W93" s="357">
        <v>13844</v>
      </c>
      <c r="X93" s="357">
        <v>0</v>
      </c>
      <c r="Y93" s="357">
        <v>0</v>
      </c>
      <c r="Z93" s="357">
        <v>13844</v>
      </c>
      <c r="AA93" s="357">
        <v>73152</v>
      </c>
      <c r="AB93" s="357">
        <v>0</v>
      </c>
      <c r="AC93" s="357">
        <v>0</v>
      </c>
      <c r="AD93" s="357">
        <v>0</v>
      </c>
      <c r="AE93" s="357">
        <v>0</v>
      </c>
      <c r="AF93" s="357">
        <v>0</v>
      </c>
      <c r="AG93" s="357">
        <v>73152</v>
      </c>
      <c r="AH93" s="357">
        <v>0</v>
      </c>
      <c r="AI93" s="357">
        <v>0</v>
      </c>
      <c r="AJ93" s="357">
        <v>73152</v>
      </c>
      <c r="AK93" s="357">
        <v>73152</v>
      </c>
      <c r="AL93" s="357">
        <v>0</v>
      </c>
      <c r="AM93" s="357">
        <v>0</v>
      </c>
      <c r="AN93" s="357">
        <v>73152</v>
      </c>
      <c r="AO93" s="357">
        <v>2429965</v>
      </c>
      <c r="AP93" s="357">
        <v>0</v>
      </c>
      <c r="AQ93" s="357">
        <v>0</v>
      </c>
      <c r="AR93" s="357">
        <v>2429965</v>
      </c>
      <c r="AS93" s="357">
        <v>0</v>
      </c>
      <c r="AT93" s="357">
        <v>0</v>
      </c>
      <c r="AU93" s="357">
        <v>0</v>
      </c>
      <c r="AV93" s="357">
        <v>0</v>
      </c>
      <c r="AW93" s="357">
        <v>1064885</v>
      </c>
      <c r="AX93" s="357">
        <v>0</v>
      </c>
      <c r="AY93" s="357">
        <v>0</v>
      </c>
      <c r="AZ93" s="357">
        <v>1064885</v>
      </c>
      <c r="BA93" s="357">
        <v>1365080</v>
      </c>
      <c r="BB93" s="357">
        <v>0</v>
      </c>
      <c r="BC93" s="357">
        <v>0</v>
      </c>
      <c r="BD93" s="357">
        <v>1365080</v>
      </c>
      <c r="BE93" s="357">
        <v>3801980</v>
      </c>
      <c r="BF93" s="357">
        <v>0</v>
      </c>
      <c r="BG93" s="357">
        <v>0</v>
      </c>
      <c r="BH93" s="357">
        <v>3801980</v>
      </c>
      <c r="BI93" s="357">
        <v>96217</v>
      </c>
      <c r="BJ93" s="357">
        <v>0</v>
      </c>
      <c r="BK93" s="357">
        <v>0</v>
      </c>
      <c r="BL93" s="357">
        <v>96217</v>
      </c>
      <c r="BM93" s="357">
        <v>52658</v>
      </c>
      <c r="BN93" s="357">
        <v>0</v>
      </c>
      <c r="BO93" s="357">
        <v>0</v>
      </c>
      <c r="BP93" s="357">
        <v>52658</v>
      </c>
      <c r="BQ93" s="357">
        <v>5315935</v>
      </c>
      <c r="BR93" s="357">
        <v>0</v>
      </c>
      <c r="BS93" s="357">
        <v>0</v>
      </c>
      <c r="BT93" s="357">
        <v>33057</v>
      </c>
      <c r="BU93" s="357">
        <v>0</v>
      </c>
      <c r="BV93" s="357">
        <v>0</v>
      </c>
      <c r="BW93" s="357">
        <v>5348992</v>
      </c>
      <c r="BX93" s="357">
        <v>0</v>
      </c>
      <c r="BY93" s="357">
        <v>0</v>
      </c>
      <c r="BZ93" s="357">
        <v>5348992</v>
      </c>
      <c r="CA93" s="357">
        <v>36070</v>
      </c>
      <c r="CB93" s="357">
        <v>0</v>
      </c>
      <c r="CC93" s="357">
        <v>0</v>
      </c>
      <c r="CD93" s="357">
        <v>36070</v>
      </c>
      <c r="CE93" s="357">
        <v>2365297</v>
      </c>
      <c r="CF93" s="357">
        <v>0</v>
      </c>
      <c r="CG93" s="357">
        <v>0</v>
      </c>
      <c r="CH93" s="357">
        <v>2365297</v>
      </c>
      <c r="CI93" s="357">
        <v>2401367</v>
      </c>
      <c r="CJ93" s="357">
        <v>0</v>
      </c>
      <c r="CK93" s="357">
        <v>0</v>
      </c>
      <c r="CL93" s="357">
        <v>0</v>
      </c>
      <c r="CM93" s="357">
        <v>0</v>
      </c>
      <c r="CN93" s="357">
        <v>0</v>
      </c>
      <c r="CO93" s="357">
        <v>2401367</v>
      </c>
      <c r="CP93" s="357">
        <v>0</v>
      </c>
      <c r="CQ93" s="357">
        <v>0</v>
      </c>
      <c r="CR93" s="357">
        <v>2401367</v>
      </c>
      <c r="CS93" s="357">
        <v>159092</v>
      </c>
      <c r="CT93" s="357">
        <v>0</v>
      </c>
      <c r="CU93" s="357">
        <v>0</v>
      </c>
      <c r="CV93" s="357">
        <v>159092</v>
      </c>
      <c r="CW93" s="357">
        <v>35626</v>
      </c>
      <c r="CX93" s="357">
        <v>0</v>
      </c>
      <c r="CY93" s="357">
        <v>0</v>
      </c>
      <c r="CZ93" s="357">
        <v>35626</v>
      </c>
      <c r="DA93" s="357">
        <v>260</v>
      </c>
      <c r="DB93" s="357">
        <v>0</v>
      </c>
      <c r="DC93" s="357">
        <v>0</v>
      </c>
      <c r="DD93" s="357">
        <v>260</v>
      </c>
      <c r="DE93" s="357">
        <v>21727</v>
      </c>
      <c r="DF93" s="357">
        <v>0</v>
      </c>
      <c r="DG93" s="357">
        <v>0</v>
      </c>
      <c r="DH93" s="357">
        <v>21727</v>
      </c>
      <c r="DI93" s="357">
        <v>0</v>
      </c>
      <c r="DJ93" s="357">
        <v>0</v>
      </c>
      <c r="DK93" s="357">
        <v>0</v>
      </c>
      <c r="DL93" s="357">
        <v>0</v>
      </c>
      <c r="DM93" s="357">
        <v>0</v>
      </c>
      <c r="DN93" s="357">
        <v>0</v>
      </c>
      <c r="DO93" s="357">
        <v>0</v>
      </c>
      <c r="DP93" s="357">
        <v>0</v>
      </c>
      <c r="DQ93" s="357">
        <v>216705</v>
      </c>
      <c r="DR93" s="357">
        <v>0</v>
      </c>
      <c r="DS93" s="357">
        <v>0</v>
      </c>
      <c r="DT93" s="357">
        <v>0</v>
      </c>
      <c r="DU93" s="357">
        <v>0</v>
      </c>
      <c r="DV93" s="357">
        <v>0</v>
      </c>
      <c r="DW93" s="357">
        <v>216705</v>
      </c>
      <c r="DX93" s="357">
        <v>0</v>
      </c>
      <c r="DY93" s="357">
        <v>0</v>
      </c>
      <c r="DZ93" s="357">
        <v>216705</v>
      </c>
      <c r="EA93" s="357">
        <v>0</v>
      </c>
      <c r="EB93" s="357">
        <v>0</v>
      </c>
      <c r="EC93" s="357">
        <v>381816</v>
      </c>
      <c r="ED93" s="357">
        <v>0</v>
      </c>
      <c r="EE93" s="357">
        <v>0</v>
      </c>
      <c r="EF93" s="357">
        <v>381816</v>
      </c>
      <c r="EG93" s="357">
        <v>473059</v>
      </c>
      <c r="EH93" s="357">
        <v>0</v>
      </c>
      <c r="EI93" s="357">
        <v>0</v>
      </c>
      <c r="EJ93" s="357">
        <v>473059</v>
      </c>
      <c r="EK93" s="357">
        <v>820215</v>
      </c>
      <c r="EL93" s="357">
        <v>0</v>
      </c>
      <c r="EM93" s="357">
        <v>0</v>
      </c>
      <c r="EN93" s="357">
        <v>820215</v>
      </c>
      <c r="EO93" s="357">
        <v>1675090</v>
      </c>
      <c r="EP93" s="357">
        <v>0</v>
      </c>
      <c r="EQ93" s="357">
        <v>0</v>
      </c>
      <c r="ER93" s="357">
        <v>0</v>
      </c>
      <c r="ES93" s="357">
        <v>0</v>
      </c>
      <c r="ET93" s="357">
        <v>0</v>
      </c>
      <c r="EU93" s="357">
        <v>1675090</v>
      </c>
      <c r="EV93" s="357">
        <v>0</v>
      </c>
      <c r="EW93" s="357">
        <v>0</v>
      </c>
      <c r="EX93" s="357">
        <v>1675090</v>
      </c>
      <c r="EY93" s="357">
        <v>43955662</v>
      </c>
      <c r="EZ93" s="357">
        <v>0</v>
      </c>
      <c r="FA93" s="357">
        <v>0</v>
      </c>
      <c r="FB93" s="357">
        <v>43955662</v>
      </c>
      <c r="FC93" s="277">
        <v>0</v>
      </c>
      <c r="FD93" s="205"/>
    </row>
    <row r="94" spans="1:160" ht="12.75">
      <c r="A94" s="169">
        <v>87</v>
      </c>
      <c r="B94" s="172" t="s">
        <v>81</v>
      </c>
      <c r="C94" s="258" t="s">
        <v>82</v>
      </c>
      <c r="D94" s="235">
        <v>41639</v>
      </c>
      <c r="E94" s="357">
        <v>87707204</v>
      </c>
      <c r="F94" s="357">
        <v>0</v>
      </c>
      <c r="G94" s="357">
        <v>0</v>
      </c>
      <c r="H94" s="357">
        <v>87707204</v>
      </c>
      <c r="I94" s="357">
        <v>41310093</v>
      </c>
      <c r="J94" s="357">
        <v>0</v>
      </c>
      <c r="K94" s="357">
        <v>0</v>
      </c>
      <c r="L94" s="357">
        <v>95142</v>
      </c>
      <c r="M94" s="357">
        <v>0</v>
      </c>
      <c r="N94" s="357">
        <v>0</v>
      </c>
      <c r="O94" s="357">
        <v>41405235</v>
      </c>
      <c r="P94" s="357">
        <v>0</v>
      </c>
      <c r="Q94" s="357">
        <v>0</v>
      </c>
      <c r="R94" s="357">
        <v>41405235</v>
      </c>
      <c r="S94" s="357">
        <v>74448</v>
      </c>
      <c r="T94" s="357">
        <v>0</v>
      </c>
      <c r="U94" s="357">
        <v>0</v>
      </c>
      <c r="V94" s="357">
        <v>74448</v>
      </c>
      <c r="W94" s="357">
        <v>6</v>
      </c>
      <c r="X94" s="357">
        <v>0</v>
      </c>
      <c r="Y94" s="357">
        <v>0</v>
      </c>
      <c r="Z94" s="357">
        <v>6</v>
      </c>
      <c r="AA94" s="357">
        <v>74442</v>
      </c>
      <c r="AB94" s="357">
        <v>0</v>
      </c>
      <c r="AC94" s="357">
        <v>0</v>
      </c>
      <c r="AD94" s="357">
        <v>0</v>
      </c>
      <c r="AE94" s="357">
        <v>0</v>
      </c>
      <c r="AF94" s="357">
        <v>0</v>
      </c>
      <c r="AG94" s="357">
        <v>74442</v>
      </c>
      <c r="AH94" s="357">
        <v>0</v>
      </c>
      <c r="AI94" s="357">
        <v>0</v>
      </c>
      <c r="AJ94" s="357">
        <v>74442</v>
      </c>
      <c r="AK94" s="357">
        <v>74442</v>
      </c>
      <c r="AL94" s="357">
        <v>0</v>
      </c>
      <c r="AM94" s="357">
        <v>0</v>
      </c>
      <c r="AN94" s="357">
        <v>74442</v>
      </c>
      <c r="AO94" s="357">
        <v>4360338</v>
      </c>
      <c r="AP94" s="357">
        <v>0</v>
      </c>
      <c r="AQ94" s="357">
        <v>0</v>
      </c>
      <c r="AR94" s="357">
        <v>4360338</v>
      </c>
      <c r="AS94" s="357">
        <v>87207</v>
      </c>
      <c r="AT94" s="357">
        <v>0</v>
      </c>
      <c r="AU94" s="357">
        <v>0</v>
      </c>
      <c r="AV94" s="357">
        <v>87207</v>
      </c>
      <c r="AW94" s="357">
        <v>714177</v>
      </c>
      <c r="AX94" s="357">
        <v>0</v>
      </c>
      <c r="AY94" s="357">
        <v>0</v>
      </c>
      <c r="AZ94" s="357">
        <v>714177</v>
      </c>
      <c r="BA94" s="357">
        <v>3646161</v>
      </c>
      <c r="BB94" s="357">
        <v>0</v>
      </c>
      <c r="BC94" s="357">
        <v>0</v>
      </c>
      <c r="BD94" s="357">
        <v>3646161</v>
      </c>
      <c r="BE94" s="357">
        <v>1984027</v>
      </c>
      <c r="BF94" s="357">
        <v>0</v>
      </c>
      <c r="BG94" s="357">
        <v>0</v>
      </c>
      <c r="BH94" s="357">
        <v>1984027</v>
      </c>
      <c r="BI94" s="357">
        <v>77924</v>
      </c>
      <c r="BJ94" s="357">
        <v>0</v>
      </c>
      <c r="BK94" s="357">
        <v>0</v>
      </c>
      <c r="BL94" s="357">
        <v>77924</v>
      </c>
      <c r="BM94" s="357">
        <v>107440</v>
      </c>
      <c r="BN94" s="357">
        <v>0</v>
      </c>
      <c r="BO94" s="357">
        <v>0</v>
      </c>
      <c r="BP94" s="357">
        <v>107440</v>
      </c>
      <c r="BQ94" s="357">
        <v>5815552</v>
      </c>
      <c r="BR94" s="357">
        <v>0</v>
      </c>
      <c r="BS94" s="357">
        <v>0</v>
      </c>
      <c r="BT94" s="357">
        <v>98345</v>
      </c>
      <c r="BU94" s="357">
        <v>0</v>
      </c>
      <c r="BV94" s="357">
        <v>0</v>
      </c>
      <c r="BW94" s="357">
        <v>5913897</v>
      </c>
      <c r="BX94" s="357">
        <v>0</v>
      </c>
      <c r="BY94" s="357">
        <v>0</v>
      </c>
      <c r="BZ94" s="357">
        <v>5913897</v>
      </c>
      <c r="CA94" s="357">
        <v>0</v>
      </c>
      <c r="CB94" s="357">
        <v>0</v>
      </c>
      <c r="CC94" s="357">
        <v>0</v>
      </c>
      <c r="CD94" s="357">
        <v>0</v>
      </c>
      <c r="CE94" s="357">
        <v>858961</v>
      </c>
      <c r="CF94" s="357">
        <v>0</v>
      </c>
      <c r="CG94" s="357">
        <v>0</v>
      </c>
      <c r="CH94" s="357">
        <v>858961</v>
      </c>
      <c r="CI94" s="357">
        <v>858961</v>
      </c>
      <c r="CJ94" s="357">
        <v>0</v>
      </c>
      <c r="CK94" s="357">
        <v>0</v>
      </c>
      <c r="CL94" s="357">
        <v>85896</v>
      </c>
      <c r="CM94" s="357">
        <v>0</v>
      </c>
      <c r="CN94" s="357">
        <v>0</v>
      </c>
      <c r="CO94" s="357">
        <v>944857</v>
      </c>
      <c r="CP94" s="357">
        <v>0</v>
      </c>
      <c r="CQ94" s="357">
        <v>0</v>
      </c>
      <c r="CR94" s="357">
        <v>944857</v>
      </c>
      <c r="CS94" s="357">
        <v>64750</v>
      </c>
      <c r="CT94" s="357">
        <v>0</v>
      </c>
      <c r="CU94" s="357">
        <v>0</v>
      </c>
      <c r="CV94" s="357">
        <v>64750</v>
      </c>
      <c r="CW94" s="357">
        <v>3533</v>
      </c>
      <c r="CX94" s="357">
        <v>0</v>
      </c>
      <c r="CY94" s="357">
        <v>0</v>
      </c>
      <c r="CZ94" s="357">
        <v>3533</v>
      </c>
      <c r="DA94" s="357">
        <v>9289</v>
      </c>
      <c r="DB94" s="357">
        <v>0</v>
      </c>
      <c r="DC94" s="357">
        <v>0</v>
      </c>
      <c r="DD94" s="357">
        <v>9289</v>
      </c>
      <c r="DE94" s="357">
        <v>20756</v>
      </c>
      <c r="DF94" s="357">
        <v>0</v>
      </c>
      <c r="DG94" s="357">
        <v>0</v>
      </c>
      <c r="DH94" s="357">
        <v>20756</v>
      </c>
      <c r="DI94" s="357">
        <v>0</v>
      </c>
      <c r="DJ94" s="357">
        <v>0</v>
      </c>
      <c r="DK94" s="357">
        <v>0</v>
      </c>
      <c r="DL94" s="357">
        <v>0</v>
      </c>
      <c r="DM94" s="357">
        <v>0</v>
      </c>
      <c r="DN94" s="357">
        <v>0</v>
      </c>
      <c r="DO94" s="357">
        <v>0</v>
      </c>
      <c r="DP94" s="357">
        <v>0</v>
      </c>
      <c r="DQ94" s="357">
        <v>98328</v>
      </c>
      <c r="DR94" s="357">
        <v>0</v>
      </c>
      <c r="DS94" s="357">
        <v>0</v>
      </c>
      <c r="DT94" s="357">
        <v>2000</v>
      </c>
      <c r="DU94" s="357">
        <v>0</v>
      </c>
      <c r="DV94" s="357">
        <v>0</v>
      </c>
      <c r="DW94" s="357">
        <v>100328</v>
      </c>
      <c r="DX94" s="357">
        <v>0</v>
      </c>
      <c r="DY94" s="357">
        <v>0</v>
      </c>
      <c r="DZ94" s="357">
        <v>100328</v>
      </c>
      <c r="EA94" s="357">
        <v>0</v>
      </c>
      <c r="EB94" s="357">
        <v>0</v>
      </c>
      <c r="EC94" s="357">
        <v>0</v>
      </c>
      <c r="ED94" s="357">
        <v>0</v>
      </c>
      <c r="EE94" s="357">
        <v>0</v>
      </c>
      <c r="EF94" s="357">
        <v>0</v>
      </c>
      <c r="EG94" s="357">
        <v>8420</v>
      </c>
      <c r="EH94" s="357">
        <v>0</v>
      </c>
      <c r="EI94" s="357">
        <v>0</v>
      </c>
      <c r="EJ94" s="357">
        <v>8420</v>
      </c>
      <c r="EK94" s="357">
        <v>941351</v>
      </c>
      <c r="EL94" s="357">
        <v>0</v>
      </c>
      <c r="EM94" s="357">
        <v>0</v>
      </c>
      <c r="EN94" s="357">
        <v>941351</v>
      </c>
      <c r="EO94" s="357">
        <v>949771</v>
      </c>
      <c r="EP94" s="357">
        <v>0</v>
      </c>
      <c r="EQ94" s="357">
        <v>0</v>
      </c>
      <c r="ER94" s="357">
        <v>0</v>
      </c>
      <c r="ES94" s="357">
        <v>0</v>
      </c>
      <c r="ET94" s="357">
        <v>0</v>
      </c>
      <c r="EU94" s="357">
        <v>949771</v>
      </c>
      <c r="EV94" s="357">
        <v>0</v>
      </c>
      <c r="EW94" s="357">
        <v>0</v>
      </c>
      <c r="EX94" s="357">
        <v>949771</v>
      </c>
      <c r="EY94" s="357">
        <v>33421940</v>
      </c>
      <c r="EZ94" s="357">
        <v>0</v>
      </c>
      <c r="FA94" s="357">
        <v>0</v>
      </c>
      <c r="FB94" s="357">
        <v>33421940</v>
      </c>
      <c r="FC94" s="277">
        <v>0</v>
      </c>
      <c r="FD94" s="205"/>
    </row>
    <row r="95" spans="1:160" ht="12.75">
      <c r="A95" s="169">
        <v>88</v>
      </c>
      <c r="B95" s="172" t="s">
        <v>83</v>
      </c>
      <c r="C95" s="258" t="s">
        <v>84</v>
      </c>
      <c r="D95" s="235">
        <v>311213</v>
      </c>
      <c r="E95" s="357">
        <v>54869854</v>
      </c>
      <c r="F95" s="357">
        <v>0</v>
      </c>
      <c r="G95" s="357">
        <v>0</v>
      </c>
      <c r="H95" s="357">
        <v>54869854</v>
      </c>
      <c r="I95" s="357">
        <v>25843701</v>
      </c>
      <c r="J95" s="357">
        <v>0</v>
      </c>
      <c r="K95" s="357">
        <v>0</v>
      </c>
      <c r="L95" s="357">
        <v>90000</v>
      </c>
      <c r="M95" s="357">
        <v>0</v>
      </c>
      <c r="N95" s="357">
        <v>0</v>
      </c>
      <c r="O95" s="357">
        <v>25933701</v>
      </c>
      <c r="P95" s="357">
        <v>0</v>
      </c>
      <c r="Q95" s="357">
        <v>0</v>
      </c>
      <c r="R95" s="357">
        <v>25933701</v>
      </c>
      <c r="S95" s="357">
        <v>21158</v>
      </c>
      <c r="T95" s="357">
        <v>0</v>
      </c>
      <c r="U95" s="357">
        <v>0</v>
      </c>
      <c r="V95" s="357">
        <v>21158</v>
      </c>
      <c r="W95" s="357">
        <v>21325</v>
      </c>
      <c r="X95" s="357">
        <v>0</v>
      </c>
      <c r="Y95" s="357">
        <v>0</v>
      </c>
      <c r="Z95" s="357">
        <v>21325</v>
      </c>
      <c r="AA95" s="357">
        <v>-167</v>
      </c>
      <c r="AB95" s="357">
        <v>0</v>
      </c>
      <c r="AC95" s="357">
        <v>0</v>
      </c>
      <c r="AD95" s="357">
        <v>5000</v>
      </c>
      <c r="AE95" s="357">
        <v>0</v>
      </c>
      <c r="AF95" s="357">
        <v>0</v>
      </c>
      <c r="AG95" s="357">
        <v>4833</v>
      </c>
      <c r="AH95" s="357">
        <v>0</v>
      </c>
      <c r="AI95" s="357">
        <v>0</v>
      </c>
      <c r="AJ95" s="357">
        <v>4833</v>
      </c>
      <c r="AK95" s="357">
        <v>4833</v>
      </c>
      <c r="AL95" s="357">
        <v>0</v>
      </c>
      <c r="AM95" s="357">
        <v>0</v>
      </c>
      <c r="AN95" s="357">
        <v>4833</v>
      </c>
      <c r="AO95" s="357">
        <v>1772269</v>
      </c>
      <c r="AP95" s="357">
        <v>0</v>
      </c>
      <c r="AQ95" s="357">
        <v>0</v>
      </c>
      <c r="AR95" s="357">
        <v>1772269</v>
      </c>
      <c r="AS95" s="357">
        <v>10000</v>
      </c>
      <c r="AT95" s="357">
        <v>0</v>
      </c>
      <c r="AU95" s="357">
        <v>0</v>
      </c>
      <c r="AV95" s="357">
        <v>10000</v>
      </c>
      <c r="AW95" s="357">
        <v>498956</v>
      </c>
      <c r="AX95" s="357">
        <v>0</v>
      </c>
      <c r="AY95" s="357">
        <v>0</v>
      </c>
      <c r="AZ95" s="357">
        <v>498956</v>
      </c>
      <c r="BA95" s="357">
        <v>1273313</v>
      </c>
      <c r="BB95" s="357">
        <v>0</v>
      </c>
      <c r="BC95" s="357">
        <v>0</v>
      </c>
      <c r="BD95" s="357">
        <v>1273313</v>
      </c>
      <c r="BE95" s="357">
        <v>1521856</v>
      </c>
      <c r="BF95" s="357">
        <v>0</v>
      </c>
      <c r="BG95" s="357">
        <v>0</v>
      </c>
      <c r="BH95" s="357">
        <v>1521856</v>
      </c>
      <c r="BI95" s="357">
        <v>21391</v>
      </c>
      <c r="BJ95" s="357">
        <v>0</v>
      </c>
      <c r="BK95" s="357">
        <v>0</v>
      </c>
      <c r="BL95" s="357">
        <v>21391</v>
      </c>
      <c r="BM95" s="357">
        <v>33381</v>
      </c>
      <c r="BN95" s="357">
        <v>0</v>
      </c>
      <c r="BO95" s="357">
        <v>0</v>
      </c>
      <c r="BP95" s="357">
        <v>33381</v>
      </c>
      <c r="BQ95" s="357">
        <v>2849941</v>
      </c>
      <c r="BR95" s="357">
        <v>0</v>
      </c>
      <c r="BS95" s="357">
        <v>0</v>
      </c>
      <c r="BT95" s="357">
        <v>14275</v>
      </c>
      <c r="BU95" s="357">
        <v>0</v>
      </c>
      <c r="BV95" s="357">
        <v>0</v>
      </c>
      <c r="BW95" s="357">
        <v>2864216</v>
      </c>
      <c r="BX95" s="357">
        <v>0</v>
      </c>
      <c r="BY95" s="357">
        <v>0</v>
      </c>
      <c r="BZ95" s="357">
        <v>2864216</v>
      </c>
      <c r="CA95" s="357">
        <v>25000</v>
      </c>
      <c r="CB95" s="357">
        <v>0</v>
      </c>
      <c r="CC95" s="357">
        <v>0</v>
      </c>
      <c r="CD95" s="357">
        <v>25000</v>
      </c>
      <c r="CE95" s="357">
        <v>602330</v>
      </c>
      <c r="CF95" s="357">
        <v>0</v>
      </c>
      <c r="CG95" s="357">
        <v>0</v>
      </c>
      <c r="CH95" s="357">
        <v>602330</v>
      </c>
      <c r="CI95" s="357">
        <v>627330</v>
      </c>
      <c r="CJ95" s="357">
        <v>0</v>
      </c>
      <c r="CK95" s="357">
        <v>0</v>
      </c>
      <c r="CL95" s="357">
        <v>32000</v>
      </c>
      <c r="CM95" s="357">
        <v>0</v>
      </c>
      <c r="CN95" s="357">
        <v>0</v>
      </c>
      <c r="CO95" s="357">
        <v>659330</v>
      </c>
      <c r="CP95" s="357">
        <v>0</v>
      </c>
      <c r="CQ95" s="357">
        <v>0</v>
      </c>
      <c r="CR95" s="357">
        <v>659330</v>
      </c>
      <c r="CS95" s="357">
        <v>84746</v>
      </c>
      <c r="CT95" s="357">
        <v>0</v>
      </c>
      <c r="CU95" s="357">
        <v>0</v>
      </c>
      <c r="CV95" s="357">
        <v>84746</v>
      </c>
      <c r="CW95" s="357">
        <v>89830</v>
      </c>
      <c r="CX95" s="357">
        <v>0</v>
      </c>
      <c r="CY95" s="357">
        <v>0</v>
      </c>
      <c r="CZ95" s="357">
        <v>89830</v>
      </c>
      <c r="DA95" s="357">
        <v>5348</v>
      </c>
      <c r="DB95" s="357">
        <v>0</v>
      </c>
      <c r="DC95" s="357">
        <v>0</v>
      </c>
      <c r="DD95" s="357">
        <v>5348</v>
      </c>
      <c r="DE95" s="357">
        <v>20857</v>
      </c>
      <c r="DF95" s="357">
        <v>0</v>
      </c>
      <c r="DG95" s="357">
        <v>0</v>
      </c>
      <c r="DH95" s="357">
        <v>20857</v>
      </c>
      <c r="DI95" s="357">
        <v>62737</v>
      </c>
      <c r="DJ95" s="357">
        <v>0</v>
      </c>
      <c r="DK95" s="357">
        <v>0</v>
      </c>
      <c r="DL95" s="357">
        <v>62737</v>
      </c>
      <c r="DM95" s="357">
        <v>0</v>
      </c>
      <c r="DN95" s="357">
        <v>0</v>
      </c>
      <c r="DO95" s="357">
        <v>0</v>
      </c>
      <c r="DP95" s="357">
        <v>0</v>
      </c>
      <c r="DQ95" s="357">
        <v>263518</v>
      </c>
      <c r="DR95" s="357">
        <v>0</v>
      </c>
      <c r="DS95" s="357">
        <v>0</v>
      </c>
      <c r="DT95" s="357">
        <v>15000</v>
      </c>
      <c r="DU95" s="357">
        <v>0</v>
      </c>
      <c r="DV95" s="357">
        <v>0</v>
      </c>
      <c r="DW95" s="357">
        <v>278518</v>
      </c>
      <c r="DX95" s="357">
        <v>0</v>
      </c>
      <c r="DY95" s="357">
        <v>0</v>
      </c>
      <c r="DZ95" s="357">
        <v>278518</v>
      </c>
      <c r="EA95" s="357">
        <v>0</v>
      </c>
      <c r="EB95" s="357">
        <v>0</v>
      </c>
      <c r="EC95" s="357">
        <v>25000</v>
      </c>
      <c r="ED95" s="357">
        <v>0</v>
      </c>
      <c r="EE95" s="357">
        <v>0</v>
      </c>
      <c r="EF95" s="357">
        <v>25000</v>
      </c>
      <c r="EG95" s="357">
        <v>3000</v>
      </c>
      <c r="EH95" s="357">
        <v>0</v>
      </c>
      <c r="EI95" s="357">
        <v>0</v>
      </c>
      <c r="EJ95" s="357">
        <v>3000</v>
      </c>
      <c r="EK95" s="357">
        <v>255000</v>
      </c>
      <c r="EL95" s="357">
        <v>0</v>
      </c>
      <c r="EM95" s="357">
        <v>0</v>
      </c>
      <c r="EN95" s="357">
        <v>255000</v>
      </c>
      <c r="EO95" s="357">
        <v>283000</v>
      </c>
      <c r="EP95" s="357">
        <v>0</v>
      </c>
      <c r="EQ95" s="357">
        <v>0</v>
      </c>
      <c r="ER95" s="357">
        <v>14150</v>
      </c>
      <c r="ES95" s="357">
        <v>0</v>
      </c>
      <c r="ET95" s="357">
        <v>0</v>
      </c>
      <c r="EU95" s="357">
        <v>297150</v>
      </c>
      <c r="EV95" s="357">
        <v>0</v>
      </c>
      <c r="EW95" s="357">
        <v>0</v>
      </c>
      <c r="EX95" s="357">
        <v>297150</v>
      </c>
      <c r="EY95" s="357">
        <v>21829654</v>
      </c>
      <c r="EZ95" s="357">
        <v>0</v>
      </c>
      <c r="FA95" s="357">
        <v>0</v>
      </c>
      <c r="FB95" s="357">
        <v>21829654</v>
      </c>
      <c r="FC95" s="277">
        <v>0</v>
      </c>
      <c r="FD95" s="205"/>
    </row>
    <row r="96" spans="1:160" ht="12.75">
      <c r="A96" s="169">
        <v>89</v>
      </c>
      <c r="B96" s="172" t="s">
        <v>85</v>
      </c>
      <c r="C96" s="258" t="s">
        <v>86</v>
      </c>
      <c r="D96" s="235">
        <v>41639</v>
      </c>
      <c r="E96" s="357">
        <v>230421527</v>
      </c>
      <c r="F96" s="357">
        <v>0</v>
      </c>
      <c r="G96" s="357">
        <v>200000</v>
      </c>
      <c r="H96" s="357">
        <v>230621527</v>
      </c>
      <c r="I96" s="357">
        <v>108528539</v>
      </c>
      <c r="J96" s="357">
        <v>0</v>
      </c>
      <c r="K96" s="357">
        <v>94200</v>
      </c>
      <c r="L96" s="357">
        <v>1209946</v>
      </c>
      <c r="M96" s="357">
        <v>0</v>
      </c>
      <c r="N96" s="357">
        <v>0</v>
      </c>
      <c r="O96" s="357">
        <v>109738485</v>
      </c>
      <c r="P96" s="357">
        <v>0</v>
      </c>
      <c r="Q96" s="357">
        <v>94200</v>
      </c>
      <c r="R96" s="357">
        <v>109832685</v>
      </c>
      <c r="S96" s="357">
        <v>279236</v>
      </c>
      <c r="T96" s="357">
        <v>0</v>
      </c>
      <c r="U96" s="357">
        <v>0</v>
      </c>
      <c r="V96" s="357">
        <v>279236</v>
      </c>
      <c r="W96" s="357">
        <v>42550</v>
      </c>
      <c r="X96" s="357">
        <v>0</v>
      </c>
      <c r="Y96" s="357">
        <v>0</v>
      </c>
      <c r="Z96" s="357">
        <v>42550</v>
      </c>
      <c r="AA96" s="357">
        <v>236686</v>
      </c>
      <c r="AB96" s="357">
        <v>0</v>
      </c>
      <c r="AC96" s="357">
        <v>0</v>
      </c>
      <c r="AD96" s="357">
        <v>2642</v>
      </c>
      <c r="AE96" s="357">
        <v>0</v>
      </c>
      <c r="AF96" s="357">
        <v>0</v>
      </c>
      <c r="AG96" s="357">
        <v>239328</v>
      </c>
      <c r="AH96" s="357">
        <v>0</v>
      </c>
      <c r="AI96" s="357">
        <v>0</v>
      </c>
      <c r="AJ96" s="357">
        <v>239328</v>
      </c>
      <c r="AK96" s="357">
        <v>239328</v>
      </c>
      <c r="AL96" s="357">
        <v>0</v>
      </c>
      <c r="AM96" s="357">
        <v>0</v>
      </c>
      <c r="AN96" s="357">
        <v>239328</v>
      </c>
      <c r="AO96" s="357">
        <v>7210194</v>
      </c>
      <c r="AP96" s="357">
        <v>0</v>
      </c>
      <c r="AQ96" s="357">
        <v>0</v>
      </c>
      <c r="AR96" s="357">
        <v>7210194</v>
      </c>
      <c r="AS96" s="357">
        <v>4380</v>
      </c>
      <c r="AT96" s="357">
        <v>0</v>
      </c>
      <c r="AU96" s="357">
        <v>0</v>
      </c>
      <c r="AV96" s="357">
        <v>4380</v>
      </c>
      <c r="AW96" s="357">
        <v>2083489</v>
      </c>
      <c r="AX96" s="357">
        <v>0</v>
      </c>
      <c r="AY96" s="357">
        <v>2200</v>
      </c>
      <c r="AZ96" s="357">
        <v>2085689</v>
      </c>
      <c r="BA96" s="357">
        <v>5126705</v>
      </c>
      <c r="BB96" s="357">
        <v>0</v>
      </c>
      <c r="BC96" s="357">
        <v>-2200</v>
      </c>
      <c r="BD96" s="357">
        <v>5124505</v>
      </c>
      <c r="BE96" s="357">
        <v>2871176</v>
      </c>
      <c r="BF96" s="357">
        <v>0</v>
      </c>
      <c r="BG96" s="357">
        <v>0</v>
      </c>
      <c r="BH96" s="357">
        <v>2871176</v>
      </c>
      <c r="BI96" s="357">
        <v>44132</v>
      </c>
      <c r="BJ96" s="357">
        <v>0</v>
      </c>
      <c r="BK96" s="357">
        <v>0</v>
      </c>
      <c r="BL96" s="357">
        <v>44132</v>
      </c>
      <c r="BM96" s="357">
        <v>119700</v>
      </c>
      <c r="BN96" s="357">
        <v>0</v>
      </c>
      <c r="BO96" s="357">
        <v>0</v>
      </c>
      <c r="BP96" s="357">
        <v>119700</v>
      </c>
      <c r="BQ96" s="357">
        <v>8161713</v>
      </c>
      <c r="BR96" s="357">
        <v>0</v>
      </c>
      <c r="BS96" s="357">
        <v>-2200</v>
      </c>
      <c r="BT96" s="357">
        <v>0</v>
      </c>
      <c r="BU96" s="357">
        <v>0</v>
      </c>
      <c r="BV96" s="357">
        <v>0</v>
      </c>
      <c r="BW96" s="357">
        <v>8161713</v>
      </c>
      <c r="BX96" s="357">
        <v>0</v>
      </c>
      <c r="BY96" s="357">
        <v>-2200</v>
      </c>
      <c r="BZ96" s="357">
        <v>8159513</v>
      </c>
      <c r="CA96" s="357">
        <v>0</v>
      </c>
      <c r="CB96" s="357">
        <v>0</v>
      </c>
      <c r="CC96" s="357">
        <v>0</v>
      </c>
      <c r="CD96" s="357">
        <v>0</v>
      </c>
      <c r="CE96" s="357">
        <v>1600658</v>
      </c>
      <c r="CF96" s="357">
        <v>0</v>
      </c>
      <c r="CG96" s="357">
        <v>0</v>
      </c>
      <c r="CH96" s="357">
        <v>1600658</v>
      </c>
      <c r="CI96" s="357">
        <v>1600658</v>
      </c>
      <c r="CJ96" s="357">
        <v>0</v>
      </c>
      <c r="CK96" s="357">
        <v>0</v>
      </c>
      <c r="CL96" s="357">
        <v>12099</v>
      </c>
      <c r="CM96" s="357">
        <v>0</v>
      </c>
      <c r="CN96" s="357">
        <v>0</v>
      </c>
      <c r="CO96" s="357">
        <v>1612757</v>
      </c>
      <c r="CP96" s="357">
        <v>0</v>
      </c>
      <c r="CQ96" s="357">
        <v>0</v>
      </c>
      <c r="CR96" s="357">
        <v>1612757</v>
      </c>
      <c r="CS96" s="357">
        <v>120842</v>
      </c>
      <c r="CT96" s="357">
        <v>0</v>
      </c>
      <c r="CU96" s="357">
        <v>0</v>
      </c>
      <c r="CV96" s="357">
        <v>120842</v>
      </c>
      <c r="CW96" s="357">
        <v>377596</v>
      </c>
      <c r="CX96" s="357">
        <v>0</v>
      </c>
      <c r="CY96" s="357">
        <v>0</v>
      </c>
      <c r="CZ96" s="357">
        <v>377596</v>
      </c>
      <c r="DA96" s="357">
        <v>5553</v>
      </c>
      <c r="DB96" s="357">
        <v>0</v>
      </c>
      <c r="DC96" s="357">
        <v>0</v>
      </c>
      <c r="DD96" s="357">
        <v>5553</v>
      </c>
      <c r="DE96" s="357">
        <v>46036</v>
      </c>
      <c r="DF96" s="357">
        <v>0</v>
      </c>
      <c r="DG96" s="357">
        <v>0</v>
      </c>
      <c r="DH96" s="357">
        <v>46036</v>
      </c>
      <c r="DI96" s="357">
        <v>153597</v>
      </c>
      <c r="DJ96" s="357">
        <v>0</v>
      </c>
      <c r="DK96" s="357">
        <v>0</v>
      </c>
      <c r="DL96" s="357">
        <v>153597</v>
      </c>
      <c r="DM96" s="357">
        <v>0</v>
      </c>
      <c r="DN96" s="357">
        <v>0</v>
      </c>
      <c r="DO96" s="357">
        <v>0</v>
      </c>
      <c r="DP96" s="357">
        <v>0</v>
      </c>
      <c r="DQ96" s="357">
        <v>703624</v>
      </c>
      <c r="DR96" s="357">
        <v>0</v>
      </c>
      <c r="DS96" s="357">
        <v>0</v>
      </c>
      <c r="DT96" s="357">
        <v>0</v>
      </c>
      <c r="DU96" s="357">
        <v>0</v>
      </c>
      <c r="DV96" s="357">
        <v>0</v>
      </c>
      <c r="DW96" s="357">
        <v>703624</v>
      </c>
      <c r="DX96" s="357">
        <v>0</v>
      </c>
      <c r="DY96" s="357">
        <v>0</v>
      </c>
      <c r="DZ96" s="357">
        <v>703624</v>
      </c>
      <c r="EA96" s="357">
        <v>62829</v>
      </c>
      <c r="EB96" s="357">
        <v>121833</v>
      </c>
      <c r="EC96" s="357">
        <v>0</v>
      </c>
      <c r="ED96" s="357">
        <v>0</v>
      </c>
      <c r="EE96" s="357">
        <v>0</v>
      </c>
      <c r="EF96" s="357">
        <v>0</v>
      </c>
      <c r="EG96" s="357">
        <v>88431</v>
      </c>
      <c r="EH96" s="357">
        <v>0</v>
      </c>
      <c r="EI96" s="357">
        <v>0</v>
      </c>
      <c r="EJ96" s="357">
        <v>88431</v>
      </c>
      <c r="EK96" s="357">
        <v>1709679</v>
      </c>
      <c r="EL96" s="357">
        <v>0</v>
      </c>
      <c r="EM96" s="357">
        <v>0</v>
      </c>
      <c r="EN96" s="357">
        <v>1709679</v>
      </c>
      <c r="EO96" s="357">
        <v>1798110</v>
      </c>
      <c r="EP96" s="357">
        <v>0</v>
      </c>
      <c r="EQ96" s="357">
        <v>0</v>
      </c>
      <c r="ER96" s="357">
        <v>0</v>
      </c>
      <c r="ES96" s="357">
        <v>0</v>
      </c>
      <c r="ET96" s="357">
        <v>0</v>
      </c>
      <c r="EU96" s="357">
        <v>1798110</v>
      </c>
      <c r="EV96" s="357">
        <v>0</v>
      </c>
      <c r="EW96" s="357">
        <v>0</v>
      </c>
      <c r="EX96" s="357">
        <v>1798110</v>
      </c>
      <c r="EY96" s="357">
        <v>97222953</v>
      </c>
      <c r="EZ96" s="357">
        <v>0</v>
      </c>
      <c r="FA96" s="357">
        <v>96400</v>
      </c>
      <c r="FB96" s="357">
        <v>97319353</v>
      </c>
      <c r="FC96" s="277">
        <v>0</v>
      </c>
      <c r="FD96" s="205"/>
    </row>
    <row r="97" spans="1:160" ht="12.75">
      <c r="A97" s="169">
        <v>90</v>
      </c>
      <c r="B97" s="172" t="s">
        <v>87</v>
      </c>
      <c r="C97" s="258" t="s">
        <v>88</v>
      </c>
      <c r="D97" s="235">
        <v>41550</v>
      </c>
      <c r="E97" s="357">
        <v>132089144</v>
      </c>
      <c r="F97" s="357">
        <v>0</v>
      </c>
      <c r="G97" s="357">
        <v>0</v>
      </c>
      <c r="H97" s="357">
        <v>132089144</v>
      </c>
      <c r="I97" s="357">
        <v>62213987</v>
      </c>
      <c r="J97" s="357">
        <v>0</v>
      </c>
      <c r="K97" s="357">
        <v>0</v>
      </c>
      <c r="L97" s="357">
        <v>0</v>
      </c>
      <c r="M97" s="357">
        <v>0</v>
      </c>
      <c r="N97" s="357">
        <v>0</v>
      </c>
      <c r="O97" s="357">
        <v>62213987</v>
      </c>
      <c r="P97" s="357">
        <v>0</v>
      </c>
      <c r="Q97" s="357">
        <v>0</v>
      </c>
      <c r="R97" s="357">
        <v>62213987</v>
      </c>
      <c r="S97" s="357">
        <v>50240.3</v>
      </c>
      <c r="T97" s="357">
        <v>0</v>
      </c>
      <c r="U97" s="357">
        <v>0</v>
      </c>
      <c r="V97" s="357">
        <v>50240.3</v>
      </c>
      <c r="W97" s="357">
        <v>9589.53</v>
      </c>
      <c r="X97" s="357">
        <v>0</v>
      </c>
      <c r="Y97" s="357">
        <v>0</v>
      </c>
      <c r="Z97" s="357">
        <v>9589.53</v>
      </c>
      <c r="AA97" s="357">
        <v>40650.77</v>
      </c>
      <c r="AB97" s="357">
        <v>0</v>
      </c>
      <c r="AC97" s="357">
        <v>0</v>
      </c>
      <c r="AD97" s="357">
        <v>0</v>
      </c>
      <c r="AE97" s="357">
        <v>0</v>
      </c>
      <c r="AF97" s="357">
        <v>0</v>
      </c>
      <c r="AG97" s="357">
        <v>40650.77</v>
      </c>
      <c r="AH97" s="357">
        <v>0</v>
      </c>
      <c r="AI97" s="357">
        <v>0</v>
      </c>
      <c r="AJ97" s="357">
        <v>40650.77</v>
      </c>
      <c r="AK97" s="357">
        <v>40650.77</v>
      </c>
      <c r="AL97" s="357">
        <v>0</v>
      </c>
      <c r="AM97" s="357">
        <v>0</v>
      </c>
      <c r="AN97" s="357">
        <v>40650.77</v>
      </c>
      <c r="AO97" s="357">
        <v>1155029.28</v>
      </c>
      <c r="AP97" s="357">
        <v>0</v>
      </c>
      <c r="AQ97" s="357">
        <v>0</v>
      </c>
      <c r="AR97" s="357">
        <v>1155029.28</v>
      </c>
      <c r="AS97" s="357">
        <v>0</v>
      </c>
      <c r="AT97" s="357">
        <v>0</v>
      </c>
      <c r="AU97" s="357">
        <v>0</v>
      </c>
      <c r="AV97" s="357">
        <v>0</v>
      </c>
      <c r="AW97" s="357">
        <v>1053701.33</v>
      </c>
      <c r="AX97" s="357">
        <v>0</v>
      </c>
      <c r="AY97" s="357">
        <v>0</v>
      </c>
      <c r="AZ97" s="357">
        <v>1053701.33</v>
      </c>
      <c r="BA97" s="357">
        <v>101327.95</v>
      </c>
      <c r="BB97" s="357">
        <v>0</v>
      </c>
      <c r="BC97" s="357">
        <v>0</v>
      </c>
      <c r="BD97" s="357">
        <v>101327.95</v>
      </c>
      <c r="BE97" s="357">
        <v>1843296.76</v>
      </c>
      <c r="BF97" s="357">
        <v>0</v>
      </c>
      <c r="BG97" s="357">
        <v>0</v>
      </c>
      <c r="BH97" s="357">
        <v>1843296.76</v>
      </c>
      <c r="BI97" s="357">
        <v>53328.21</v>
      </c>
      <c r="BJ97" s="357">
        <v>0</v>
      </c>
      <c r="BK97" s="357">
        <v>0</v>
      </c>
      <c r="BL97" s="357">
        <v>53328.21</v>
      </c>
      <c r="BM97" s="357">
        <v>7941.09</v>
      </c>
      <c r="BN97" s="357">
        <v>0</v>
      </c>
      <c r="BO97" s="357">
        <v>0</v>
      </c>
      <c r="BP97" s="357">
        <v>7941.09</v>
      </c>
      <c r="BQ97" s="357">
        <v>2005894.01</v>
      </c>
      <c r="BR97" s="357">
        <v>0</v>
      </c>
      <c r="BS97" s="357">
        <v>0</v>
      </c>
      <c r="BT97" s="357">
        <v>368569</v>
      </c>
      <c r="BU97" s="357">
        <v>0</v>
      </c>
      <c r="BV97" s="357">
        <v>0</v>
      </c>
      <c r="BW97" s="357">
        <v>2374463.01</v>
      </c>
      <c r="BX97" s="357">
        <v>0</v>
      </c>
      <c r="BY97" s="357">
        <v>0</v>
      </c>
      <c r="BZ97" s="357">
        <v>2374463.01</v>
      </c>
      <c r="CA97" s="357">
        <v>0</v>
      </c>
      <c r="CB97" s="357">
        <v>0</v>
      </c>
      <c r="CC97" s="357">
        <v>0</v>
      </c>
      <c r="CD97" s="357">
        <v>0</v>
      </c>
      <c r="CE97" s="357">
        <v>2341119.63</v>
      </c>
      <c r="CF97" s="357">
        <v>0</v>
      </c>
      <c r="CG97" s="357">
        <v>0</v>
      </c>
      <c r="CH97" s="357">
        <v>2341119.63</v>
      </c>
      <c r="CI97" s="357">
        <v>2341119.63</v>
      </c>
      <c r="CJ97" s="357">
        <v>0</v>
      </c>
      <c r="CK97" s="357">
        <v>0</v>
      </c>
      <c r="CL97" s="357">
        <v>757867</v>
      </c>
      <c r="CM97" s="357">
        <v>0</v>
      </c>
      <c r="CN97" s="357">
        <v>0</v>
      </c>
      <c r="CO97" s="357">
        <v>3098986.63</v>
      </c>
      <c r="CP97" s="357">
        <v>0</v>
      </c>
      <c r="CQ97" s="357">
        <v>0</v>
      </c>
      <c r="CR97" s="357">
        <v>3098986.63</v>
      </c>
      <c r="CS97" s="357">
        <v>123881.49</v>
      </c>
      <c r="CT97" s="357">
        <v>0</v>
      </c>
      <c r="CU97" s="357">
        <v>0</v>
      </c>
      <c r="CV97" s="357">
        <v>123881.49</v>
      </c>
      <c r="CW97" s="357">
        <v>118118.54</v>
      </c>
      <c r="CX97" s="357">
        <v>0</v>
      </c>
      <c r="CY97" s="357">
        <v>0</v>
      </c>
      <c r="CZ97" s="357">
        <v>118118.54</v>
      </c>
      <c r="DA97" s="357">
        <v>9747.75</v>
      </c>
      <c r="DB97" s="357">
        <v>0</v>
      </c>
      <c r="DC97" s="357">
        <v>0</v>
      </c>
      <c r="DD97" s="357">
        <v>9747.75</v>
      </c>
      <c r="DE97" s="357">
        <v>10919.93</v>
      </c>
      <c r="DF97" s="357">
        <v>0</v>
      </c>
      <c r="DG97" s="357">
        <v>0</v>
      </c>
      <c r="DH97" s="357">
        <v>10919.93</v>
      </c>
      <c r="DI97" s="357">
        <v>3705.45</v>
      </c>
      <c r="DJ97" s="357">
        <v>0</v>
      </c>
      <c r="DK97" s="357">
        <v>0</v>
      </c>
      <c r="DL97" s="357">
        <v>3705.45</v>
      </c>
      <c r="DM97" s="357">
        <v>0</v>
      </c>
      <c r="DN97" s="357">
        <v>0</v>
      </c>
      <c r="DO97" s="357">
        <v>0</v>
      </c>
      <c r="DP97" s="357">
        <v>0</v>
      </c>
      <c r="DQ97" s="357">
        <v>266373.16</v>
      </c>
      <c r="DR97" s="357">
        <v>0</v>
      </c>
      <c r="DS97" s="357">
        <v>0</v>
      </c>
      <c r="DT97" s="357">
        <v>0</v>
      </c>
      <c r="DU97" s="357">
        <v>0</v>
      </c>
      <c r="DV97" s="357">
        <v>0</v>
      </c>
      <c r="DW97" s="357">
        <v>266373.16</v>
      </c>
      <c r="DX97" s="357">
        <v>0</v>
      </c>
      <c r="DY97" s="357">
        <v>0</v>
      </c>
      <c r="DZ97" s="357">
        <v>266373.16</v>
      </c>
      <c r="EA97" s="357">
        <v>0</v>
      </c>
      <c r="EB97" s="357">
        <v>0</v>
      </c>
      <c r="EC97" s="357">
        <v>24755.76</v>
      </c>
      <c r="ED97" s="357">
        <v>0</v>
      </c>
      <c r="EE97" s="357">
        <v>0</v>
      </c>
      <c r="EF97" s="357">
        <v>24755.76</v>
      </c>
      <c r="EG97" s="357">
        <v>162907.13</v>
      </c>
      <c r="EH97" s="357">
        <v>0</v>
      </c>
      <c r="EI97" s="357">
        <v>0</v>
      </c>
      <c r="EJ97" s="357">
        <v>162907.13</v>
      </c>
      <c r="EK97" s="357">
        <v>670000</v>
      </c>
      <c r="EL97" s="357">
        <v>0</v>
      </c>
      <c r="EM97" s="357">
        <v>0</v>
      </c>
      <c r="EN97" s="357">
        <v>670000</v>
      </c>
      <c r="EO97" s="357">
        <v>857662.89</v>
      </c>
      <c r="EP97" s="357">
        <v>0</v>
      </c>
      <c r="EQ97" s="357">
        <v>0</v>
      </c>
      <c r="ER97" s="357">
        <v>0</v>
      </c>
      <c r="ES97" s="357">
        <v>0</v>
      </c>
      <c r="ET97" s="357">
        <v>0</v>
      </c>
      <c r="EU97" s="357">
        <v>857662.89</v>
      </c>
      <c r="EV97" s="357">
        <v>0</v>
      </c>
      <c r="EW97" s="357">
        <v>0</v>
      </c>
      <c r="EX97" s="357">
        <v>857662.89</v>
      </c>
      <c r="EY97" s="357">
        <v>55575850.5</v>
      </c>
      <c r="EZ97" s="357">
        <v>0</v>
      </c>
      <c r="FA97" s="357">
        <v>0</v>
      </c>
      <c r="FB97" s="357">
        <v>55575850.5</v>
      </c>
      <c r="FC97" s="277">
        <v>0</v>
      </c>
      <c r="FD97" s="205"/>
    </row>
    <row r="98" spans="1:160" ht="12.75">
      <c r="A98" s="169">
        <v>91</v>
      </c>
      <c r="B98" s="172" t="s">
        <v>89</v>
      </c>
      <c r="C98" s="258" t="s">
        <v>90</v>
      </c>
      <c r="D98" s="235">
        <v>41547</v>
      </c>
      <c r="E98" s="357">
        <v>82872375</v>
      </c>
      <c r="F98" s="357">
        <v>0</v>
      </c>
      <c r="G98" s="357">
        <v>0</v>
      </c>
      <c r="H98" s="357">
        <v>82872375</v>
      </c>
      <c r="I98" s="357">
        <v>39032889</v>
      </c>
      <c r="J98" s="357">
        <v>0</v>
      </c>
      <c r="K98" s="357">
        <v>0</v>
      </c>
      <c r="L98" s="357">
        <v>-66450</v>
      </c>
      <c r="M98" s="357">
        <v>0</v>
      </c>
      <c r="N98" s="357">
        <v>0</v>
      </c>
      <c r="O98" s="357">
        <v>38966439</v>
      </c>
      <c r="P98" s="357">
        <v>0</v>
      </c>
      <c r="Q98" s="357">
        <v>0</v>
      </c>
      <c r="R98" s="357">
        <v>38966439</v>
      </c>
      <c r="S98" s="357">
        <v>64883</v>
      </c>
      <c r="T98" s="357">
        <v>0</v>
      </c>
      <c r="U98" s="357">
        <v>0</v>
      </c>
      <c r="V98" s="357">
        <v>64883</v>
      </c>
      <c r="W98" s="357">
        <v>26888</v>
      </c>
      <c r="X98" s="357">
        <v>0</v>
      </c>
      <c r="Y98" s="357">
        <v>0</v>
      </c>
      <c r="Z98" s="357">
        <v>26888</v>
      </c>
      <c r="AA98" s="357">
        <v>37995</v>
      </c>
      <c r="AB98" s="357">
        <v>0</v>
      </c>
      <c r="AC98" s="357">
        <v>0</v>
      </c>
      <c r="AD98" s="357">
        <v>0</v>
      </c>
      <c r="AE98" s="357">
        <v>0</v>
      </c>
      <c r="AF98" s="357">
        <v>0</v>
      </c>
      <c r="AG98" s="357">
        <v>37995</v>
      </c>
      <c r="AH98" s="357">
        <v>0</v>
      </c>
      <c r="AI98" s="357">
        <v>0</v>
      </c>
      <c r="AJ98" s="357">
        <v>37995</v>
      </c>
      <c r="AK98" s="357">
        <v>37995</v>
      </c>
      <c r="AL98" s="357">
        <v>0</v>
      </c>
      <c r="AM98" s="357">
        <v>0</v>
      </c>
      <c r="AN98" s="357">
        <v>37995</v>
      </c>
      <c r="AO98" s="357">
        <v>1934533</v>
      </c>
      <c r="AP98" s="357">
        <v>0</v>
      </c>
      <c r="AQ98" s="357">
        <v>0</v>
      </c>
      <c r="AR98" s="357">
        <v>1934533</v>
      </c>
      <c r="AS98" s="357">
        <v>35159</v>
      </c>
      <c r="AT98" s="357">
        <v>0</v>
      </c>
      <c r="AU98" s="357">
        <v>0</v>
      </c>
      <c r="AV98" s="357">
        <v>35159</v>
      </c>
      <c r="AW98" s="357">
        <v>782883</v>
      </c>
      <c r="AX98" s="357">
        <v>0</v>
      </c>
      <c r="AY98" s="357">
        <v>0</v>
      </c>
      <c r="AZ98" s="357">
        <v>782883</v>
      </c>
      <c r="BA98" s="357">
        <v>1151650</v>
      </c>
      <c r="BB98" s="357">
        <v>0</v>
      </c>
      <c r="BC98" s="357">
        <v>0</v>
      </c>
      <c r="BD98" s="357">
        <v>1151650</v>
      </c>
      <c r="BE98" s="357">
        <v>2318152</v>
      </c>
      <c r="BF98" s="357">
        <v>0</v>
      </c>
      <c r="BG98" s="357">
        <v>0</v>
      </c>
      <c r="BH98" s="357">
        <v>2318152</v>
      </c>
      <c r="BI98" s="357">
        <v>76031</v>
      </c>
      <c r="BJ98" s="357">
        <v>0</v>
      </c>
      <c r="BK98" s="357">
        <v>0</v>
      </c>
      <c r="BL98" s="357">
        <v>76031</v>
      </c>
      <c r="BM98" s="357">
        <v>0</v>
      </c>
      <c r="BN98" s="357">
        <v>0</v>
      </c>
      <c r="BO98" s="357">
        <v>0</v>
      </c>
      <c r="BP98" s="357">
        <v>0</v>
      </c>
      <c r="BQ98" s="357">
        <v>3545833</v>
      </c>
      <c r="BR98" s="357">
        <v>0</v>
      </c>
      <c r="BS98" s="357">
        <v>0</v>
      </c>
      <c r="BT98" s="357">
        <v>382154</v>
      </c>
      <c r="BU98" s="357">
        <v>0</v>
      </c>
      <c r="BV98" s="357">
        <v>0</v>
      </c>
      <c r="BW98" s="357">
        <v>3927987</v>
      </c>
      <c r="BX98" s="357">
        <v>0</v>
      </c>
      <c r="BY98" s="357">
        <v>0</v>
      </c>
      <c r="BZ98" s="357">
        <v>3927987</v>
      </c>
      <c r="CA98" s="357">
        <v>0</v>
      </c>
      <c r="CB98" s="357">
        <v>0</v>
      </c>
      <c r="CC98" s="357">
        <v>0</v>
      </c>
      <c r="CD98" s="357">
        <v>0</v>
      </c>
      <c r="CE98" s="357">
        <v>220187</v>
      </c>
      <c r="CF98" s="357">
        <v>0</v>
      </c>
      <c r="CG98" s="357">
        <v>0</v>
      </c>
      <c r="CH98" s="357">
        <v>220187</v>
      </c>
      <c r="CI98" s="357">
        <v>220187</v>
      </c>
      <c r="CJ98" s="357">
        <v>0</v>
      </c>
      <c r="CK98" s="357">
        <v>0</v>
      </c>
      <c r="CL98" s="357">
        <v>15000</v>
      </c>
      <c r="CM98" s="357">
        <v>0</v>
      </c>
      <c r="CN98" s="357">
        <v>0</v>
      </c>
      <c r="CO98" s="357">
        <v>235187</v>
      </c>
      <c r="CP98" s="357">
        <v>0</v>
      </c>
      <c r="CQ98" s="357">
        <v>0</v>
      </c>
      <c r="CR98" s="357">
        <v>235187</v>
      </c>
      <c r="CS98" s="357">
        <v>39993</v>
      </c>
      <c r="CT98" s="357">
        <v>0</v>
      </c>
      <c r="CU98" s="357">
        <v>0</v>
      </c>
      <c r="CV98" s="357">
        <v>39993</v>
      </c>
      <c r="CW98" s="357">
        <v>0</v>
      </c>
      <c r="CX98" s="357">
        <v>0</v>
      </c>
      <c r="CY98" s="357">
        <v>0</v>
      </c>
      <c r="CZ98" s="357">
        <v>0</v>
      </c>
      <c r="DA98" s="357">
        <v>0</v>
      </c>
      <c r="DB98" s="357">
        <v>0</v>
      </c>
      <c r="DC98" s="357">
        <v>0</v>
      </c>
      <c r="DD98" s="357">
        <v>0</v>
      </c>
      <c r="DE98" s="357">
        <v>0</v>
      </c>
      <c r="DF98" s="357">
        <v>0</v>
      </c>
      <c r="DG98" s="357">
        <v>0</v>
      </c>
      <c r="DH98" s="357">
        <v>0</v>
      </c>
      <c r="DI98" s="357">
        <v>0</v>
      </c>
      <c r="DJ98" s="357">
        <v>0</v>
      </c>
      <c r="DK98" s="357">
        <v>0</v>
      </c>
      <c r="DL98" s="357">
        <v>0</v>
      </c>
      <c r="DM98" s="357">
        <v>0</v>
      </c>
      <c r="DN98" s="357">
        <v>0</v>
      </c>
      <c r="DO98" s="357">
        <v>0</v>
      </c>
      <c r="DP98" s="357">
        <v>0</v>
      </c>
      <c r="DQ98" s="357">
        <v>39993</v>
      </c>
      <c r="DR98" s="357">
        <v>0</v>
      </c>
      <c r="DS98" s="357">
        <v>0</v>
      </c>
      <c r="DT98" s="357">
        <v>25463</v>
      </c>
      <c r="DU98" s="357">
        <v>0</v>
      </c>
      <c r="DV98" s="357">
        <v>0</v>
      </c>
      <c r="DW98" s="357">
        <v>65456</v>
      </c>
      <c r="DX98" s="357">
        <v>0</v>
      </c>
      <c r="DY98" s="357">
        <v>0</v>
      </c>
      <c r="DZ98" s="357">
        <v>65456</v>
      </c>
      <c r="EA98" s="357">
        <v>0</v>
      </c>
      <c r="EB98" s="357">
        <v>0</v>
      </c>
      <c r="EC98" s="357">
        <v>0</v>
      </c>
      <c r="ED98" s="357">
        <v>0</v>
      </c>
      <c r="EE98" s="357">
        <v>0</v>
      </c>
      <c r="EF98" s="357">
        <v>0</v>
      </c>
      <c r="EG98" s="357">
        <v>82987</v>
      </c>
      <c r="EH98" s="357">
        <v>0</v>
      </c>
      <c r="EI98" s="357">
        <v>0</v>
      </c>
      <c r="EJ98" s="357">
        <v>82987</v>
      </c>
      <c r="EK98" s="357">
        <v>721595</v>
      </c>
      <c r="EL98" s="357">
        <v>0</v>
      </c>
      <c r="EM98" s="357">
        <v>0</v>
      </c>
      <c r="EN98" s="357">
        <v>721595</v>
      </c>
      <c r="EO98" s="357">
        <v>804582</v>
      </c>
      <c r="EP98" s="357">
        <v>0</v>
      </c>
      <c r="EQ98" s="357">
        <v>0</v>
      </c>
      <c r="ER98" s="357">
        <v>0</v>
      </c>
      <c r="ES98" s="357">
        <v>0</v>
      </c>
      <c r="ET98" s="357">
        <v>0</v>
      </c>
      <c r="EU98" s="357">
        <v>804582</v>
      </c>
      <c r="EV98" s="357">
        <v>0</v>
      </c>
      <c r="EW98" s="357">
        <v>0</v>
      </c>
      <c r="EX98" s="357">
        <v>804582</v>
      </c>
      <c r="EY98" s="357">
        <v>33895232</v>
      </c>
      <c r="EZ98" s="357">
        <v>0</v>
      </c>
      <c r="FA98" s="357">
        <v>0</v>
      </c>
      <c r="FB98" s="357">
        <v>33895232</v>
      </c>
      <c r="FC98" s="277">
        <v>0</v>
      </c>
      <c r="FD98" s="205"/>
    </row>
    <row r="99" spans="1:160" ht="12.75">
      <c r="A99" s="169">
        <v>92</v>
      </c>
      <c r="B99" s="172" t="s">
        <v>91</v>
      </c>
      <c r="C99" s="258" t="s">
        <v>92</v>
      </c>
      <c r="D99" s="235">
        <v>41647</v>
      </c>
      <c r="E99" s="357">
        <v>130351856</v>
      </c>
      <c r="F99" s="357">
        <v>0</v>
      </c>
      <c r="G99" s="357">
        <v>0</v>
      </c>
      <c r="H99" s="357">
        <v>130351856</v>
      </c>
      <c r="I99" s="357">
        <v>61395724</v>
      </c>
      <c r="J99" s="357">
        <v>0</v>
      </c>
      <c r="K99" s="357">
        <v>0</v>
      </c>
      <c r="L99" s="357">
        <v>0</v>
      </c>
      <c r="M99" s="357">
        <v>0</v>
      </c>
      <c r="N99" s="357">
        <v>0</v>
      </c>
      <c r="O99" s="357">
        <v>61395724</v>
      </c>
      <c r="P99" s="357">
        <v>0</v>
      </c>
      <c r="Q99" s="357">
        <v>0</v>
      </c>
      <c r="R99" s="357">
        <v>61395724</v>
      </c>
      <c r="S99" s="357">
        <v>23000</v>
      </c>
      <c r="T99" s="357">
        <v>0</v>
      </c>
      <c r="U99" s="357">
        <v>0</v>
      </c>
      <c r="V99" s="357">
        <v>23000</v>
      </c>
      <c r="W99" s="357">
        <v>0</v>
      </c>
      <c r="X99" s="357">
        <v>0</v>
      </c>
      <c r="Y99" s="357">
        <v>0</v>
      </c>
      <c r="Z99" s="357">
        <v>0</v>
      </c>
      <c r="AA99" s="357">
        <v>23000</v>
      </c>
      <c r="AB99" s="357">
        <v>0</v>
      </c>
      <c r="AC99" s="357">
        <v>0</v>
      </c>
      <c r="AD99" s="357">
        <v>-100000</v>
      </c>
      <c r="AE99" s="357">
        <v>0</v>
      </c>
      <c r="AF99" s="357">
        <v>0</v>
      </c>
      <c r="AG99" s="357">
        <v>-77000</v>
      </c>
      <c r="AH99" s="357">
        <v>0</v>
      </c>
      <c r="AI99" s="357">
        <v>0</v>
      </c>
      <c r="AJ99" s="357">
        <v>-77000</v>
      </c>
      <c r="AK99" s="357">
        <v>-77000</v>
      </c>
      <c r="AL99" s="357">
        <v>0</v>
      </c>
      <c r="AM99" s="357">
        <v>0</v>
      </c>
      <c r="AN99" s="357">
        <v>-77000</v>
      </c>
      <c r="AO99" s="357">
        <v>1536254</v>
      </c>
      <c r="AP99" s="357">
        <v>0</v>
      </c>
      <c r="AQ99" s="357">
        <v>0</v>
      </c>
      <c r="AR99" s="357">
        <v>1536254</v>
      </c>
      <c r="AS99" s="357">
        <v>0</v>
      </c>
      <c r="AT99" s="357">
        <v>0</v>
      </c>
      <c r="AU99" s="357">
        <v>0</v>
      </c>
      <c r="AV99" s="357">
        <v>0</v>
      </c>
      <c r="AW99" s="357">
        <v>1308591</v>
      </c>
      <c r="AX99" s="357">
        <v>0</v>
      </c>
      <c r="AY99" s="357">
        <v>0</v>
      </c>
      <c r="AZ99" s="357">
        <v>1308591</v>
      </c>
      <c r="BA99" s="357">
        <v>227663</v>
      </c>
      <c r="BB99" s="357">
        <v>0</v>
      </c>
      <c r="BC99" s="357">
        <v>0</v>
      </c>
      <c r="BD99" s="357">
        <v>227663</v>
      </c>
      <c r="BE99" s="357">
        <v>1921971</v>
      </c>
      <c r="BF99" s="357">
        <v>0</v>
      </c>
      <c r="BG99" s="357">
        <v>0</v>
      </c>
      <c r="BH99" s="357">
        <v>1921971</v>
      </c>
      <c r="BI99" s="357">
        <v>0</v>
      </c>
      <c r="BJ99" s="357">
        <v>0</v>
      </c>
      <c r="BK99" s="357">
        <v>0</v>
      </c>
      <c r="BL99" s="357">
        <v>0</v>
      </c>
      <c r="BM99" s="357">
        <v>0</v>
      </c>
      <c r="BN99" s="357">
        <v>0</v>
      </c>
      <c r="BO99" s="357">
        <v>0</v>
      </c>
      <c r="BP99" s="357">
        <v>0</v>
      </c>
      <c r="BQ99" s="357">
        <v>2149634</v>
      </c>
      <c r="BR99" s="357">
        <v>0</v>
      </c>
      <c r="BS99" s="357">
        <v>0</v>
      </c>
      <c r="BT99" s="357">
        <v>180000</v>
      </c>
      <c r="BU99" s="357">
        <v>0</v>
      </c>
      <c r="BV99" s="357">
        <v>0</v>
      </c>
      <c r="BW99" s="357">
        <v>2329634</v>
      </c>
      <c r="BX99" s="357">
        <v>0</v>
      </c>
      <c r="BY99" s="357">
        <v>0</v>
      </c>
      <c r="BZ99" s="357">
        <v>2329634</v>
      </c>
      <c r="CA99" s="357">
        <v>130000</v>
      </c>
      <c r="CB99" s="357">
        <v>0</v>
      </c>
      <c r="CC99" s="357">
        <v>0</v>
      </c>
      <c r="CD99" s="357">
        <v>130000</v>
      </c>
      <c r="CE99" s="357">
        <v>1709415</v>
      </c>
      <c r="CF99" s="357">
        <v>0</v>
      </c>
      <c r="CG99" s="357">
        <v>0</v>
      </c>
      <c r="CH99" s="357">
        <v>1709415</v>
      </c>
      <c r="CI99" s="357">
        <v>1839415</v>
      </c>
      <c r="CJ99" s="357">
        <v>0</v>
      </c>
      <c r="CK99" s="357">
        <v>0</v>
      </c>
      <c r="CL99" s="357">
        <v>0</v>
      </c>
      <c r="CM99" s="357">
        <v>0</v>
      </c>
      <c r="CN99" s="357">
        <v>0</v>
      </c>
      <c r="CO99" s="357">
        <v>1839415</v>
      </c>
      <c r="CP99" s="357">
        <v>0</v>
      </c>
      <c r="CQ99" s="357">
        <v>0</v>
      </c>
      <c r="CR99" s="357">
        <v>1839415</v>
      </c>
      <c r="CS99" s="357">
        <v>46272</v>
      </c>
      <c r="CT99" s="357">
        <v>0</v>
      </c>
      <c r="CU99" s="357">
        <v>0</v>
      </c>
      <c r="CV99" s="357">
        <v>46272</v>
      </c>
      <c r="CW99" s="357">
        <v>131104</v>
      </c>
      <c r="CX99" s="357">
        <v>0</v>
      </c>
      <c r="CY99" s="357">
        <v>0</v>
      </c>
      <c r="CZ99" s="357">
        <v>131104</v>
      </c>
      <c r="DA99" s="357">
        <v>0</v>
      </c>
      <c r="DB99" s="357">
        <v>0</v>
      </c>
      <c r="DC99" s="357">
        <v>0</v>
      </c>
      <c r="DD99" s="357">
        <v>0</v>
      </c>
      <c r="DE99" s="357">
        <v>0</v>
      </c>
      <c r="DF99" s="357">
        <v>0</v>
      </c>
      <c r="DG99" s="357">
        <v>0</v>
      </c>
      <c r="DH99" s="357">
        <v>0</v>
      </c>
      <c r="DI99" s="357">
        <v>0</v>
      </c>
      <c r="DJ99" s="357">
        <v>0</v>
      </c>
      <c r="DK99" s="357">
        <v>0</v>
      </c>
      <c r="DL99" s="357">
        <v>0</v>
      </c>
      <c r="DM99" s="357">
        <v>0</v>
      </c>
      <c r="DN99" s="357">
        <v>0</v>
      </c>
      <c r="DO99" s="357">
        <v>0</v>
      </c>
      <c r="DP99" s="357">
        <v>0</v>
      </c>
      <c r="DQ99" s="357">
        <v>177376</v>
      </c>
      <c r="DR99" s="357">
        <v>0</v>
      </c>
      <c r="DS99" s="357">
        <v>0</v>
      </c>
      <c r="DT99" s="357">
        <v>33400</v>
      </c>
      <c r="DU99" s="357">
        <v>0</v>
      </c>
      <c r="DV99" s="357">
        <v>0</v>
      </c>
      <c r="DW99" s="357">
        <v>210776</v>
      </c>
      <c r="DX99" s="357">
        <v>0</v>
      </c>
      <c r="DY99" s="357">
        <v>0</v>
      </c>
      <c r="DZ99" s="357">
        <v>210776</v>
      </c>
      <c r="EA99" s="357">
        <v>0</v>
      </c>
      <c r="EB99" s="357">
        <v>0</v>
      </c>
      <c r="EC99" s="357">
        <v>0</v>
      </c>
      <c r="ED99" s="357">
        <v>0</v>
      </c>
      <c r="EE99" s="357">
        <v>0</v>
      </c>
      <c r="EF99" s="357">
        <v>0</v>
      </c>
      <c r="EG99" s="357">
        <v>100000</v>
      </c>
      <c r="EH99" s="357">
        <v>0</v>
      </c>
      <c r="EI99" s="357">
        <v>0</v>
      </c>
      <c r="EJ99" s="357">
        <v>100000</v>
      </c>
      <c r="EK99" s="357">
        <v>600000</v>
      </c>
      <c r="EL99" s="357">
        <v>0</v>
      </c>
      <c r="EM99" s="357">
        <v>0</v>
      </c>
      <c r="EN99" s="357">
        <v>600000</v>
      </c>
      <c r="EO99" s="357">
        <v>700000</v>
      </c>
      <c r="EP99" s="357">
        <v>0</v>
      </c>
      <c r="EQ99" s="357">
        <v>0</v>
      </c>
      <c r="ER99" s="357">
        <v>0</v>
      </c>
      <c r="ES99" s="357">
        <v>0</v>
      </c>
      <c r="ET99" s="357">
        <v>0</v>
      </c>
      <c r="EU99" s="357">
        <v>700000</v>
      </c>
      <c r="EV99" s="357">
        <v>0</v>
      </c>
      <c r="EW99" s="357">
        <v>0</v>
      </c>
      <c r="EX99" s="357">
        <v>700000</v>
      </c>
      <c r="EY99" s="357">
        <v>56392899</v>
      </c>
      <c r="EZ99" s="357">
        <v>0</v>
      </c>
      <c r="FA99" s="357">
        <v>0</v>
      </c>
      <c r="FB99" s="357">
        <v>56392899</v>
      </c>
      <c r="FC99" s="277">
        <v>0</v>
      </c>
      <c r="FD99" s="205"/>
    </row>
    <row r="100" spans="1:160" ht="12.75">
      <c r="A100" s="169">
        <v>93</v>
      </c>
      <c r="B100" s="172" t="s">
        <v>93</v>
      </c>
      <c r="C100" s="258" t="s">
        <v>94</v>
      </c>
      <c r="D100" s="235">
        <v>41654</v>
      </c>
      <c r="E100" s="357">
        <v>52670685</v>
      </c>
      <c r="F100" s="357">
        <v>0</v>
      </c>
      <c r="G100" s="357">
        <v>0</v>
      </c>
      <c r="H100" s="357">
        <v>52670685</v>
      </c>
      <c r="I100" s="357">
        <v>24807893</v>
      </c>
      <c r="J100" s="357">
        <v>0</v>
      </c>
      <c r="K100" s="357">
        <v>0</v>
      </c>
      <c r="L100" s="357">
        <v>275554.78</v>
      </c>
      <c r="M100" s="357">
        <v>0</v>
      </c>
      <c r="N100" s="357">
        <v>0</v>
      </c>
      <c r="O100" s="357">
        <v>25083447.8</v>
      </c>
      <c r="P100" s="357">
        <v>0</v>
      </c>
      <c r="Q100" s="357">
        <v>0</v>
      </c>
      <c r="R100" s="357">
        <v>25083447.8</v>
      </c>
      <c r="S100" s="357">
        <v>105688.23</v>
      </c>
      <c r="T100" s="357">
        <v>0</v>
      </c>
      <c r="U100" s="357">
        <v>0</v>
      </c>
      <c r="V100" s="357">
        <v>105688.23</v>
      </c>
      <c r="W100" s="357">
        <v>11512.44</v>
      </c>
      <c r="X100" s="357">
        <v>0</v>
      </c>
      <c r="Y100" s="357">
        <v>0</v>
      </c>
      <c r="Z100" s="357">
        <v>11512.44</v>
      </c>
      <c r="AA100" s="357">
        <v>94175.79</v>
      </c>
      <c r="AB100" s="357">
        <v>0</v>
      </c>
      <c r="AC100" s="357">
        <v>0</v>
      </c>
      <c r="AD100" s="357">
        <v>0</v>
      </c>
      <c r="AE100" s="357">
        <v>0</v>
      </c>
      <c r="AF100" s="357">
        <v>0</v>
      </c>
      <c r="AG100" s="357">
        <v>94175.79</v>
      </c>
      <c r="AH100" s="357">
        <v>0</v>
      </c>
      <c r="AI100" s="357">
        <v>0</v>
      </c>
      <c r="AJ100" s="357">
        <v>94175.79</v>
      </c>
      <c r="AK100" s="357">
        <v>94175.79</v>
      </c>
      <c r="AL100" s="357">
        <v>0</v>
      </c>
      <c r="AM100" s="357">
        <v>0</v>
      </c>
      <c r="AN100" s="357">
        <v>94175.79</v>
      </c>
      <c r="AO100" s="357">
        <v>2019362.88</v>
      </c>
      <c r="AP100" s="357">
        <v>0</v>
      </c>
      <c r="AQ100" s="357">
        <v>0</v>
      </c>
      <c r="AR100" s="357">
        <v>2019362.88</v>
      </c>
      <c r="AS100" s="357">
        <v>9334.5</v>
      </c>
      <c r="AT100" s="357">
        <v>0</v>
      </c>
      <c r="AU100" s="357">
        <v>0</v>
      </c>
      <c r="AV100" s="357">
        <v>9334.5</v>
      </c>
      <c r="AW100" s="357">
        <v>454596.49</v>
      </c>
      <c r="AX100" s="357">
        <v>0</v>
      </c>
      <c r="AY100" s="357">
        <v>0</v>
      </c>
      <c r="AZ100" s="357">
        <v>454596.49</v>
      </c>
      <c r="BA100" s="357">
        <v>1564766.39</v>
      </c>
      <c r="BB100" s="357">
        <v>0</v>
      </c>
      <c r="BC100" s="357">
        <v>0</v>
      </c>
      <c r="BD100" s="357">
        <v>1564766.39</v>
      </c>
      <c r="BE100" s="357">
        <v>1270517.18</v>
      </c>
      <c r="BF100" s="357">
        <v>0</v>
      </c>
      <c r="BG100" s="357">
        <v>0</v>
      </c>
      <c r="BH100" s="357">
        <v>1270517.18</v>
      </c>
      <c r="BI100" s="357">
        <v>74238</v>
      </c>
      <c r="BJ100" s="357">
        <v>0</v>
      </c>
      <c r="BK100" s="357">
        <v>0</v>
      </c>
      <c r="BL100" s="357">
        <v>74238</v>
      </c>
      <c r="BM100" s="357">
        <v>65713.73</v>
      </c>
      <c r="BN100" s="357">
        <v>0</v>
      </c>
      <c r="BO100" s="357">
        <v>0</v>
      </c>
      <c r="BP100" s="357">
        <v>65713.73</v>
      </c>
      <c r="BQ100" s="357">
        <v>2975235.3</v>
      </c>
      <c r="BR100" s="357">
        <v>0</v>
      </c>
      <c r="BS100" s="357">
        <v>0</v>
      </c>
      <c r="BT100" s="357">
        <v>0</v>
      </c>
      <c r="BU100" s="357">
        <v>0</v>
      </c>
      <c r="BV100" s="357">
        <v>0</v>
      </c>
      <c r="BW100" s="357">
        <v>2975235.3</v>
      </c>
      <c r="BX100" s="357">
        <v>0</v>
      </c>
      <c r="BY100" s="357">
        <v>0</v>
      </c>
      <c r="BZ100" s="357">
        <v>2975235.3</v>
      </c>
      <c r="CA100" s="357">
        <v>0</v>
      </c>
      <c r="CB100" s="357">
        <v>0</v>
      </c>
      <c r="CC100" s="357">
        <v>0</v>
      </c>
      <c r="CD100" s="357">
        <v>0</v>
      </c>
      <c r="CE100" s="357">
        <v>337158.35</v>
      </c>
      <c r="CF100" s="357">
        <v>0</v>
      </c>
      <c r="CG100" s="357">
        <v>0</v>
      </c>
      <c r="CH100" s="357">
        <v>337158.35</v>
      </c>
      <c r="CI100" s="357">
        <v>337158.35</v>
      </c>
      <c r="CJ100" s="357">
        <v>0</v>
      </c>
      <c r="CK100" s="357">
        <v>0</v>
      </c>
      <c r="CL100" s="357">
        <v>0</v>
      </c>
      <c r="CM100" s="357">
        <v>0</v>
      </c>
      <c r="CN100" s="357">
        <v>0</v>
      </c>
      <c r="CO100" s="357">
        <v>337158.35</v>
      </c>
      <c r="CP100" s="357">
        <v>0</v>
      </c>
      <c r="CQ100" s="357">
        <v>0</v>
      </c>
      <c r="CR100" s="357">
        <v>337158.35</v>
      </c>
      <c r="CS100" s="357">
        <v>50990.32</v>
      </c>
      <c r="CT100" s="357">
        <v>0</v>
      </c>
      <c r="CU100" s="357">
        <v>0</v>
      </c>
      <c r="CV100" s="357">
        <v>50990.32</v>
      </c>
      <c r="CW100" s="357">
        <v>38014.33</v>
      </c>
      <c r="CX100" s="357">
        <v>0</v>
      </c>
      <c r="CY100" s="357">
        <v>0</v>
      </c>
      <c r="CZ100" s="357">
        <v>38014.33</v>
      </c>
      <c r="DA100" s="357">
        <v>2064.09</v>
      </c>
      <c r="DB100" s="357">
        <v>0</v>
      </c>
      <c r="DC100" s="357">
        <v>0</v>
      </c>
      <c r="DD100" s="357">
        <v>2064.09</v>
      </c>
      <c r="DE100" s="357">
        <v>45379.33</v>
      </c>
      <c r="DF100" s="357">
        <v>0</v>
      </c>
      <c r="DG100" s="357">
        <v>0</v>
      </c>
      <c r="DH100" s="357">
        <v>45379.33</v>
      </c>
      <c r="DI100" s="357">
        <v>3454.79</v>
      </c>
      <c r="DJ100" s="357">
        <v>0</v>
      </c>
      <c r="DK100" s="357">
        <v>0</v>
      </c>
      <c r="DL100" s="357">
        <v>3454.79</v>
      </c>
      <c r="DM100" s="357">
        <v>0</v>
      </c>
      <c r="DN100" s="357">
        <v>0</v>
      </c>
      <c r="DO100" s="357">
        <v>0</v>
      </c>
      <c r="DP100" s="357">
        <v>0</v>
      </c>
      <c r="DQ100" s="357">
        <v>139902.86</v>
      </c>
      <c r="DR100" s="357">
        <v>0</v>
      </c>
      <c r="DS100" s="357">
        <v>0</v>
      </c>
      <c r="DT100" s="357">
        <v>0</v>
      </c>
      <c r="DU100" s="357">
        <v>0</v>
      </c>
      <c r="DV100" s="357">
        <v>0</v>
      </c>
      <c r="DW100" s="357">
        <v>139902.86</v>
      </c>
      <c r="DX100" s="357">
        <v>0</v>
      </c>
      <c r="DY100" s="357">
        <v>0</v>
      </c>
      <c r="DZ100" s="357">
        <v>139902.86</v>
      </c>
      <c r="EA100" s="357">
        <v>0</v>
      </c>
      <c r="EB100" s="357">
        <v>0</v>
      </c>
      <c r="EC100" s="357">
        <v>0</v>
      </c>
      <c r="ED100" s="357">
        <v>0</v>
      </c>
      <c r="EE100" s="357">
        <v>0</v>
      </c>
      <c r="EF100" s="357">
        <v>0</v>
      </c>
      <c r="EG100" s="357">
        <v>70702.16</v>
      </c>
      <c r="EH100" s="357">
        <v>0</v>
      </c>
      <c r="EI100" s="357">
        <v>0</v>
      </c>
      <c r="EJ100" s="357">
        <v>70702.16</v>
      </c>
      <c r="EK100" s="357">
        <v>344379.9</v>
      </c>
      <c r="EL100" s="357">
        <v>0</v>
      </c>
      <c r="EM100" s="357">
        <v>0</v>
      </c>
      <c r="EN100" s="357">
        <v>344379.9</v>
      </c>
      <c r="EO100" s="357">
        <v>415082.06</v>
      </c>
      <c r="EP100" s="357">
        <v>0</v>
      </c>
      <c r="EQ100" s="357">
        <v>0</v>
      </c>
      <c r="ER100" s="357">
        <v>0</v>
      </c>
      <c r="ES100" s="357">
        <v>0</v>
      </c>
      <c r="ET100" s="357">
        <v>0</v>
      </c>
      <c r="EU100" s="357">
        <v>415082.06</v>
      </c>
      <c r="EV100" s="357">
        <v>0</v>
      </c>
      <c r="EW100" s="357">
        <v>0</v>
      </c>
      <c r="EX100" s="357">
        <v>415082.06</v>
      </c>
      <c r="EY100" s="357">
        <v>21121893.4</v>
      </c>
      <c r="EZ100" s="357">
        <v>0</v>
      </c>
      <c r="FA100" s="357">
        <v>0</v>
      </c>
      <c r="FB100" s="357">
        <v>21121893.4</v>
      </c>
      <c r="FC100" s="277">
        <v>0</v>
      </c>
      <c r="FD100" s="205"/>
    </row>
    <row r="101" spans="1:160" ht="12.75">
      <c r="A101" s="169">
        <v>94</v>
      </c>
      <c r="B101" s="172" t="s">
        <v>95</v>
      </c>
      <c r="C101" s="258" t="s">
        <v>96</v>
      </c>
      <c r="D101" s="235">
        <v>41626</v>
      </c>
      <c r="E101" s="357">
        <v>131262426</v>
      </c>
      <c r="F101" s="357">
        <v>0</v>
      </c>
      <c r="G101" s="357">
        <v>0</v>
      </c>
      <c r="H101" s="357">
        <v>131262426</v>
      </c>
      <c r="I101" s="357">
        <v>61824603</v>
      </c>
      <c r="J101" s="357">
        <v>0</v>
      </c>
      <c r="K101" s="357">
        <v>0</v>
      </c>
      <c r="L101" s="357">
        <v>0</v>
      </c>
      <c r="M101" s="357">
        <v>0</v>
      </c>
      <c r="N101" s="357">
        <v>0</v>
      </c>
      <c r="O101" s="357">
        <v>61824603</v>
      </c>
      <c r="P101" s="357">
        <v>0</v>
      </c>
      <c r="Q101" s="357">
        <v>0</v>
      </c>
      <c r="R101" s="357">
        <v>61824603</v>
      </c>
      <c r="S101" s="357">
        <v>19423</v>
      </c>
      <c r="T101" s="357">
        <v>0</v>
      </c>
      <c r="U101" s="357">
        <v>0</v>
      </c>
      <c r="V101" s="357">
        <v>19423</v>
      </c>
      <c r="W101" s="357">
        <v>3628</v>
      </c>
      <c r="X101" s="357">
        <v>0</v>
      </c>
      <c r="Y101" s="357">
        <v>0</v>
      </c>
      <c r="Z101" s="357">
        <v>3628</v>
      </c>
      <c r="AA101" s="357">
        <v>15795</v>
      </c>
      <c r="AB101" s="357">
        <v>0</v>
      </c>
      <c r="AC101" s="357">
        <v>0</v>
      </c>
      <c r="AD101" s="357">
        <v>0</v>
      </c>
      <c r="AE101" s="357">
        <v>0</v>
      </c>
      <c r="AF101" s="357">
        <v>0</v>
      </c>
      <c r="AG101" s="357">
        <v>15795</v>
      </c>
      <c r="AH101" s="357">
        <v>0</v>
      </c>
      <c r="AI101" s="357">
        <v>0</v>
      </c>
      <c r="AJ101" s="357">
        <v>15795</v>
      </c>
      <c r="AK101" s="357">
        <v>15795</v>
      </c>
      <c r="AL101" s="357">
        <v>0</v>
      </c>
      <c r="AM101" s="357">
        <v>0</v>
      </c>
      <c r="AN101" s="357">
        <v>15795</v>
      </c>
      <c r="AO101" s="357">
        <v>1780422</v>
      </c>
      <c r="AP101" s="357">
        <v>0</v>
      </c>
      <c r="AQ101" s="357">
        <v>0</v>
      </c>
      <c r="AR101" s="357">
        <v>1780422</v>
      </c>
      <c r="AS101" s="357">
        <v>0</v>
      </c>
      <c r="AT101" s="357">
        <v>0</v>
      </c>
      <c r="AU101" s="357">
        <v>0</v>
      </c>
      <c r="AV101" s="357">
        <v>0</v>
      </c>
      <c r="AW101" s="357">
        <v>1282773</v>
      </c>
      <c r="AX101" s="357">
        <v>0</v>
      </c>
      <c r="AY101" s="357">
        <v>0</v>
      </c>
      <c r="AZ101" s="357">
        <v>1282773</v>
      </c>
      <c r="BA101" s="357">
        <v>497649</v>
      </c>
      <c r="BB101" s="357">
        <v>0</v>
      </c>
      <c r="BC101" s="357">
        <v>0</v>
      </c>
      <c r="BD101" s="357">
        <v>497649</v>
      </c>
      <c r="BE101" s="357">
        <v>3089931</v>
      </c>
      <c r="BF101" s="357">
        <v>0</v>
      </c>
      <c r="BG101" s="357">
        <v>0</v>
      </c>
      <c r="BH101" s="357">
        <v>3089931</v>
      </c>
      <c r="BI101" s="357">
        <v>54331</v>
      </c>
      <c r="BJ101" s="357">
        <v>0</v>
      </c>
      <c r="BK101" s="357">
        <v>0</v>
      </c>
      <c r="BL101" s="357">
        <v>54331</v>
      </c>
      <c r="BM101" s="357">
        <v>0</v>
      </c>
      <c r="BN101" s="357">
        <v>0</v>
      </c>
      <c r="BO101" s="357">
        <v>0</v>
      </c>
      <c r="BP101" s="357">
        <v>0</v>
      </c>
      <c r="BQ101" s="357">
        <v>3641911</v>
      </c>
      <c r="BR101" s="357">
        <v>0</v>
      </c>
      <c r="BS101" s="357">
        <v>0</v>
      </c>
      <c r="BT101" s="357">
        <v>0</v>
      </c>
      <c r="BU101" s="357">
        <v>0</v>
      </c>
      <c r="BV101" s="357">
        <v>0</v>
      </c>
      <c r="BW101" s="357">
        <v>3641911</v>
      </c>
      <c r="BX101" s="357">
        <v>0</v>
      </c>
      <c r="BY101" s="357">
        <v>0</v>
      </c>
      <c r="BZ101" s="357">
        <v>3641911</v>
      </c>
      <c r="CA101" s="357">
        <v>13219</v>
      </c>
      <c r="CB101" s="357">
        <v>0</v>
      </c>
      <c r="CC101" s="357">
        <v>0</v>
      </c>
      <c r="CD101" s="357">
        <v>13219</v>
      </c>
      <c r="CE101" s="357">
        <v>2962416</v>
      </c>
      <c r="CF101" s="357">
        <v>0</v>
      </c>
      <c r="CG101" s="357">
        <v>0</v>
      </c>
      <c r="CH101" s="357">
        <v>2962416</v>
      </c>
      <c r="CI101" s="357">
        <v>2975635</v>
      </c>
      <c r="CJ101" s="357">
        <v>0</v>
      </c>
      <c r="CK101" s="357">
        <v>0</v>
      </c>
      <c r="CL101" s="357">
        <v>0</v>
      </c>
      <c r="CM101" s="357">
        <v>0</v>
      </c>
      <c r="CN101" s="357">
        <v>0</v>
      </c>
      <c r="CO101" s="357">
        <v>2975635</v>
      </c>
      <c r="CP101" s="357">
        <v>0</v>
      </c>
      <c r="CQ101" s="357">
        <v>0</v>
      </c>
      <c r="CR101" s="357">
        <v>2975635</v>
      </c>
      <c r="CS101" s="357">
        <v>100114</v>
      </c>
      <c r="CT101" s="357">
        <v>0</v>
      </c>
      <c r="CU101" s="357">
        <v>0</v>
      </c>
      <c r="CV101" s="357">
        <v>100114</v>
      </c>
      <c r="CW101" s="357">
        <v>339195</v>
      </c>
      <c r="CX101" s="357">
        <v>0</v>
      </c>
      <c r="CY101" s="357">
        <v>0</v>
      </c>
      <c r="CZ101" s="357">
        <v>339195</v>
      </c>
      <c r="DA101" s="357">
        <v>0</v>
      </c>
      <c r="DB101" s="357">
        <v>0</v>
      </c>
      <c r="DC101" s="357">
        <v>0</v>
      </c>
      <c r="DD101" s="357">
        <v>0</v>
      </c>
      <c r="DE101" s="357">
        <v>0</v>
      </c>
      <c r="DF101" s="357">
        <v>0</v>
      </c>
      <c r="DG101" s="357">
        <v>0</v>
      </c>
      <c r="DH101" s="357">
        <v>0</v>
      </c>
      <c r="DI101" s="357">
        <v>0</v>
      </c>
      <c r="DJ101" s="357">
        <v>0</v>
      </c>
      <c r="DK101" s="357">
        <v>0</v>
      </c>
      <c r="DL101" s="357">
        <v>0</v>
      </c>
      <c r="DM101" s="357">
        <v>0</v>
      </c>
      <c r="DN101" s="357">
        <v>0</v>
      </c>
      <c r="DO101" s="357">
        <v>0</v>
      </c>
      <c r="DP101" s="357">
        <v>0</v>
      </c>
      <c r="DQ101" s="357">
        <v>439309</v>
      </c>
      <c r="DR101" s="357">
        <v>0</v>
      </c>
      <c r="DS101" s="357">
        <v>0</v>
      </c>
      <c r="DT101" s="357">
        <v>0</v>
      </c>
      <c r="DU101" s="357">
        <v>0</v>
      </c>
      <c r="DV101" s="357">
        <v>0</v>
      </c>
      <c r="DW101" s="357">
        <v>439309</v>
      </c>
      <c r="DX101" s="357">
        <v>0</v>
      </c>
      <c r="DY101" s="357">
        <v>0</v>
      </c>
      <c r="DZ101" s="357">
        <v>439309</v>
      </c>
      <c r="EA101" s="357">
        <v>0</v>
      </c>
      <c r="EB101" s="357">
        <v>0</v>
      </c>
      <c r="EC101" s="357">
        <v>0</v>
      </c>
      <c r="ED101" s="357">
        <v>0</v>
      </c>
      <c r="EE101" s="357">
        <v>0</v>
      </c>
      <c r="EF101" s="357">
        <v>0</v>
      </c>
      <c r="EG101" s="357">
        <v>30529</v>
      </c>
      <c r="EH101" s="357">
        <v>0</v>
      </c>
      <c r="EI101" s="357">
        <v>0</v>
      </c>
      <c r="EJ101" s="357">
        <v>30529</v>
      </c>
      <c r="EK101" s="357">
        <v>914633</v>
      </c>
      <c r="EL101" s="357">
        <v>0</v>
      </c>
      <c r="EM101" s="357">
        <v>0</v>
      </c>
      <c r="EN101" s="357">
        <v>914633</v>
      </c>
      <c r="EO101" s="357">
        <v>945162</v>
      </c>
      <c r="EP101" s="357">
        <v>0</v>
      </c>
      <c r="EQ101" s="357">
        <v>0</v>
      </c>
      <c r="ER101" s="357">
        <v>0</v>
      </c>
      <c r="ES101" s="357">
        <v>0</v>
      </c>
      <c r="ET101" s="357">
        <v>0</v>
      </c>
      <c r="EU101" s="357">
        <v>945162</v>
      </c>
      <c r="EV101" s="357">
        <v>0</v>
      </c>
      <c r="EW101" s="357">
        <v>0</v>
      </c>
      <c r="EX101" s="357">
        <v>945162</v>
      </c>
      <c r="EY101" s="357">
        <v>53806791</v>
      </c>
      <c r="EZ101" s="357">
        <v>0</v>
      </c>
      <c r="FA101" s="357">
        <v>0</v>
      </c>
      <c r="FB101" s="357">
        <v>53806791</v>
      </c>
      <c r="FC101" s="277">
        <v>0</v>
      </c>
      <c r="FD101" s="205"/>
    </row>
    <row r="102" spans="1:160" ht="12.75">
      <c r="A102" s="169">
        <v>95</v>
      </c>
      <c r="B102" s="172" t="s">
        <v>97</v>
      </c>
      <c r="C102" s="258" t="s">
        <v>98</v>
      </c>
      <c r="D102" s="235">
        <v>41639</v>
      </c>
      <c r="E102" s="357">
        <v>259294903</v>
      </c>
      <c r="F102" s="357">
        <v>0</v>
      </c>
      <c r="G102" s="357">
        <v>0</v>
      </c>
      <c r="H102" s="357">
        <v>259294903</v>
      </c>
      <c r="I102" s="357">
        <v>122127899</v>
      </c>
      <c r="J102" s="357">
        <v>0</v>
      </c>
      <c r="K102" s="357">
        <v>0</v>
      </c>
      <c r="L102" s="357">
        <v>-607066</v>
      </c>
      <c r="M102" s="357">
        <v>0</v>
      </c>
      <c r="N102" s="357">
        <v>0</v>
      </c>
      <c r="O102" s="357">
        <v>121520833</v>
      </c>
      <c r="P102" s="357">
        <v>0</v>
      </c>
      <c r="Q102" s="357">
        <v>0</v>
      </c>
      <c r="R102" s="357">
        <v>121520833</v>
      </c>
      <c r="S102" s="357">
        <v>445426</v>
      </c>
      <c r="T102" s="357">
        <v>0</v>
      </c>
      <c r="U102" s="357">
        <v>0</v>
      </c>
      <c r="V102" s="357">
        <v>445426</v>
      </c>
      <c r="W102" s="357">
        <v>11771</v>
      </c>
      <c r="X102" s="357">
        <v>0</v>
      </c>
      <c r="Y102" s="357">
        <v>0</v>
      </c>
      <c r="Z102" s="357">
        <v>11771</v>
      </c>
      <c r="AA102" s="357">
        <v>433655</v>
      </c>
      <c r="AB102" s="357">
        <v>0</v>
      </c>
      <c r="AC102" s="357">
        <v>0</v>
      </c>
      <c r="AD102" s="357">
        <v>0</v>
      </c>
      <c r="AE102" s="357">
        <v>0</v>
      </c>
      <c r="AF102" s="357">
        <v>0</v>
      </c>
      <c r="AG102" s="357">
        <v>433655</v>
      </c>
      <c r="AH102" s="357">
        <v>0</v>
      </c>
      <c r="AI102" s="357">
        <v>0</v>
      </c>
      <c r="AJ102" s="357">
        <v>433655</v>
      </c>
      <c r="AK102" s="357">
        <v>433655</v>
      </c>
      <c r="AL102" s="357">
        <v>0</v>
      </c>
      <c r="AM102" s="357">
        <v>0</v>
      </c>
      <c r="AN102" s="357">
        <v>433655</v>
      </c>
      <c r="AO102" s="357">
        <v>3724486</v>
      </c>
      <c r="AP102" s="357">
        <v>0</v>
      </c>
      <c r="AQ102" s="357">
        <v>0</v>
      </c>
      <c r="AR102" s="357">
        <v>3724486</v>
      </c>
      <c r="AS102" s="357">
        <v>0</v>
      </c>
      <c r="AT102" s="357">
        <v>0</v>
      </c>
      <c r="AU102" s="357">
        <v>0</v>
      </c>
      <c r="AV102" s="357">
        <v>0</v>
      </c>
      <c r="AW102" s="357">
        <v>2366435</v>
      </c>
      <c r="AX102" s="357">
        <v>0</v>
      </c>
      <c r="AY102" s="357">
        <v>0</v>
      </c>
      <c r="AZ102" s="357">
        <v>2366435</v>
      </c>
      <c r="BA102" s="357">
        <v>1358051</v>
      </c>
      <c r="BB102" s="357">
        <v>0</v>
      </c>
      <c r="BC102" s="357">
        <v>0</v>
      </c>
      <c r="BD102" s="357">
        <v>1358051</v>
      </c>
      <c r="BE102" s="357">
        <v>4671112</v>
      </c>
      <c r="BF102" s="357">
        <v>0</v>
      </c>
      <c r="BG102" s="357">
        <v>0</v>
      </c>
      <c r="BH102" s="357">
        <v>4671112</v>
      </c>
      <c r="BI102" s="357">
        <v>102492</v>
      </c>
      <c r="BJ102" s="357">
        <v>0</v>
      </c>
      <c r="BK102" s="357">
        <v>0</v>
      </c>
      <c r="BL102" s="357">
        <v>102492</v>
      </c>
      <c r="BM102" s="357">
        <v>0</v>
      </c>
      <c r="BN102" s="357">
        <v>0</v>
      </c>
      <c r="BO102" s="357">
        <v>0</v>
      </c>
      <c r="BP102" s="357">
        <v>0</v>
      </c>
      <c r="BQ102" s="357">
        <v>6131655</v>
      </c>
      <c r="BR102" s="357">
        <v>0</v>
      </c>
      <c r="BS102" s="357">
        <v>0</v>
      </c>
      <c r="BT102" s="357">
        <v>150000</v>
      </c>
      <c r="BU102" s="357">
        <v>0</v>
      </c>
      <c r="BV102" s="357">
        <v>0</v>
      </c>
      <c r="BW102" s="357">
        <v>6281655</v>
      </c>
      <c r="BX102" s="357">
        <v>0</v>
      </c>
      <c r="BY102" s="357">
        <v>0</v>
      </c>
      <c r="BZ102" s="357">
        <v>6281655</v>
      </c>
      <c r="CA102" s="357">
        <v>50000</v>
      </c>
      <c r="CB102" s="357">
        <v>0</v>
      </c>
      <c r="CC102" s="357">
        <v>0</v>
      </c>
      <c r="CD102" s="357">
        <v>50000</v>
      </c>
      <c r="CE102" s="357">
        <v>2612928</v>
      </c>
      <c r="CF102" s="357">
        <v>0</v>
      </c>
      <c r="CG102" s="357">
        <v>0</v>
      </c>
      <c r="CH102" s="357">
        <v>2612928</v>
      </c>
      <c r="CI102" s="357">
        <v>2662928</v>
      </c>
      <c r="CJ102" s="357">
        <v>0</v>
      </c>
      <c r="CK102" s="357">
        <v>0</v>
      </c>
      <c r="CL102" s="357">
        <v>0</v>
      </c>
      <c r="CM102" s="357">
        <v>0</v>
      </c>
      <c r="CN102" s="357">
        <v>0</v>
      </c>
      <c r="CO102" s="357">
        <v>2662928</v>
      </c>
      <c r="CP102" s="357">
        <v>0</v>
      </c>
      <c r="CQ102" s="357">
        <v>0</v>
      </c>
      <c r="CR102" s="357">
        <v>2662928</v>
      </c>
      <c r="CS102" s="357">
        <v>307062.77</v>
      </c>
      <c r="CT102" s="357">
        <v>0</v>
      </c>
      <c r="CU102" s="357">
        <v>0</v>
      </c>
      <c r="CV102" s="357">
        <v>307062.77</v>
      </c>
      <c r="CW102" s="357">
        <v>195801.8</v>
      </c>
      <c r="CX102" s="357">
        <v>0</v>
      </c>
      <c r="CY102" s="357">
        <v>0</v>
      </c>
      <c r="CZ102" s="357">
        <v>195801.8</v>
      </c>
      <c r="DA102" s="357">
        <v>0</v>
      </c>
      <c r="DB102" s="357">
        <v>0</v>
      </c>
      <c r="DC102" s="357">
        <v>0</v>
      </c>
      <c r="DD102" s="357">
        <v>0</v>
      </c>
      <c r="DE102" s="357">
        <v>0</v>
      </c>
      <c r="DF102" s="357">
        <v>0</v>
      </c>
      <c r="DG102" s="357">
        <v>0</v>
      </c>
      <c r="DH102" s="357">
        <v>0</v>
      </c>
      <c r="DI102" s="357">
        <v>0</v>
      </c>
      <c r="DJ102" s="357">
        <v>0</v>
      </c>
      <c r="DK102" s="357">
        <v>0</v>
      </c>
      <c r="DL102" s="357">
        <v>0</v>
      </c>
      <c r="DM102" s="357">
        <v>0</v>
      </c>
      <c r="DN102" s="357">
        <v>0</v>
      </c>
      <c r="DO102" s="357">
        <v>0</v>
      </c>
      <c r="DP102" s="357">
        <v>0</v>
      </c>
      <c r="DQ102" s="357">
        <v>502864.57</v>
      </c>
      <c r="DR102" s="357">
        <v>0</v>
      </c>
      <c r="DS102" s="357">
        <v>0</v>
      </c>
      <c r="DT102" s="357">
        <v>0</v>
      </c>
      <c r="DU102" s="357">
        <v>0</v>
      </c>
      <c r="DV102" s="357">
        <v>0</v>
      </c>
      <c r="DW102" s="357">
        <v>502864.57</v>
      </c>
      <c r="DX102" s="357">
        <v>0</v>
      </c>
      <c r="DY102" s="357">
        <v>0</v>
      </c>
      <c r="DZ102" s="357">
        <v>502864.57</v>
      </c>
      <c r="EA102" s="357">
        <v>0</v>
      </c>
      <c r="EB102" s="357">
        <v>0</v>
      </c>
      <c r="EC102" s="357">
        <v>0</v>
      </c>
      <c r="ED102" s="357">
        <v>0</v>
      </c>
      <c r="EE102" s="357">
        <v>0</v>
      </c>
      <c r="EF102" s="357">
        <v>0</v>
      </c>
      <c r="EG102" s="357">
        <v>130646</v>
      </c>
      <c r="EH102" s="357">
        <v>0</v>
      </c>
      <c r="EI102" s="357">
        <v>0</v>
      </c>
      <c r="EJ102" s="357">
        <v>130646</v>
      </c>
      <c r="EK102" s="357">
        <v>2064000</v>
      </c>
      <c r="EL102" s="357">
        <v>0</v>
      </c>
      <c r="EM102" s="357">
        <v>0</v>
      </c>
      <c r="EN102" s="357">
        <v>2064000</v>
      </c>
      <c r="EO102" s="357">
        <v>2194646</v>
      </c>
      <c r="EP102" s="357">
        <v>0</v>
      </c>
      <c r="EQ102" s="357">
        <v>0</v>
      </c>
      <c r="ER102" s="357">
        <v>0</v>
      </c>
      <c r="ES102" s="357">
        <v>0</v>
      </c>
      <c r="ET102" s="357">
        <v>0</v>
      </c>
      <c r="EU102" s="357">
        <v>2194646</v>
      </c>
      <c r="EV102" s="357">
        <v>0</v>
      </c>
      <c r="EW102" s="357">
        <v>0</v>
      </c>
      <c r="EX102" s="357">
        <v>2194646</v>
      </c>
      <c r="EY102" s="357">
        <v>109445084</v>
      </c>
      <c r="EZ102" s="357">
        <v>0</v>
      </c>
      <c r="FA102" s="357">
        <v>0</v>
      </c>
      <c r="FB102" s="357">
        <v>109445084</v>
      </c>
      <c r="FC102" s="277">
        <v>0</v>
      </c>
      <c r="FD102" s="205"/>
    </row>
    <row r="103" spans="1:160" ht="12.75">
      <c r="A103" s="169">
        <v>96</v>
      </c>
      <c r="B103" s="172" t="s">
        <v>99</v>
      </c>
      <c r="C103" s="258" t="s">
        <v>100</v>
      </c>
      <c r="D103" s="235">
        <v>41626</v>
      </c>
      <c r="E103" s="357">
        <v>86989674</v>
      </c>
      <c r="F103" s="357">
        <v>0</v>
      </c>
      <c r="G103" s="357">
        <v>0</v>
      </c>
      <c r="H103" s="357">
        <v>86989674</v>
      </c>
      <c r="I103" s="357">
        <v>40972136</v>
      </c>
      <c r="J103" s="357">
        <v>0</v>
      </c>
      <c r="K103" s="357">
        <v>0</v>
      </c>
      <c r="L103" s="357">
        <v>0</v>
      </c>
      <c r="M103" s="357">
        <v>0</v>
      </c>
      <c r="N103" s="357">
        <v>0</v>
      </c>
      <c r="O103" s="357">
        <v>40972136</v>
      </c>
      <c r="P103" s="357">
        <v>0</v>
      </c>
      <c r="Q103" s="357">
        <v>0</v>
      </c>
      <c r="R103" s="357">
        <v>40972136</v>
      </c>
      <c r="S103" s="357">
        <v>147628</v>
      </c>
      <c r="T103" s="357">
        <v>0</v>
      </c>
      <c r="U103" s="357">
        <v>0</v>
      </c>
      <c r="V103" s="357">
        <v>147628</v>
      </c>
      <c r="W103" s="357">
        <v>10529</v>
      </c>
      <c r="X103" s="357">
        <v>0</v>
      </c>
      <c r="Y103" s="357">
        <v>0</v>
      </c>
      <c r="Z103" s="357">
        <v>10529</v>
      </c>
      <c r="AA103" s="357">
        <v>137099</v>
      </c>
      <c r="AB103" s="357">
        <v>0</v>
      </c>
      <c r="AC103" s="357">
        <v>0</v>
      </c>
      <c r="AD103" s="357">
        <v>8366</v>
      </c>
      <c r="AE103" s="357">
        <v>0</v>
      </c>
      <c r="AF103" s="357">
        <v>0</v>
      </c>
      <c r="AG103" s="357">
        <v>145465</v>
      </c>
      <c r="AH103" s="357">
        <v>0</v>
      </c>
      <c r="AI103" s="357">
        <v>0</v>
      </c>
      <c r="AJ103" s="357">
        <v>145465</v>
      </c>
      <c r="AK103" s="357">
        <v>145465</v>
      </c>
      <c r="AL103" s="357">
        <v>0</v>
      </c>
      <c r="AM103" s="357">
        <v>0</v>
      </c>
      <c r="AN103" s="357">
        <v>145465</v>
      </c>
      <c r="AO103" s="357">
        <v>2262418</v>
      </c>
      <c r="AP103" s="357">
        <v>0</v>
      </c>
      <c r="AQ103" s="357">
        <v>0</v>
      </c>
      <c r="AR103" s="357">
        <v>2262418</v>
      </c>
      <c r="AS103" s="357">
        <v>100000</v>
      </c>
      <c r="AT103" s="357">
        <v>0</v>
      </c>
      <c r="AU103" s="357">
        <v>0</v>
      </c>
      <c r="AV103" s="357">
        <v>100000</v>
      </c>
      <c r="AW103" s="357">
        <v>755584</v>
      </c>
      <c r="AX103" s="357">
        <v>0</v>
      </c>
      <c r="AY103" s="357">
        <v>0</v>
      </c>
      <c r="AZ103" s="357">
        <v>755584</v>
      </c>
      <c r="BA103" s="357">
        <v>1506834</v>
      </c>
      <c r="BB103" s="357">
        <v>0</v>
      </c>
      <c r="BC103" s="357">
        <v>0</v>
      </c>
      <c r="BD103" s="357">
        <v>1506834</v>
      </c>
      <c r="BE103" s="357">
        <v>2180107.9</v>
      </c>
      <c r="BF103" s="357">
        <v>0</v>
      </c>
      <c r="BG103" s="357">
        <v>0</v>
      </c>
      <c r="BH103" s="357">
        <v>2180107.9</v>
      </c>
      <c r="BI103" s="357">
        <v>18932.96</v>
      </c>
      <c r="BJ103" s="357">
        <v>0</v>
      </c>
      <c r="BK103" s="357">
        <v>0</v>
      </c>
      <c r="BL103" s="357">
        <v>18932.96</v>
      </c>
      <c r="BM103" s="357">
        <v>9013.4</v>
      </c>
      <c r="BN103" s="357">
        <v>0</v>
      </c>
      <c r="BO103" s="357">
        <v>0</v>
      </c>
      <c r="BP103" s="357">
        <v>9013.4</v>
      </c>
      <c r="BQ103" s="357">
        <v>3714888.26</v>
      </c>
      <c r="BR103" s="357">
        <v>0</v>
      </c>
      <c r="BS103" s="357">
        <v>0</v>
      </c>
      <c r="BT103" s="357">
        <v>-23344</v>
      </c>
      <c r="BU103" s="357">
        <v>0</v>
      </c>
      <c r="BV103" s="357">
        <v>0</v>
      </c>
      <c r="BW103" s="357">
        <v>3691544.26</v>
      </c>
      <c r="BX103" s="357">
        <v>0</v>
      </c>
      <c r="BY103" s="357">
        <v>0</v>
      </c>
      <c r="BZ103" s="357">
        <v>3691544.26</v>
      </c>
      <c r="CA103" s="357">
        <v>10000</v>
      </c>
      <c r="CB103" s="357">
        <v>0</v>
      </c>
      <c r="CC103" s="357">
        <v>0</v>
      </c>
      <c r="CD103" s="357">
        <v>10000</v>
      </c>
      <c r="CE103" s="357">
        <v>1292966</v>
      </c>
      <c r="CF103" s="357">
        <v>0</v>
      </c>
      <c r="CG103" s="357">
        <v>0</v>
      </c>
      <c r="CH103" s="357">
        <v>1292966</v>
      </c>
      <c r="CI103" s="357">
        <v>1302966</v>
      </c>
      <c r="CJ103" s="357">
        <v>0</v>
      </c>
      <c r="CK103" s="357">
        <v>0</v>
      </c>
      <c r="CL103" s="357">
        <v>-1528</v>
      </c>
      <c r="CM103" s="357">
        <v>0</v>
      </c>
      <c r="CN103" s="357">
        <v>0</v>
      </c>
      <c r="CO103" s="357">
        <v>1301438</v>
      </c>
      <c r="CP103" s="357">
        <v>0</v>
      </c>
      <c r="CQ103" s="357">
        <v>0</v>
      </c>
      <c r="CR103" s="357">
        <v>1301438</v>
      </c>
      <c r="CS103" s="357">
        <v>13941.37</v>
      </c>
      <c r="CT103" s="357">
        <v>0</v>
      </c>
      <c r="CU103" s="357">
        <v>0</v>
      </c>
      <c r="CV103" s="357">
        <v>13941.37</v>
      </c>
      <c r="CW103" s="357">
        <v>57227.62</v>
      </c>
      <c r="CX103" s="357">
        <v>0</v>
      </c>
      <c r="CY103" s="357">
        <v>0</v>
      </c>
      <c r="CZ103" s="357">
        <v>57227.62</v>
      </c>
      <c r="DA103" s="357">
        <v>0</v>
      </c>
      <c r="DB103" s="357">
        <v>0</v>
      </c>
      <c r="DC103" s="357">
        <v>0</v>
      </c>
      <c r="DD103" s="357">
        <v>0</v>
      </c>
      <c r="DE103" s="357">
        <v>5408.04</v>
      </c>
      <c r="DF103" s="357">
        <v>0</v>
      </c>
      <c r="DG103" s="357">
        <v>0</v>
      </c>
      <c r="DH103" s="357">
        <v>5408.04</v>
      </c>
      <c r="DI103" s="357">
        <v>11906.88</v>
      </c>
      <c r="DJ103" s="357">
        <v>0</v>
      </c>
      <c r="DK103" s="357">
        <v>0</v>
      </c>
      <c r="DL103" s="357">
        <v>11906.88</v>
      </c>
      <c r="DM103" s="357">
        <v>0</v>
      </c>
      <c r="DN103" s="357">
        <v>0</v>
      </c>
      <c r="DO103" s="357">
        <v>0</v>
      </c>
      <c r="DP103" s="357">
        <v>0</v>
      </c>
      <c r="DQ103" s="357">
        <v>88483.91</v>
      </c>
      <c r="DR103" s="357">
        <v>0</v>
      </c>
      <c r="DS103" s="357">
        <v>0</v>
      </c>
      <c r="DT103" s="357">
        <v>0</v>
      </c>
      <c r="DU103" s="357">
        <v>0</v>
      </c>
      <c r="DV103" s="357">
        <v>0</v>
      </c>
      <c r="DW103" s="357">
        <v>88483.91</v>
      </c>
      <c r="DX103" s="357">
        <v>0</v>
      </c>
      <c r="DY103" s="357">
        <v>0</v>
      </c>
      <c r="DZ103" s="357">
        <v>88483.91</v>
      </c>
      <c r="EA103" s="357">
        <v>0</v>
      </c>
      <c r="EB103" s="357">
        <v>0</v>
      </c>
      <c r="EC103" s="357">
        <v>100000</v>
      </c>
      <c r="ED103" s="357">
        <v>0</v>
      </c>
      <c r="EE103" s="357">
        <v>0</v>
      </c>
      <c r="EF103" s="357">
        <v>100000</v>
      </c>
      <c r="EG103" s="357">
        <v>34647</v>
      </c>
      <c r="EH103" s="357">
        <v>0</v>
      </c>
      <c r="EI103" s="357">
        <v>0</v>
      </c>
      <c r="EJ103" s="357">
        <v>34647</v>
      </c>
      <c r="EK103" s="357">
        <v>749558</v>
      </c>
      <c r="EL103" s="357">
        <v>0</v>
      </c>
      <c r="EM103" s="357">
        <v>0</v>
      </c>
      <c r="EN103" s="357">
        <v>749558</v>
      </c>
      <c r="EO103" s="357">
        <v>884205</v>
      </c>
      <c r="EP103" s="357">
        <v>0</v>
      </c>
      <c r="EQ103" s="357">
        <v>0</v>
      </c>
      <c r="ER103" s="357">
        <v>0</v>
      </c>
      <c r="ES103" s="357">
        <v>0</v>
      </c>
      <c r="ET103" s="357">
        <v>0</v>
      </c>
      <c r="EU103" s="357">
        <v>884205</v>
      </c>
      <c r="EV103" s="357">
        <v>0</v>
      </c>
      <c r="EW103" s="357">
        <v>0</v>
      </c>
      <c r="EX103" s="357">
        <v>884205</v>
      </c>
      <c r="EY103" s="357">
        <v>34860999.8</v>
      </c>
      <c r="EZ103" s="357">
        <v>0</v>
      </c>
      <c r="FA103" s="357">
        <v>0</v>
      </c>
      <c r="FB103" s="357">
        <v>34860999.8</v>
      </c>
      <c r="FC103" s="277">
        <v>0</v>
      </c>
      <c r="FD103" s="205"/>
    </row>
    <row r="104" spans="1:160" ht="12.75">
      <c r="A104" s="169">
        <v>97</v>
      </c>
      <c r="B104" s="172" t="s">
        <v>101</v>
      </c>
      <c r="C104" s="258" t="s">
        <v>102</v>
      </c>
      <c r="D104" s="235">
        <v>41639</v>
      </c>
      <c r="E104" s="357">
        <v>60029370</v>
      </c>
      <c r="F104" s="357">
        <v>0</v>
      </c>
      <c r="G104" s="357">
        <v>0</v>
      </c>
      <c r="H104" s="357">
        <v>60029370</v>
      </c>
      <c r="I104" s="357">
        <v>28273833</v>
      </c>
      <c r="J104" s="357">
        <v>0</v>
      </c>
      <c r="K104" s="357">
        <v>0</v>
      </c>
      <c r="L104" s="357">
        <v>-708477</v>
      </c>
      <c r="M104" s="357">
        <v>0</v>
      </c>
      <c r="N104" s="357">
        <v>0</v>
      </c>
      <c r="O104" s="357">
        <v>27565356</v>
      </c>
      <c r="P104" s="357">
        <v>0</v>
      </c>
      <c r="Q104" s="357">
        <v>0</v>
      </c>
      <c r="R104" s="357">
        <v>27565356</v>
      </c>
      <c r="S104" s="357">
        <v>19225</v>
      </c>
      <c r="T104" s="357">
        <v>0</v>
      </c>
      <c r="U104" s="357">
        <v>0</v>
      </c>
      <c r="V104" s="357">
        <v>19225</v>
      </c>
      <c r="W104" s="357">
        <v>4366</v>
      </c>
      <c r="X104" s="357">
        <v>0</v>
      </c>
      <c r="Y104" s="357">
        <v>0</v>
      </c>
      <c r="Z104" s="357">
        <v>4366</v>
      </c>
      <c r="AA104" s="357">
        <v>14859</v>
      </c>
      <c r="AB104" s="357">
        <v>0</v>
      </c>
      <c r="AC104" s="357">
        <v>0</v>
      </c>
      <c r="AD104" s="357">
        <v>-383745</v>
      </c>
      <c r="AE104" s="357">
        <v>0</v>
      </c>
      <c r="AF104" s="357">
        <v>0</v>
      </c>
      <c r="AG104" s="357">
        <v>-368886</v>
      </c>
      <c r="AH104" s="357">
        <v>0</v>
      </c>
      <c r="AI104" s="357">
        <v>0</v>
      </c>
      <c r="AJ104" s="357">
        <v>-368886</v>
      </c>
      <c r="AK104" s="357">
        <v>-368886</v>
      </c>
      <c r="AL104" s="357">
        <v>0</v>
      </c>
      <c r="AM104" s="357">
        <v>0</v>
      </c>
      <c r="AN104" s="357">
        <v>-368886</v>
      </c>
      <c r="AO104" s="357">
        <v>955505</v>
      </c>
      <c r="AP104" s="357">
        <v>0</v>
      </c>
      <c r="AQ104" s="357">
        <v>0</v>
      </c>
      <c r="AR104" s="357">
        <v>955505</v>
      </c>
      <c r="AS104" s="357">
        <v>0</v>
      </c>
      <c r="AT104" s="357">
        <v>0</v>
      </c>
      <c r="AU104" s="357">
        <v>0</v>
      </c>
      <c r="AV104" s="357">
        <v>0</v>
      </c>
      <c r="AW104" s="357">
        <v>582940</v>
      </c>
      <c r="AX104" s="357">
        <v>0</v>
      </c>
      <c r="AY104" s="357">
        <v>0</v>
      </c>
      <c r="AZ104" s="357">
        <v>582940</v>
      </c>
      <c r="BA104" s="357">
        <v>372565</v>
      </c>
      <c r="BB104" s="357">
        <v>0</v>
      </c>
      <c r="BC104" s="357">
        <v>0</v>
      </c>
      <c r="BD104" s="357">
        <v>372565</v>
      </c>
      <c r="BE104" s="357">
        <v>2710995</v>
      </c>
      <c r="BF104" s="357">
        <v>0</v>
      </c>
      <c r="BG104" s="357">
        <v>0</v>
      </c>
      <c r="BH104" s="357">
        <v>2710995</v>
      </c>
      <c r="BI104" s="357">
        <v>48875</v>
      </c>
      <c r="BJ104" s="357">
        <v>0</v>
      </c>
      <c r="BK104" s="357">
        <v>0</v>
      </c>
      <c r="BL104" s="357">
        <v>48875</v>
      </c>
      <c r="BM104" s="357">
        <v>0</v>
      </c>
      <c r="BN104" s="357">
        <v>0</v>
      </c>
      <c r="BO104" s="357">
        <v>0</v>
      </c>
      <c r="BP104" s="357">
        <v>0</v>
      </c>
      <c r="BQ104" s="357">
        <v>3132435</v>
      </c>
      <c r="BR104" s="357">
        <v>0</v>
      </c>
      <c r="BS104" s="357">
        <v>0</v>
      </c>
      <c r="BT104" s="357">
        <v>176462</v>
      </c>
      <c r="BU104" s="357">
        <v>0</v>
      </c>
      <c r="BV104" s="357">
        <v>0</v>
      </c>
      <c r="BW104" s="357">
        <v>3308897</v>
      </c>
      <c r="BX104" s="357">
        <v>0</v>
      </c>
      <c r="BY104" s="357">
        <v>0</v>
      </c>
      <c r="BZ104" s="357">
        <v>3308897</v>
      </c>
      <c r="CA104" s="357">
        <v>0</v>
      </c>
      <c r="CB104" s="357">
        <v>0</v>
      </c>
      <c r="CC104" s="357">
        <v>0</v>
      </c>
      <c r="CD104" s="357">
        <v>0</v>
      </c>
      <c r="CE104" s="357">
        <v>528989</v>
      </c>
      <c r="CF104" s="357">
        <v>0</v>
      </c>
      <c r="CG104" s="357">
        <v>0</v>
      </c>
      <c r="CH104" s="357">
        <v>528989</v>
      </c>
      <c r="CI104" s="357">
        <v>528989</v>
      </c>
      <c r="CJ104" s="357">
        <v>0</v>
      </c>
      <c r="CK104" s="357">
        <v>0</v>
      </c>
      <c r="CL104" s="357">
        <v>153407</v>
      </c>
      <c r="CM104" s="357">
        <v>0</v>
      </c>
      <c r="CN104" s="357">
        <v>0</v>
      </c>
      <c r="CO104" s="357">
        <v>682396</v>
      </c>
      <c r="CP104" s="357">
        <v>0</v>
      </c>
      <c r="CQ104" s="357">
        <v>0</v>
      </c>
      <c r="CR104" s="357">
        <v>682396</v>
      </c>
      <c r="CS104" s="357">
        <v>74318</v>
      </c>
      <c r="CT104" s="357">
        <v>0</v>
      </c>
      <c r="CU104" s="357">
        <v>0</v>
      </c>
      <c r="CV104" s="357">
        <v>74318</v>
      </c>
      <c r="CW104" s="357">
        <v>574</v>
      </c>
      <c r="CX104" s="357">
        <v>0</v>
      </c>
      <c r="CY104" s="357">
        <v>0</v>
      </c>
      <c r="CZ104" s="357">
        <v>574</v>
      </c>
      <c r="DA104" s="357">
        <v>8570</v>
      </c>
      <c r="DB104" s="357">
        <v>0</v>
      </c>
      <c r="DC104" s="357">
        <v>0</v>
      </c>
      <c r="DD104" s="357">
        <v>8570</v>
      </c>
      <c r="DE104" s="357">
        <v>0</v>
      </c>
      <c r="DF104" s="357">
        <v>0</v>
      </c>
      <c r="DG104" s="357">
        <v>0</v>
      </c>
      <c r="DH104" s="357">
        <v>0</v>
      </c>
      <c r="DI104" s="357">
        <v>0</v>
      </c>
      <c r="DJ104" s="357">
        <v>0</v>
      </c>
      <c r="DK104" s="357">
        <v>0</v>
      </c>
      <c r="DL104" s="357">
        <v>0</v>
      </c>
      <c r="DM104" s="357">
        <v>0</v>
      </c>
      <c r="DN104" s="357">
        <v>0</v>
      </c>
      <c r="DO104" s="357">
        <v>0</v>
      </c>
      <c r="DP104" s="357">
        <v>0</v>
      </c>
      <c r="DQ104" s="357">
        <v>83462</v>
      </c>
      <c r="DR104" s="357">
        <v>0</v>
      </c>
      <c r="DS104" s="357">
        <v>0</v>
      </c>
      <c r="DT104" s="357">
        <v>2921</v>
      </c>
      <c r="DU104" s="357">
        <v>0</v>
      </c>
      <c r="DV104" s="357">
        <v>0</v>
      </c>
      <c r="DW104" s="357">
        <v>86383</v>
      </c>
      <c r="DX104" s="357">
        <v>0</v>
      </c>
      <c r="DY104" s="357">
        <v>0</v>
      </c>
      <c r="DZ104" s="357">
        <v>86383</v>
      </c>
      <c r="EA104" s="357">
        <v>0</v>
      </c>
      <c r="EB104" s="357">
        <v>0</v>
      </c>
      <c r="EC104" s="357">
        <v>0</v>
      </c>
      <c r="ED104" s="357">
        <v>0</v>
      </c>
      <c r="EE104" s="357">
        <v>0</v>
      </c>
      <c r="EF104" s="357">
        <v>0</v>
      </c>
      <c r="EG104" s="357">
        <v>16000</v>
      </c>
      <c r="EH104" s="357">
        <v>0</v>
      </c>
      <c r="EI104" s="357">
        <v>0</v>
      </c>
      <c r="EJ104" s="357">
        <v>16000</v>
      </c>
      <c r="EK104" s="357">
        <v>440000</v>
      </c>
      <c r="EL104" s="357">
        <v>0</v>
      </c>
      <c r="EM104" s="357">
        <v>0</v>
      </c>
      <c r="EN104" s="357">
        <v>440000</v>
      </c>
      <c r="EO104" s="357">
        <v>456000</v>
      </c>
      <c r="EP104" s="357">
        <v>0</v>
      </c>
      <c r="EQ104" s="357">
        <v>0</v>
      </c>
      <c r="ER104" s="357">
        <v>0</v>
      </c>
      <c r="ES104" s="357">
        <v>0</v>
      </c>
      <c r="ET104" s="357">
        <v>0</v>
      </c>
      <c r="EU104" s="357">
        <v>456000</v>
      </c>
      <c r="EV104" s="357">
        <v>0</v>
      </c>
      <c r="EW104" s="357">
        <v>0</v>
      </c>
      <c r="EX104" s="357">
        <v>456000</v>
      </c>
      <c r="EY104" s="357">
        <v>23400566</v>
      </c>
      <c r="EZ104" s="357">
        <v>0</v>
      </c>
      <c r="FA104" s="357">
        <v>0</v>
      </c>
      <c r="FB104" s="357">
        <v>23400566</v>
      </c>
      <c r="FC104" s="277">
        <v>0</v>
      </c>
      <c r="FD104" s="205"/>
    </row>
    <row r="105" spans="1:160" ht="12.75">
      <c r="A105" s="169">
        <v>98</v>
      </c>
      <c r="B105" s="172" t="s">
        <v>103</v>
      </c>
      <c r="C105" s="258" t="s">
        <v>104</v>
      </c>
      <c r="D105" s="235">
        <v>41547</v>
      </c>
      <c r="E105" s="357">
        <v>62690741</v>
      </c>
      <c r="F105" s="357">
        <v>0</v>
      </c>
      <c r="G105" s="357">
        <v>0</v>
      </c>
      <c r="H105" s="357">
        <v>62690741</v>
      </c>
      <c r="I105" s="357">
        <v>29527339</v>
      </c>
      <c r="J105" s="357">
        <v>0</v>
      </c>
      <c r="K105" s="357">
        <v>0</v>
      </c>
      <c r="L105" s="357">
        <v>-50000</v>
      </c>
      <c r="M105" s="357">
        <v>0</v>
      </c>
      <c r="N105" s="357">
        <v>0</v>
      </c>
      <c r="O105" s="357">
        <v>29477339</v>
      </c>
      <c r="P105" s="357">
        <v>0</v>
      </c>
      <c r="Q105" s="357">
        <v>0</v>
      </c>
      <c r="R105" s="357">
        <v>29477339</v>
      </c>
      <c r="S105" s="357">
        <v>10397.69</v>
      </c>
      <c r="T105" s="357">
        <v>0</v>
      </c>
      <c r="U105" s="357">
        <v>0</v>
      </c>
      <c r="V105" s="357">
        <v>10397.69</v>
      </c>
      <c r="W105" s="357">
        <v>14745.29</v>
      </c>
      <c r="X105" s="357">
        <v>0</v>
      </c>
      <c r="Y105" s="357">
        <v>0</v>
      </c>
      <c r="Z105" s="357">
        <v>14745.29</v>
      </c>
      <c r="AA105" s="357">
        <v>-4347.6</v>
      </c>
      <c r="AB105" s="357">
        <v>0</v>
      </c>
      <c r="AC105" s="357">
        <v>0</v>
      </c>
      <c r="AD105" s="357">
        <v>0</v>
      </c>
      <c r="AE105" s="357">
        <v>0</v>
      </c>
      <c r="AF105" s="357">
        <v>0</v>
      </c>
      <c r="AG105" s="357">
        <v>-4347.6</v>
      </c>
      <c r="AH105" s="357">
        <v>0</v>
      </c>
      <c r="AI105" s="357">
        <v>0</v>
      </c>
      <c r="AJ105" s="357">
        <v>-4347.6</v>
      </c>
      <c r="AK105" s="357">
        <v>-4347.6</v>
      </c>
      <c r="AL105" s="357">
        <v>0</v>
      </c>
      <c r="AM105" s="357">
        <v>0</v>
      </c>
      <c r="AN105" s="357">
        <v>-4347.6</v>
      </c>
      <c r="AO105" s="357">
        <v>2362551.24</v>
      </c>
      <c r="AP105" s="357">
        <v>0</v>
      </c>
      <c r="AQ105" s="357">
        <v>0</v>
      </c>
      <c r="AR105" s="357">
        <v>2362551.24</v>
      </c>
      <c r="AS105" s="357">
        <v>10000</v>
      </c>
      <c r="AT105" s="357">
        <v>0</v>
      </c>
      <c r="AU105" s="357">
        <v>0</v>
      </c>
      <c r="AV105" s="357">
        <v>10000</v>
      </c>
      <c r="AW105" s="357">
        <v>540978.17</v>
      </c>
      <c r="AX105" s="357">
        <v>0</v>
      </c>
      <c r="AY105" s="357">
        <v>0</v>
      </c>
      <c r="AZ105" s="357">
        <v>540978.17</v>
      </c>
      <c r="BA105" s="357">
        <v>1821573.07</v>
      </c>
      <c r="BB105" s="357">
        <v>0</v>
      </c>
      <c r="BC105" s="357">
        <v>0</v>
      </c>
      <c r="BD105" s="357">
        <v>1821573.07</v>
      </c>
      <c r="BE105" s="357">
        <v>1620581.96</v>
      </c>
      <c r="BF105" s="357">
        <v>0</v>
      </c>
      <c r="BG105" s="357">
        <v>0</v>
      </c>
      <c r="BH105" s="357">
        <v>1620581.96</v>
      </c>
      <c r="BI105" s="357">
        <v>83299.64</v>
      </c>
      <c r="BJ105" s="357">
        <v>0</v>
      </c>
      <c r="BK105" s="357">
        <v>0</v>
      </c>
      <c r="BL105" s="357">
        <v>83299.64</v>
      </c>
      <c r="BM105" s="357">
        <v>1554.45</v>
      </c>
      <c r="BN105" s="357">
        <v>0</v>
      </c>
      <c r="BO105" s="357">
        <v>0</v>
      </c>
      <c r="BP105" s="357">
        <v>1554.45</v>
      </c>
      <c r="BQ105" s="357">
        <v>3527009.12</v>
      </c>
      <c r="BR105" s="357">
        <v>0</v>
      </c>
      <c r="BS105" s="357">
        <v>0</v>
      </c>
      <c r="BT105" s="357">
        <v>0</v>
      </c>
      <c r="BU105" s="357">
        <v>0</v>
      </c>
      <c r="BV105" s="357">
        <v>0</v>
      </c>
      <c r="BW105" s="357">
        <v>3527009.12</v>
      </c>
      <c r="BX105" s="357">
        <v>0</v>
      </c>
      <c r="BY105" s="357">
        <v>0</v>
      </c>
      <c r="BZ105" s="357">
        <v>3527009.12</v>
      </c>
      <c r="CA105" s="357">
        <v>0</v>
      </c>
      <c r="CB105" s="357">
        <v>0</v>
      </c>
      <c r="CC105" s="357">
        <v>0</v>
      </c>
      <c r="CD105" s="357">
        <v>0</v>
      </c>
      <c r="CE105" s="357">
        <v>574731.96</v>
      </c>
      <c r="CF105" s="357">
        <v>0</v>
      </c>
      <c r="CG105" s="357">
        <v>0</v>
      </c>
      <c r="CH105" s="357">
        <v>574731.96</v>
      </c>
      <c r="CI105" s="357">
        <v>574731.96</v>
      </c>
      <c r="CJ105" s="357">
        <v>0</v>
      </c>
      <c r="CK105" s="357">
        <v>0</v>
      </c>
      <c r="CL105" s="357">
        <v>0</v>
      </c>
      <c r="CM105" s="357">
        <v>0</v>
      </c>
      <c r="CN105" s="357">
        <v>0</v>
      </c>
      <c r="CO105" s="357">
        <v>574731.96</v>
      </c>
      <c r="CP105" s="357">
        <v>0</v>
      </c>
      <c r="CQ105" s="357">
        <v>0</v>
      </c>
      <c r="CR105" s="357">
        <v>574731.96</v>
      </c>
      <c r="CS105" s="357">
        <v>20512.13</v>
      </c>
      <c r="CT105" s="357">
        <v>0</v>
      </c>
      <c r="CU105" s="357">
        <v>0</v>
      </c>
      <c r="CV105" s="357">
        <v>20512.13</v>
      </c>
      <c r="CW105" s="357">
        <v>72889.83</v>
      </c>
      <c r="CX105" s="357">
        <v>0</v>
      </c>
      <c r="CY105" s="357">
        <v>0</v>
      </c>
      <c r="CZ105" s="357">
        <v>72889.83</v>
      </c>
      <c r="DA105" s="357">
        <v>0</v>
      </c>
      <c r="DB105" s="357">
        <v>0</v>
      </c>
      <c r="DC105" s="357">
        <v>0</v>
      </c>
      <c r="DD105" s="357">
        <v>0</v>
      </c>
      <c r="DE105" s="357">
        <v>1192.95</v>
      </c>
      <c r="DF105" s="357">
        <v>0</v>
      </c>
      <c r="DG105" s="357">
        <v>0</v>
      </c>
      <c r="DH105" s="357">
        <v>1192.95</v>
      </c>
      <c r="DI105" s="357">
        <v>0</v>
      </c>
      <c r="DJ105" s="357">
        <v>0</v>
      </c>
      <c r="DK105" s="357">
        <v>0</v>
      </c>
      <c r="DL105" s="357">
        <v>0</v>
      </c>
      <c r="DM105" s="357">
        <v>0</v>
      </c>
      <c r="DN105" s="357">
        <v>0</v>
      </c>
      <c r="DO105" s="357">
        <v>0</v>
      </c>
      <c r="DP105" s="357">
        <v>0</v>
      </c>
      <c r="DQ105" s="357">
        <v>94594.91</v>
      </c>
      <c r="DR105" s="357">
        <v>0</v>
      </c>
      <c r="DS105" s="357">
        <v>0</v>
      </c>
      <c r="DT105" s="357">
        <v>0</v>
      </c>
      <c r="DU105" s="357">
        <v>0</v>
      </c>
      <c r="DV105" s="357">
        <v>0</v>
      </c>
      <c r="DW105" s="357">
        <v>94594.91</v>
      </c>
      <c r="DX105" s="357">
        <v>0</v>
      </c>
      <c r="DY105" s="357">
        <v>0</v>
      </c>
      <c r="DZ105" s="357">
        <v>94594.91</v>
      </c>
      <c r="EA105" s="357">
        <v>0</v>
      </c>
      <c r="EB105" s="357">
        <v>0</v>
      </c>
      <c r="EC105" s="357">
        <v>10000</v>
      </c>
      <c r="ED105" s="357">
        <v>0</v>
      </c>
      <c r="EE105" s="357">
        <v>0</v>
      </c>
      <c r="EF105" s="357">
        <v>10000</v>
      </c>
      <c r="EG105" s="357">
        <v>50000</v>
      </c>
      <c r="EH105" s="357">
        <v>0</v>
      </c>
      <c r="EI105" s="357">
        <v>0</v>
      </c>
      <c r="EJ105" s="357">
        <v>50000</v>
      </c>
      <c r="EK105" s="357">
        <v>800000</v>
      </c>
      <c r="EL105" s="357">
        <v>0</v>
      </c>
      <c r="EM105" s="357">
        <v>0</v>
      </c>
      <c r="EN105" s="357">
        <v>800000</v>
      </c>
      <c r="EO105" s="357">
        <v>860000</v>
      </c>
      <c r="EP105" s="357">
        <v>0</v>
      </c>
      <c r="EQ105" s="357">
        <v>0</v>
      </c>
      <c r="ER105" s="357">
        <v>0</v>
      </c>
      <c r="ES105" s="357">
        <v>0</v>
      </c>
      <c r="ET105" s="357">
        <v>0</v>
      </c>
      <c r="EU105" s="357">
        <v>860000</v>
      </c>
      <c r="EV105" s="357">
        <v>0</v>
      </c>
      <c r="EW105" s="357">
        <v>0</v>
      </c>
      <c r="EX105" s="357">
        <v>860000</v>
      </c>
      <c r="EY105" s="357">
        <v>24425350.6</v>
      </c>
      <c r="EZ105" s="357">
        <v>0</v>
      </c>
      <c r="FA105" s="357">
        <v>0</v>
      </c>
      <c r="FB105" s="357">
        <v>24425350.6</v>
      </c>
      <c r="FC105" s="277">
        <v>0</v>
      </c>
      <c r="FD105" s="205"/>
    </row>
    <row r="106" spans="1:160" ht="12.75">
      <c r="A106" s="169">
        <v>99</v>
      </c>
      <c r="B106" s="172" t="s">
        <v>105</v>
      </c>
      <c r="C106" s="258" t="s">
        <v>106</v>
      </c>
      <c r="D106" s="235">
        <v>41639</v>
      </c>
      <c r="E106" s="357">
        <v>186826929</v>
      </c>
      <c r="F106" s="357">
        <v>0</v>
      </c>
      <c r="G106" s="357">
        <v>0</v>
      </c>
      <c r="H106" s="357">
        <v>186826929</v>
      </c>
      <c r="I106" s="357">
        <v>87995484</v>
      </c>
      <c r="J106" s="357">
        <v>0</v>
      </c>
      <c r="K106" s="357">
        <v>0</v>
      </c>
      <c r="L106" s="357">
        <v>-1000000</v>
      </c>
      <c r="M106" s="357">
        <v>0</v>
      </c>
      <c r="N106" s="357">
        <v>0</v>
      </c>
      <c r="O106" s="357">
        <v>86995484</v>
      </c>
      <c r="P106" s="357">
        <v>0</v>
      </c>
      <c r="Q106" s="357">
        <v>0</v>
      </c>
      <c r="R106" s="357">
        <v>86995484</v>
      </c>
      <c r="S106" s="357">
        <v>99085</v>
      </c>
      <c r="T106" s="357">
        <v>0</v>
      </c>
      <c r="U106" s="357">
        <v>0</v>
      </c>
      <c r="V106" s="357">
        <v>99085</v>
      </c>
      <c r="W106" s="357">
        <v>7005</v>
      </c>
      <c r="X106" s="357">
        <v>0</v>
      </c>
      <c r="Y106" s="357">
        <v>0</v>
      </c>
      <c r="Z106" s="357">
        <v>7005</v>
      </c>
      <c r="AA106" s="357">
        <v>92080</v>
      </c>
      <c r="AB106" s="357">
        <v>0</v>
      </c>
      <c r="AC106" s="357">
        <v>0</v>
      </c>
      <c r="AD106" s="357">
        <v>0</v>
      </c>
      <c r="AE106" s="357">
        <v>0</v>
      </c>
      <c r="AF106" s="357">
        <v>0</v>
      </c>
      <c r="AG106" s="357">
        <v>92080</v>
      </c>
      <c r="AH106" s="357">
        <v>0</v>
      </c>
      <c r="AI106" s="357">
        <v>0</v>
      </c>
      <c r="AJ106" s="357">
        <v>92080</v>
      </c>
      <c r="AK106" s="357">
        <v>92080</v>
      </c>
      <c r="AL106" s="357">
        <v>0</v>
      </c>
      <c r="AM106" s="357">
        <v>0</v>
      </c>
      <c r="AN106" s="357">
        <v>92080</v>
      </c>
      <c r="AO106" s="357">
        <v>1995359</v>
      </c>
      <c r="AP106" s="357">
        <v>0</v>
      </c>
      <c r="AQ106" s="357">
        <v>0</v>
      </c>
      <c r="AR106" s="357">
        <v>1995359</v>
      </c>
      <c r="AS106" s="357">
        <v>0</v>
      </c>
      <c r="AT106" s="357">
        <v>0</v>
      </c>
      <c r="AU106" s="357">
        <v>0</v>
      </c>
      <c r="AV106" s="357">
        <v>0</v>
      </c>
      <c r="AW106" s="357">
        <v>1876688</v>
      </c>
      <c r="AX106" s="357">
        <v>0</v>
      </c>
      <c r="AY106" s="357">
        <v>0</v>
      </c>
      <c r="AZ106" s="357">
        <v>1876688</v>
      </c>
      <c r="BA106" s="357">
        <v>118671</v>
      </c>
      <c r="BB106" s="357">
        <v>0</v>
      </c>
      <c r="BC106" s="357">
        <v>0</v>
      </c>
      <c r="BD106" s="357">
        <v>118671</v>
      </c>
      <c r="BE106" s="357">
        <v>5107022</v>
      </c>
      <c r="BF106" s="357">
        <v>0</v>
      </c>
      <c r="BG106" s="357">
        <v>0</v>
      </c>
      <c r="BH106" s="357">
        <v>5107022</v>
      </c>
      <c r="BI106" s="357">
        <v>33416</v>
      </c>
      <c r="BJ106" s="357">
        <v>0</v>
      </c>
      <c r="BK106" s="357">
        <v>0</v>
      </c>
      <c r="BL106" s="357">
        <v>33416</v>
      </c>
      <c r="BM106" s="357">
        <v>0</v>
      </c>
      <c r="BN106" s="357">
        <v>0</v>
      </c>
      <c r="BO106" s="357">
        <v>0</v>
      </c>
      <c r="BP106" s="357">
        <v>0</v>
      </c>
      <c r="BQ106" s="357">
        <v>5259109</v>
      </c>
      <c r="BR106" s="357">
        <v>0</v>
      </c>
      <c r="BS106" s="357">
        <v>0</v>
      </c>
      <c r="BT106" s="357">
        <v>0</v>
      </c>
      <c r="BU106" s="357">
        <v>0</v>
      </c>
      <c r="BV106" s="357">
        <v>0</v>
      </c>
      <c r="BW106" s="357">
        <v>5259109</v>
      </c>
      <c r="BX106" s="357">
        <v>0</v>
      </c>
      <c r="BY106" s="357">
        <v>0</v>
      </c>
      <c r="BZ106" s="357">
        <v>5259109</v>
      </c>
      <c r="CA106" s="357">
        <v>11381</v>
      </c>
      <c r="CB106" s="357">
        <v>0</v>
      </c>
      <c r="CC106" s="357">
        <v>0</v>
      </c>
      <c r="CD106" s="357">
        <v>11381</v>
      </c>
      <c r="CE106" s="357">
        <v>2080986</v>
      </c>
      <c r="CF106" s="357">
        <v>0</v>
      </c>
      <c r="CG106" s="357">
        <v>0</v>
      </c>
      <c r="CH106" s="357">
        <v>2080986</v>
      </c>
      <c r="CI106" s="357">
        <v>2092367</v>
      </c>
      <c r="CJ106" s="357">
        <v>0</v>
      </c>
      <c r="CK106" s="357">
        <v>0</v>
      </c>
      <c r="CL106" s="357">
        <v>0</v>
      </c>
      <c r="CM106" s="357">
        <v>0</v>
      </c>
      <c r="CN106" s="357">
        <v>0</v>
      </c>
      <c r="CO106" s="357">
        <v>2092367</v>
      </c>
      <c r="CP106" s="357">
        <v>0</v>
      </c>
      <c r="CQ106" s="357">
        <v>0</v>
      </c>
      <c r="CR106" s="357">
        <v>2092367</v>
      </c>
      <c r="CS106" s="357">
        <v>166938</v>
      </c>
      <c r="CT106" s="357">
        <v>0</v>
      </c>
      <c r="CU106" s="357">
        <v>0</v>
      </c>
      <c r="CV106" s="357">
        <v>166938</v>
      </c>
      <c r="CW106" s="357">
        <v>360214</v>
      </c>
      <c r="CX106" s="357">
        <v>0</v>
      </c>
      <c r="CY106" s="357">
        <v>0</v>
      </c>
      <c r="CZ106" s="357">
        <v>360214</v>
      </c>
      <c r="DA106" s="357">
        <v>2928</v>
      </c>
      <c r="DB106" s="357">
        <v>0</v>
      </c>
      <c r="DC106" s="357">
        <v>0</v>
      </c>
      <c r="DD106" s="357">
        <v>2928</v>
      </c>
      <c r="DE106" s="357">
        <v>0</v>
      </c>
      <c r="DF106" s="357">
        <v>0</v>
      </c>
      <c r="DG106" s="357">
        <v>0</v>
      </c>
      <c r="DH106" s="357">
        <v>0</v>
      </c>
      <c r="DI106" s="357">
        <v>0</v>
      </c>
      <c r="DJ106" s="357">
        <v>0</v>
      </c>
      <c r="DK106" s="357">
        <v>0</v>
      </c>
      <c r="DL106" s="357">
        <v>0</v>
      </c>
      <c r="DM106" s="357">
        <v>0</v>
      </c>
      <c r="DN106" s="357">
        <v>0</v>
      </c>
      <c r="DO106" s="357">
        <v>0</v>
      </c>
      <c r="DP106" s="357">
        <v>0</v>
      </c>
      <c r="DQ106" s="357">
        <v>530080</v>
      </c>
      <c r="DR106" s="357">
        <v>0</v>
      </c>
      <c r="DS106" s="357">
        <v>0</v>
      </c>
      <c r="DT106" s="357">
        <v>0</v>
      </c>
      <c r="DU106" s="357">
        <v>0</v>
      </c>
      <c r="DV106" s="357">
        <v>0</v>
      </c>
      <c r="DW106" s="357">
        <v>530080</v>
      </c>
      <c r="DX106" s="357">
        <v>0</v>
      </c>
      <c r="DY106" s="357">
        <v>0</v>
      </c>
      <c r="DZ106" s="357">
        <v>530080</v>
      </c>
      <c r="EA106" s="357">
        <v>0</v>
      </c>
      <c r="EB106" s="357">
        <v>0</v>
      </c>
      <c r="EC106" s="357">
        <v>75000</v>
      </c>
      <c r="ED106" s="357">
        <v>0</v>
      </c>
      <c r="EE106" s="357">
        <v>0</v>
      </c>
      <c r="EF106" s="357">
        <v>75000</v>
      </c>
      <c r="EG106" s="357">
        <v>170000</v>
      </c>
      <c r="EH106" s="357">
        <v>0</v>
      </c>
      <c r="EI106" s="357">
        <v>0</v>
      </c>
      <c r="EJ106" s="357">
        <v>170000</v>
      </c>
      <c r="EK106" s="357">
        <v>1234000</v>
      </c>
      <c r="EL106" s="357">
        <v>0</v>
      </c>
      <c r="EM106" s="357">
        <v>0</v>
      </c>
      <c r="EN106" s="357">
        <v>1234000</v>
      </c>
      <c r="EO106" s="357">
        <v>1479000</v>
      </c>
      <c r="EP106" s="357">
        <v>0</v>
      </c>
      <c r="EQ106" s="357">
        <v>0</v>
      </c>
      <c r="ER106" s="357">
        <v>0</v>
      </c>
      <c r="ES106" s="357">
        <v>0</v>
      </c>
      <c r="ET106" s="357">
        <v>0</v>
      </c>
      <c r="EU106" s="357">
        <v>1479000</v>
      </c>
      <c r="EV106" s="357">
        <v>0</v>
      </c>
      <c r="EW106" s="357">
        <v>0</v>
      </c>
      <c r="EX106" s="357">
        <v>1479000</v>
      </c>
      <c r="EY106" s="357">
        <v>77542848</v>
      </c>
      <c r="EZ106" s="357">
        <v>0</v>
      </c>
      <c r="FA106" s="357">
        <v>0</v>
      </c>
      <c r="FB106" s="357">
        <v>77542848</v>
      </c>
      <c r="FC106" s="277">
        <v>0</v>
      </c>
      <c r="FD106" s="205"/>
    </row>
    <row r="107" spans="1:160" ht="12.75">
      <c r="A107" s="169">
        <v>100</v>
      </c>
      <c r="B107" s="172" t="s">
        <v>107</v>
      </c>
      <c r="C107" s="258" t="s">
        <v>108</v>
      </c>
      <c r="D107" s="235">
        <v>41639</v>
      </c>
      <c r="E107" s="357">
        <v>102406130</v>
      </c>
      <c r="F107" s="357">
        <v>0</v>
      </c>
      <c r="G107" s="357">
        <v>212550</v>
      </c>
      <c r="H107" s="357">
        <v>102618680</v>
      </c>
      <c r="I107" s="357">
        <v>48233287</v>
      </c>
      <c r="J107" s="357">
        <v>0</v>
      </c>
      <c r="K107" s="357">
        <v>100111</v>
      </c>
      <c r="L107" s="357">
        <v>147188</v>
      </c>
      <c r="M107" s="357">
        <v>0</v>
      </c>
      <c r="N107" s="357">
        <v>78715</v>
      </c>
      <c r="O107" s="357">
        <v>48380475</v>
      </c>
      <c r="P107" s="357">
        <v>0</v>
      </c>
      <c r="Q107" s="357">
        <v>178826</v>
      </c>
      <c r="R107" s="357">
        <v>48559301</v>
      </c>
      <c r="S107" s="357">
        <v>22051</v>
      </c>
      <c r="T107" s="357">
        <v>0</v>
      </c>
      <c r="U107" s="357">
        <v>9710</v>
      </c>
      <c r="V107" s="357">
        <v>31761</v>
      </c>
      <c r="W107" s="357">
        <v>0</v>
      </c>
      <c r="X107" s="357">
        <v>0</v>
      </c>
      <c r="Y107" s="357">
        <v>0</v>
      </c>
      <c r="Z107" s="357">
        <v>0</v>
      </c>
      <c r="AA107" s="357">
        <v>22051</v>
      </c>
      <c r="AB107" s="357">
        <v>0</v>
      </c>
      <c r="AC107" s="357">
        <v>9710</v>
      </c>
      <c r="AD107" s="357">
        <v>-193000</v>
      </c>
      <c r="AE107" s="357">
        <v>0</v>
      </c>
      <c r="AF107" s="357">
        <v>-7000</v>
      </c>
      <c r="AG107" s="357">
        <v>-170949</v>
      </c>
      <c r="AH107" s="357">
        <v>0</v>
      </c>
      <c r="AI107" s="357">
        <v>2710</v>
      </c>
      <c r="AJ107" s="357">
        <v>-168239</v>
      </c>
      <c r="AK107" s="357">
        <v>-170949</v>
      </c>
      <c r="AL107" s="357">
        <v>0</v>
      </c>
      <c r="AM107" s="357">
        <v>2710</v>
      </c>
      <c r="AN107" s="357">
        <v>-168239</v>
      </c>
      <c r="AO107" s="357">
        <v>1540664</v>
      </c>
      <c r="AP107" s="357">
        <v>0</v>
      </c>
      <c r="AQ107" s="357">
        <v>0</v>
      </c>
      <c r="AR107" s="357">
        <v>1540664</v>
      </c>
      <c r="AS107" s="357">
        <v>20000</v>
      </c>
      <c r="AT107" s="357">
        <v>0</v>
      </c>
      <c r="AU107" s="357">
        <v>0</v>
      </c>
      <c r="AV107" s="357">
        <v>20000</v>
      </c>
      <c r="AW107" s="357">
        <v>1061165</v>
      </c>
      <c r="AX107" s="357">
        <v>0</v>
      </c>
      <c r="AY107" s="357">
        <v>2134</v>
      </c>
      <c r="AZ107" s="357">
        <v>1063299</v>
      </c>
      <c r="BA107" s="357">
        <v>479499</v>
      </c>
      <c r="BB107" s="357">
        <v>0</v>
      </c>
      <c r="BC107" s="357">
        <v>-2134</v>
      </c>
      <c r="BD107" s="357">
        <v>477365</v>
      </c>
      <c r="BE107" s="357">
        <v>2571676</v>
      </c>
      <c r="BF107" s="357">
        <v>0</v>
      </c>
      <c r="BG107" s="357">
        <v>46377</v>
      </c>
      <c r="BH107" s="357">
        <v>2618053</v>
      </c>
      <c r="BI107" s="357">
        <v>0</v>
      </c>
      <c r="BJ107" s="357">
        <v>0</v>
      </c>
      <c r="BK107" s="357">
        <v>0</v>
      </c>
      <c r="BL107" s="357">
        <v>0</v>
      </c>
      <c r="BM107" s="357">
        <v>0</v>
      </c>
      <c r="BN107" s="357">
        <v>0</v>
      </c>
      <c r="BO107" s="357">
        <v>0</v>
      </c>
      <c r="BP107" s="357">
        <v>0</v>
      </c>
      <c r="BQ107" s="357">
        <v>3051175</v>
      </c>
      <c r="BR107" s="357">
        <v>0</v>
      </c>
      <c r="BS107" s="357">
        <v>44243</v>
      </c>
      <c r="BT107" s="357">
        <v>0</v>
      </c>
      <c r="BU107" s="357">
        <v>0</v>
      </c>
      <c r="BV107" s="357">
        <v>0</v>
      </c>
      <c r="BW107" s="357">
        <v>3051175</v>
      </c>
      <c r="BX107" s="357">
        <v>0</v>
      </c>
      <c r="BY107" s="357">
        <v>44243</v>
      </c>
      <c r="BZ107" s="357">
        <v>3095418</v>
      </c>
      <c r="CA107" s="357">
        <v>92992</v>
      </c>
      <c r="CB107" s="357">
        <v>0</v>
      </c>
      <c r="CC107" s="357">
        <v>0</v>
      </c>
      <c r="CD107" s="357">
        <v>92992</v>
      </c>
      <c r="CE107" s="357">
        <v>1390492</v>
      </c>
      <c r="CF107" s="357">
        <v>0</v>
      </c>
      <c r="CG107" s="357">
        <v>0</v>
      </c>
      <c r="CH107" s="357">
        <v>1390492</v>
      </c>
      <c r="CI107" s="357">
        <v>1483484</v>
      </c>
      <c r="CJ107" s="357">
        <v>0</v>
      </c>
      <c r="CK107" s="357">
        <v>0</v>
      </c>
      <c r="CL107" s="357">
        <v>0</v>
      </c>
      <c r="CM107" s="357">
        <v>0</v>
      </c>
      <c r="CN107" s="357">
        <v>0</v>
      </c>
      <c r="CO107" s="357">
        <v>1483484</v>
      </c>
      <c r="CP107" s="357">
        <v>0</v>
      </c>
      <c r="CQ107" s="357">
        <v>0</v>
      </c>
      <c r="CR107" s="357">
        <v>1483484</v>
      </c>
      <c r="CS107" s="357">
        <v>136385</v>
      </c>
      <c r="CT107" s="357">
        <v>0</v>
      </c>
      <c r="CU107" s="357">
        <v>11594</v>
      </c>
      <c r="CV107" s="357">
        <v>147979</v>
      </c>
      <c r="CW107" s="357">
        <v>380840</v>
      </c>
      <c r="CX107" s="357">
        <v>0</v>
      </c>
      <c r="CY107" s="357">
        <v>0</v>
      </c>
      <c r="CZ107" s="357">
        <v>380840</v>
      </c>
      <c r="DA107" s="357">
        <v>0</v>
      </c>
      <c r="DB107" s="357">
        <v>0</v>
      </c>
      <c r="DC107" s="357">
        <v>0</v>
      </c>
      <c r="DD107" s="357">
        <v>0</v>
      </c>
      <c r="DE107" s="357">
        <v>0</v>
      </c>
      <c r="DF107" s="357">
        <v>0</v>
      </c>
      <c r="DG107" s="357">
        <v>0</v>
      </c>
      <c r="DH107" s="357">
        <v>0</v>
      </c>
      <c r="DI107" s="357">
        <v>0</v>
      </c>
      <c r="DJ107" s="357">
        <v>0</v>
      </c>
      <c r="DK107" s="357">
        <v>0</v>
      </c>
      <c r="DL107" s="357">
        <v>0</v>
      </c>
      <c r="DM107" s="357">
        <v>0</v>
      </c>
      <c r="DN107" s="357">
        <v>0</v>
      </c>
      <c r="DO107" s="357">
        <v>92535</v>
      </c>
      <c r="DP107" s="357">
        <v>92535</v>
      </c>
      <c r="DQ107" s="357">
        <v>517225</v>
      </c>
      <c r="DR107" s="357">
        <v>0</v>
      </c>
      <c r="DS107" s="357">
        <v>104129</v>
      </c>
      <c r="DT107" s="357">
        <v>0</v>
      </c>
      <c r="DU107" s="357">
        <v>0</v>
      </c>
      <c r="DV107" s="357">
        <v>78715</v>
      </c>
      <c r="DW107" s="357">
        <v>517225</v>
      </c>
      <c r="DX107" s="357">
        <v>0</v>
      </c>
      <c r="DY107" s="357">
        <v>182844</v>
      </c>
      <c r="DZ107" s="357">
        <v>700069</v>
      </c>
      <c r="EA107" s="357">
        <v>171250</v>
      </c>
      <c r="EB107" s="357">
        <v>0</v>
      </c>
      <c r="EC107" s="357">
        <v>26141</v>
      </c>
      <c r="ED107" s="357">
        <v>0</v>
      </c>
      <c r="EE107" s="357">
        <v>0</v>
      </c>
      <c r="EF107" s="357">
        <v>26141</v>
      </c>
      <c r="EG107" s="357">
        <v>29932</v>
      </c>
      <c r="EH107" s="357">
        <v>0</v>
      </c>
      <c r="EI107" s="357">
        <v>0</v>
      </c>
      <c r="EJ107" s="357">
        <v>29932</v>
      </c>
      <c r="EK107" s="357">
        <v>536000</v>
      </c>
      <c r="EL107" s="357">
        <v>0</v>
      </c>
      <c r="EM107" s="357">
        <v>0</v>
      </c>
      <c r="EN107" s="357">
        <v>536000</v>
      </c>
      <c r="EO107" s="357">
        <v>592073</v>
      </c>
      <c r="EP107" s="357">
        <v>0</v>
      </c>
      <c r="EQ107" s="357">
        <v>0</v>
      </c>
      <c r="ER107" s="357">
        <v>0</v>
      </c>
      <c r="ES107" s="357">
        <v>0</v>
      </c>
      <c r="ET107" s="357">
        <v>0</v>
      </c>
      <c r="EU107" s="357">
        <v>592073</v>
      </c>
      <c r="EV107" s="357">
        <v>0</v>
      </c>
      <c r="EW107" s="357">
        <v>0</v>
      </c>
      <c r="EX107" s="357">
        <v>592073</v>
      </c>
      <c r="EY107" s="357">
        <v>42907467</v>
      </c>
      <c r="EZ107" s="357">
        <v>0</v>
      </c>
      <c r="FA107" s="357">
        <v>-50971</v>
      </c>
      <c r="FB107" s="357">
        <v>42856496</v>
      </c>
      <c r="FC107" s="277">
        <v>0</v>
      </c>
      <c r="FD107" s="205"/>
    </row>
    <row r="108" spans="1:160" ht="12.75">
      <c r="A108" s="169">
        <v>101</v>
      </c>
      <c r="B108" s="172" t="s">
        <v>109</v>
      </c>
      <c r="C108" s="258" t="s">
        <v>110</v>
      </c>
      <c r="D108" s="235">
        <v>41639</v>
      </c>
      <c r="E108" s="357">
        <v>63082301</v>
      </c>
      <c r="F108" s="357">
        <v>0</v>
      </c>
      <c r="G108" s="357">
        <v>0</v>
      </c>
      <c r="H108" s="357">
        <v>63082301</v>
      </c>
      <c r="I108" s="357">
        <v>29711764</v>
      </c>
      <c r="J108" s="357">
        <v>0</v>
      </c>
      <c r="K108" s="357">
        <v>0</v>
      </c>
      <c r="L108" s="357">
        <v>148558.82</v>
      </c>
      <c r="M108" s="357">
        <v>0</v>
      </c>
      <c r="N108" s="357">
        <v>0</v>
      </c>
      <c r="O108" s="357">
        <v>29860322.8</v>
      </c>
      <c r="P108" s="357">
        <v>0</v>
      </c>
      <c r="Q108" s="357">
        <v>0</v>
      </c>
      <c r="R108" s="357">
        <v>29860322.8</v>
      </c>
      <c r="S108" s="357">
        <v>243270</v>
      </c>
      <c r="T108" s="357">
        <v>0</v>
      </c>
      <c r="U108" s="357">
        <v>0</v>
      </c>
      <c r="V108" s="357">
        <v>243270</v>
      </c>
      <c r="W108" s="357">
        <v>0</v>
      </c>
      <c r="X108" s="357">
        <v>0</v>
      </c>
      <c r="Y108" s="357">
        <v>0</v>
      </c>
      <c r="Z108" s="357">
        <v>0</v>
      </c>
      <c r="AA108" s="357">
        <v>243270</v>
      </c>
      <c r="AB108" s="357">
        <v>0</v>
      </c>
      <c r="AC108" s="357">
        <v>0</v>
      </c>
      <c r="AD108" s="357">
        <v>0</v>
      </c>
      <c r="AE108" s="357">
        <v>0</v>
      </c>
      <c r="AF108" s="357">
        <v>0</v>
      </c>
      <c r="AG108" s="357">
        <v>243270</v>
      </c>
      <c r="AH108" s="357">
        <v>0</v>
      </c>
      <c r="AI108" s="357">
        <v>0</v>
      </c>
      <c r="AJ108" s="357">
        <v>243270</v>
      </c>
      <c r="AK108" s="357">
        <v>243270</v>
      </c>
      <c r="AL108" s="357">
        <v>0</v>
      </c>
      <c r="AM108" s="357">
        <v>0</v>
      </c>
      <c r="AN108" s="357">
        <v>243270</v>
      </c>
      <c r="AO108" s="357">
        <v>2116777</v>
      </c>
      <c r="AP108" s="357">
        <v>0</v>
      </c>
      <c r="AQ108" s="357">
        <v>0</v>
      </c>
      <c r="AR108" s="357">
        <v>2116777</v>
      </c>
      <c r="AS108" s="357">
        <v>0</v>
      </c>
      <c r="AT108" s="357">
        <v>0</v>
      </c>
      <c r="AU108" s="357">
        <v>0</v>
      </c>
      <c r="AV108" s="357">
        <v>0</v>
      </c>
      <c r="AW108" s="357">
        <v>558728.01</v>
      </c>
      <c r="AX108" s="357">
        <v>0</v>
      </c>
      <c r="AY108" s="357">
        <v>0</v>
      </c>
      <c r="AZ108" s="357">
        <v>558728.01</v>
      </c>
      <c r="BA108" s="357">
        <v>1558048.99</v>
      </c>
      <c r="BB108" s="357">
        <v>0</v>
      </c>
      <c r="BC108" s="357">
        <v>0</v>
      </c>
      <c r="BD108" s="357">
        <v>1558048.99</v>
      </c>
      <c r="BE108" s="357">
        <v>1740653</v>
      </c>
      <c r="BF108" s="357">
        <v>0</v>
      </c>
      <c r="BG108" s="357">
        <v>0</v>
      </c>
      <c r="BH108" s="357">
        <v>1740653</v>
      </c>
      <c r="BI108" s="357">
        <v>28801.34</v>
      </c>
      <c r="BJ108" s="357">
        <v>0</v>
      </c>
      <c r="BK108" s="357">
        <v>0</v>
      </c>
      <c r="BL108" s="357">
        <v>28801.34</v>
      </c>
      <c r="BM108" s="357">
        <v>31404.74</v>
      </c>
      <c r="BN108" s="357">
        <v>0</v>
      </c>
      <c r="BO108" s="357">
        <v>0</v>
      </c>
      <c r="BP108" s="357">
        <v>31404.74</v>
      </c>
      <c r="BQ108" s="357">
        <v>3358908.07</v>
      </c>
      <c r="BR108" s="357">
        <v>0</v>
      </c>
      <c r="BS108" s="357">
        <v>0</v>
      </c>
      <c r="BT108" s="357">
        <v>500000</v>
      </c>
      <c r="BU108" s="357">
        <v>0</v>
      </c>
      <c r="BV108" s="357">
        <v>0</v>
      </c>
      <c r="BW108" s="357">
        <v>3858908.07</v>
      </c>
      <c r="BX108" s="357">
        <v>0</v>
      </c>
      <c r="BY108" s="357">
        <v>0</v>
      </c>
      <c r="BZ108" s="357">
        <v>3858908.07</v>
      </c>
      <c r="CA108" s="357">
        <v>0</v>
      </c>
      <c r="CB108" s="357">
        <v>0</v>
      </c>
      <c r="CC108" s="357">
        <v>0</v>
      </c>
      <c r="CD108" s="357">
        <v>0</v>
      </c>
      <c r="CE108" s="357">
        <v>389765.7</v>
      </c>
      <c r="CF108" s="357">
        <v>0</v>
      </c>
      <c r="CG108" s="357">
        <v>0</v>
      </c>
      <c r="CH108" s="357">
        <v>389765.7</v>
      </c>
      <c r="CI108" s="357">
        <v>389765.7</v>
      </c>
      <c r="CJ108" s="357">
        <v>0</v>
      </c>
      <c r="CK108" s="357">
        <v>0</v>
      </c>
      <c r="CL108" s="357">
        <v>250000</v>
      </c>
      <c r="CM108" s="357">
        <v>0</v>
      </c>
      <c r="CN108" s="357">
        <v>0</v>
      </c>
      <c r="CO108" s="357">
        <v>639765.7</v>
      </c>
      <c r="CP108" s="357">
        <v>0</v>
      </c>
      <c r="CQ108" s="357">
        <v>0</v>
      </c>
      <c r="CR108" s="357">
        <v>639765.7</v>
      </c>
      <c r="CS108" s="357">
        <v>28999.05</v>
      </c>
      <c r="CT108" s="357">
        <v>0</v>
      </c>
      <c r="CU108" s="357">
        <v>0</v>
      </c>
      <c r="CV108" s="357">
        <v>28999.05</v>
      </c>
      <c r="CW108" s="357">
        <v>55201.94</v>
      </c>
      <c r="CX108" s="357">
        <v>0</v>
      </c>
      <c r="CY108" s="357">
        <v>0</v>
      </c>
      <c r="CZ108" s="357">
        <v>55201.94</v>
      </c>
      <c r="DA108" s="357">
        <v>0</v>
      </c>
      <c r="DB108" s="357">
        <v>0</v>
      </c>
      <c r="DC108" s="357">
        <v>0</v>
      </c>
      <c r="DD108" s="357">
        <v>0</v>
      </c>
      <c r="DE108" s="357">
        <v>31404.68</v>
      </c>
      <c r="DF108" s="357">
        <v>0</v>
      </c>
      <c r="DG108" s="357">
        <v>0</v>
      </c>
      <c r="DH108" s="357">
        <v>31404.68</v>
      </c>
      <c r="DI108" s="357">
        <v>25537.25</v>
      </c>
      <c r="DJ108" s="357">
        <v>0</v>
      </c>
      <c r="DK108" s="357">
        <v>0</v>
      </c>
      <c r="DL108" s="357">
        <v>25537.25</v>
      </c>
      <c r="DM108" s="357">
        <v>0</v>
      </c>
      <c r="DN108" s="357">
        <v>0</v>
      </c>
      <c r="DO108" s="357">
        <v>0</v>
      </c>
      <c r="DP108" s="357">
        <v>0</v>
      </c>
      <c r="DQ108" s="357">
        <v>141142.92</v>
      </c>
      <c r="DR108" s="357">
        <v>0</v>
      </c>
      <c r="DS108" s="357">
        <v>0</v>
      </c>
      <c r="DT108" s="357">
        <v>10000</v>
      </c>
      <c r="DU108" s="357">
        <v>0</v>
      </c>
      <c r="DV108" s="357">
        <v>0</v>
      </c>
      <c r="DW108" s="357">
        <v>151142.92</v>
      </c>
      <c r="DX108" s="357">
        <v>0</v>
      </c>
      <c r="DY108" s="357">
        <v>0</v>
      </c>
      <c r="DZ108" s="357">
        <v>151142.92</v>
      </c>
      <c r="EA108" s="357">
        <v>0</v>
      </c>
      <c r="EB108" s="357">
        <v>0</v>
      </c>
      <c r="EC108" s="357">
        <v>30000</v>
      </c>
      <c r="ED108" s="357">
        <v>0</v>
      </c>
      <c r="EE108" s="357">
        <v>0</v>
      </c>
      <c r="EF108" s="357">
        <v>30000</v>
      </c>
      <c r="EG108" s="357">
        <v>8600</v>
      </c>
      <c r="EH108" s="357">
        <v>0</v>
      </c>
      <c r="EI108" s="357">
        <v>0</v>
      </c>
      <c r="EJ108" s="357">
        <v>8600</v>
      </c>
      <c r="EK108" s="357">
        <v>471919</v>
      </c>
      <c r="EL108" s="357">
        <v>0</v>
      </c>
      <c r="EM108" s="357">
        <v>0</v>
      </c>
      <c r="EN108" s="357">
        <v>471919</v>
      </c>
      <c r="EO108" s="357">
        <v>510519</v>
      </c>
      <c r="EP108" s="357">
        <v>0</v>
      </c>
      <c r="EQ108" s="357">
        <v>0</v>
      </c>
      <c r="ER108" s="357">
        <v>0</v>
      </c>
      <c r="ES108" s="357">
        <v>0</v>
      </c>
      <c r="ET108" s="357">
        <v>0</v>
      </c>
      <c r="EU108" s="357">
        <v>510519</v>
      </c>
      <c r="EV108" s="357">
        <v>0</v>
      </c>
      <c r="EW108" s="357">
        <v>0</v>
      </c>
      <c r="EX108" s="357">
        <v>510519</v>
      </c>
      <c r="EY108" s="357">
        <v>24456717.1</v>
      </c>
      <c r="EZ108" s="357">
        <v>0</v>
      </c>
      <c r="FA108" s="357">
        <v>0</v>
      </c>
      <c r="FB108" s="357">
        <v>24456717.1</v>
      </c>
      <c r="FC108" s="277">
        <v>0</v>
      </c>
      <c r="FD108" s="205"/>
    </row>
    <row r="109" spans="1:160" ht="12.75">
      <c r="A109" s="169">
        <v>102</v>
      </c>
      <c r="B109" s="172" t="s">
        <v>111</v>
      </c>
      <c r="C109" s="258" t="s">
        <v>112</v>
      </c>
      <c r="D109" s="235">
        <v>41639</v>
      </c>
      <c r="E109" s="357">
        <v>52958410</v>
      </c>
      <c r="F109" s="357">
        <v>0</v>
      </c>
      <c r="G109" s="357">
        <v>0</v>
      </c>
      <c r="H109" s="357">
        <v>52958410</v>
      </c>
      <c r="I109" s="357">
        <v>24943411</v>
      </c>
      <c r="J109" s="357">
        <v>0</v>
      </c>
      <c r="K109" s="357">
        <v>0</v>
      </c>
      <c r="L109" s="357">
        <v>0</v>
      </c>
      <c r="M109" s="357">
        <v>0</v>
      </c>
      <c r="N109" s="357">
        <v>0</v>
      </c>
      <c r="O109" s="357">
        <v>24943411</v>
      </c>
      <c r="P109" s="357">
        <v>0</v>
      </c>
      <c r="Q109" s="357">
        <v>0</v>
      </c>
      <c r="R109" s="357">
        <v>24943411</v>
      </c>
      <c r="S109" s="357">
        <v>11450</v>
      </c>
      <c r="T109" s="357">
        <v>0</v>
      </c>
      <c r="U109" s="357">
        <v>0</v>
      </c>
      <c r="V109" s="357">
        <v>11450</v>
      </c>
      <c r="W109" s="357">
        <v>0</v>
      </c>
      <c r="X109" s="357">
        <v>0</v>
      </c>
      <c r="Y109" s="357">
        <v>0</v>
      </c>
      <c r="Z109" s="357">
        <v>0</v>
      </c>
      <c r="AA109" s="357">
        <v>11450</v>
      </c>
      <c r="AB109" s="357">
        <v>0</v>
      </c>
      <c r="AC109" s="357">
        <v>0</v>
      </c>
      <c r="AD109" s="357">
        <v>0</v>
      </c>
      <c r="AE109" s="357">
        <v>0</v>
      </c>
      <c r="AF109" s="357">
        <v>0</v>
      </c>
      <c r="AG109" s="357">
        <v>11450</v>
      </c>
      <c r="AH109" s="357">
        <v>0</v>
      </c>
      <c r="AI109" s="357">
        <v>0</v>
      </c>
      <c r="AJ109" s="357">
        <v>11450</v>
      </c>
      <c r="AK109" s="357">
        <v>11450</v>
      </c>
      <c r="AL109" s="357">
        <v>0</v>
      </c>
      <c r="AM109" s="357">
        <v>0</v>
      </c>
      <c r="AN109" s="357">
        <v>11450</v>
      </c>
      <c r="AO109" s="357">
        <v>1244032</v>
      </c>
      <c r="AP109" s="357">
        <v>0</v>
      </c>
      <c r="AQ109" s="357">
        <v>0</v>
      </c>
      <c r="AR109" s="357">
        <v>1244032</v>
      </c>
      <c r="AS109" s="357">
        <v>0</v>
      </c>
      <c r="AT109" s="357">
        <v>0</v>
      </c>
      <c r="AU109" s="357">
        <v>0</v>
      </c>
      <c r="AV109" s="357">
        <v>0</v>
      </c>
      <c r="AW109" s="357">
        <v>490861</v>
      </c>
      <c r="AX109" s="357">
        <v>0</v>
      </c>
      <c r="AY109" s="357">
        <v>0</v>
      </c>
      <c r="AZ109" s="357">
        <v>490861</v>
      </c>
      <c r="BA109" s="357">
        <v>753171</v>
      </c>
      <c r="BB109" s="357">
        <v>0</v>
      </c>
      <c r="BC109" s="357">
        <v>0</v>
      </c>
      <c r="BD109" s="357">
        <v>753171</v>
      </c>
      <c r="BE109" s="357">
        <v>988040</v>
      </c>
      <c r="BF109" s="357">
        <v>0</v>
      </c>
      <c r="BG109" s="357">
        <v>0</v>
      </c>
      <c r="BH109" s="357">
        <v>988040</v>
      </c>
      <c r="BI109" s="357">
        <v>10602</v>
      </c>
      <c r="BJ109" s="357">
        <v>0</v>
      </c>
      <c r="BK109" s="357">
        <v>0</v>
      </c>
      <c r="BL109" s="357">
        <v>10602</v>
      </c>
      <c r="BM109" s="357">
        <v>19117</v>
      </c>
      <c r="BN109" s="357">
        <v>0</v>
      </c>
      <c r="BO109" s="357">
        <v>0</v>
      </c>
      <c r="BP109" s="357">
        <v>19117</v>
      </c>
      <c r="BQ109" s="357">
        <v>1770930</v>
      </c>
      <c r="BR109" s="357">
        <v>0</v>
      </c>
      <c r="BS109" s="357">
        <v>0</v>
      </c>
      <c r="BT109" s="357">
        <v>0</v>
      </c>
      <c r="BU109" s="357">
        <v>0</v>
      </c>
      <c r="BV109" s="357">
        <v>0</v>
      </c>
      <c r="BW109" s="357">
        <v>1770930</v>
      </c>
      <c r="BX109" s="357">
        <v>0</v>
      </c>
      <c r="BY109" s="357">
        <v>0</v>
      </c>
      <c r="BZ109" s="357">
        <v>1770930</v>
      </c>
      <c r="CA109" s="357">
        <v>50000</v>
      </c>
      <c r="CB109" s="357">
        <v>0</v>
      </c>
      <c r="CC109" s="357">
        <v>0</v>
      </c>
      <c r="CD109" s="357">
        <v>50000</v>
      </c>
      <c r="CE109" s="357">
        <v>600553</v>
      </c>
      <c r="CF109" s="357">
        <v>0</v>
      </c>
      <c r="CG109" s="357">
        <v>0</v>
      </c>
      <c r="CH109" s="357">
        <v>600553</v>
      </c>
      <c r="CI109" s="357">
        <v>650553</v>
      </c>
      <c r="CJ109" s="357">
        <v>0</v>
      </c>
      <c r="CK109" s="357">
        <v>0</v>
      </c>
      <c r="CL109" s="357">
        <v>0</v>
      </c>
      <c r="CM109" s="357">
        <v>0</v>
      </c>
      <c r="CN109" s="357">
        <v>0</v>
      </c>
      <c r="CO109" s="357">
        <v>650553</v>
      </c>
      <c r="CP109" s="357">
        <v>0</v>
      </c>
      <c r="CQ109" s="357">
        <v>0</v>
      </c>
      <c r="CR109" s="357">
        <v>650553</v>
      </c>
      <c r="CS109" s="357">
        <v>15062</v>
      </c>
      <c r="CT109" s="357">
        <v>0</v>
      </c>
      <c r="CU109" s="357">
        <v>0</v>
      </c>
      <c r="CV109" s="357">
        <v>15062</v>
      </c>
      <c r="CW109" s="357">
        <v>619</v>
      </c>
      <c r="CX109" s="357">
        <v>0</v>
      </c>
      <c r="CY109" s="357">
        <v>0</v>
      </c>
      <c r="CZ109" s="357">
        <v>619</v>
      </c>
      <c r="DA109" s="357">
        <v>561</v>
      </c>
      <c r="DB109" s="357">
        <v>0</v>
      </c>
      <c r="DC109" s="357">
        <v>0</v>
      </c>
      <c r="DD109" s="357">
        <v>561</v>
      </c>
      <c r="DE109" s="357">
        <v>2537</v>
      </c>
      <c r="DF109" s="357">
        <v>0</v>
      </c>
      <c r="DG109" s="357">
        <v>0</v>
      </c>
      <c r="DH109" s="357">
        <v>2537</v>
      </c>
      <c r="DI109" s="357">
        <v>0</v>
      </c>
      <c r="DJ109" s="357">
        <v>0</v>
      </c>
      <c r="DK109" s="357">
        <v>0</v>
      </c>
      <c r="DL109" s="357">
        <v>0</v>
      </c>
      <c r="DM109" s="357">
        <v>0</v>
      </c>
      <c r="DN109" s="357">
        <v>0</v>
      </c>
      <c r="DO109" s="357">
        <v>0</v>
      </c>
      <c r="DP109" s="357">
        <v>0</v>
      </c>
      <c r="DQ109" s="357">
        <v>18779</v>
      </c>
      <c r="DR109" s="357">
        <v>0</v>
      </c>
      <c r="DS109" s="357">
        <v>0</v>
      </c>
      <c r="DT109" s="357">
        <v>0</v>
      </c>
      <c r="DU109" s="357">
        <v>0</v>
      </c>
      <c r="DV109" s="357">
        <v>0</v>
      </c>
      <c r="DW109" s="357">
        <v>18779</v>
      </c>
      <c r="DX109" s="357">
        <v>0</v>
      </c>
      <c r="DY109" s="357">
        <v>0</v>
      </c>
      <c r="DZ109" s="357">
        <v>18779</v>
      </c>
      <c r="EA109" s="357">
        <v>0</v>
      </c>
      <c r="EB109" s="357">
        <v>0</v>
      </c>
      <c r="EC109" s="357">
        <v>0</v>
      </c>
      <c r="ED109" s="357">
        <v>0</v>
      </c>
      <c r="EE109" s="357">
        <v>0</v>
      </c>
      <c r="EF109" s="357">
        <v>0</v>
      </c>
      <c r="EG109" s="357">
        <v>28907</v>
      </c>
      <c r="EH109" s="357">
        <v>0</v>
      </c>
      <c r="EI109" s="357">
        <v>0</v>
      </c>
      <c r="EJ109" s="357">
        <v>28907</v>
      </c>
      <c r="EK109" s="357">
        <v>298840</v>
      </c>
      <c r="EL109" s="357">
        <v>0</v>
      </c>
      <c r="EM109" s="357">
        <v>0</v>
      </c>
      <c r="EN109" s="357">
        <v>298840</v>
      </c>
      <c r="EO109" s="357">
        <v>327747</v>
      </c>
      <c r="EP109" s="357">
        <v>0</v>
      </c>
      <c r="EQ109" s="357">
        <v>0</v>
      </c>
      <c r="ER109" s="357">
        <v>0</v>
      </c>
      <c r="ES109" s="357">
        <v>0</v>
      </c>
      <c r="ET109" s="357">
        <v>0</v>
      </c>
      <c r="EU109" s="357">
        <v>327747</v>
      </c>
      <c r="EV109" s="357">
        <v>0</v>
      </c>
      <c r="EW109" s="357">
        <v>0</v>
      </c>
      <c r="EX109" s="357">
        <v>327747</v>
      </c>
      <c r="EY109" s="357">
        <v>22163952</v>
      </c>
      <c r="EZ109" s="357">
        <v>0</v>
      </c>
      <c r="FA109" s="357">
        <v>0</v>
      </c>
      <c r="FB109" s="357">
        <v>22163952</v>
      </c>
      <c r="FC109" s="277">
        <v>0</v>
      </c>
      <c r="FD109" s="205"/>
    </row>
    <row r="110" spans="1:160" ht="12.75">
      <c r="A110" s="169">
        <v>103</v>
      </c>
      <c r="B110" s="172" t="s">
        <v>113</v>
      </c>
      <c r="C110" s="258" t="s">
        <v>114</v>
      </c>
      <c r="D110" s="235">
        <v>41647</v>
      </c>
      <c r="E110" s="357">
        <v>34110139</v>
      </c>
      <c r="F110" s="357">
        <v>0</v>
      </c>
      <c r="G110" s="357">
        <v>0</v>
      </c>
      <c r="H110" s="357">
        <v>34110139</v>
      </c>
      <c r="I110" s="357">
        <v>16065875</v>
      </c>
      <c r="J110" s="357">
        <v>0</v>
      </c>
      <c r="K110" s="357">
        <v>0</v>
      </c>
      <c r="L110" s="357">
        <v>0</v>
      </c>
      <c r="M110" s="357">
        <v>0</v>
      </c>
      <c r="N110" s="357">
        <v>0</v>
      </c>
      <c r="O110" s="357">
        <v>16065875</v>
      </c>
      <c r="P110" s="357">
        <v>0</v>
      </c>
      <c r="Q110" s="357">
        <v>0</v>
      </c>
      <c r="R110" s="357">
        <v>16065875</v>
      </c>
      <c r="S110" s="357">
        <v>58093</v>
      </c>
      <c r="T110" s="357">
        <v>0</v>
      </c>
      <c r="U110" s="357">
        <v>0</v>
      </c>
      <c r="V110" s="357">
        <v>58093</v>
      </c>
      <c r="W110" s="357">
        <v>0</v>
      </c>
      <c r="X110" s="357">
        <v>0</v>
      </c>
      <c r="Y110" s="357">
        <v>0</v>
      </c>
      <c r="Z110" s="357">
        <v>0</v>
      </c>
      <c r="AA110" s="357">
        <v>58093</v>
      </c>
      <c r="AB110" s="357">
        <v>0</v>
      </c>
      <c r="AC110" s="357">
        <v>0</v>
      </c>
      <c r="AD110" s="357">
        <v>-37000</v>
      </c>
      <c r="AE110" s="357">
        <v>0</v>
      </c>
      <c r="AF110" s="357">
        <v>0</v>
      </c>
      <c r="AG110" s="357">
        <v>21093</v>
      </c>
      <c r="AH110" s="357">
        <v>0</v>
      </c>
      <c r="AI110" s="357">
        <v>0</v>
      </c>
      <c r="AJ110" s="357">
        <v>21093</v>
      </c>
      <c r="AK110" s="357">
        <v>21093</v>
      </c>
      <c r="AL110" s="357">
        <v>0</v>
      </c>
      <c r="AM110" s="357">
        <v>0</v>
      </c>
      <c r="AN110" s="357">
        <v>21093</v>
      </c>
      <c r="AO110" s="357">
        <v>2107001</v>
      </c>
      <c r="AP110" s="357">
        <v>0</v>
      </c>
      <c r="AQ110" s="357">
        <v>0</v>
      </c>
      <c r="AR110" s="357">
        <v>2107001</v>
      </c>
      <c r="AS110" s="357">
        <v>24483</v>
      </c>
      <c r="AT110" s="357">
        <v>0</v>
      </c>
      <c r="AU110" s="357">
        <v>0</v>
      </c>
      <c r="AV110" s="357">
        <v>24483</v>
      </c>
      <c r="AW110" s="357">
        <v>262758</v>
      </c>
      <c r="AX110" s="357">
        <v>0</v>
      </c>
      <c r="AY110" s="357">
        <v>0</v>
      </c>
      <c r="AZ110" s="357">
        <v>262758</v>
      </c>
      <c r="BA110" s="357">
        <v>1844243</v>
      </c>
      <c r="BB110" s="357">
        <v>0</v>
      </c>
      <c r="BC110" s="357">
        <v>0</v>
      </c>
      <c r="BD110" s="357">
        <v>1844243</v>
      </c>
      <c r="BE110" s="357">
        <v>1472698</v>
      </c>
      <c r="BF110" s="357">
        <v>0</v>
      </c>
      <c r="BG110" s="357">
        <v>0</v>
      </c>
      <c r="BH110" s="357">
        <v>1472698</v>
      </c>
      <c r="BI110" s="357">
        <v>2844</v>
      </c>
      <c r="BJ110" s="357">
        <v>0</v>
      </c>
      <c r="BK110" s="357">
        <v>0</v>
      </c>
      <c r="BL110" s="357">
        <v>2844</v>
      </c>
      <c r="BM110" s="357">
        <v>52209</v>
      </c>
      <c r="BN110" s="357">
        <v>0</v>
      </c>
      <c r="BO110" s="357">
        <v>0</v>
      </c>
      <c r="BP110" s="357">
        <v>52209</v>
      </c>
      <c r="BQ110" s="357">
        <v>3371994</v>
      </c>
      <c r="BR110" s="357">
        <v>0</v>
      </c>
      <c r="BS110" s="357">
        <v>0</v>
      </c>
      <c r="BT110" s="357">
        <v>115137</v>
      </c>
      <c r="BU110" s="357">
        <v>0</v>
      </c>
      <c r="BV110" s="357">
        <v>0</v>
      </c>
      <c r="BW110" s="357">
        <v>3487131</v>
      </c>
      <c r="BX110" s="357">
        <v>0</v>
      </c>
      <c r="BY110" s="357">
        <v>0</v>
      </c>
      <c r="BZ110" s="357">
        <v>3487131</v>
      </c>
      <c r="CA110" s="357">
        <v>36000</v>
      </c>
      <c r="CB110" s="357">
        <v>0</v>
      </c>
      <c r="CC110" s="357">
        <v>0</v>
      </c>
      <c r="CD110" s="357">
        <v>36000</v>
      </c>
      <c r="CE110" s="357">
        <v>281882</v>
      </c>
      <c r="CF110" s="357">
        <v>0</v>
      </c>
      <c r="CG110" s="357">
        <v>0</v>
      </c>
      <c r="CH110" s="357">
        <v>281882</v>
      </c>
      <c r="CI110" s="357">
        <v>317882</v>
      </c>
      <c r="CJ110" s="357">
        <v>0</v>
      </c>
      <c r="CK110" s="357">
        <v>0</v>
      </c>
      <c r="CL110" s="357">
        <v>119493</v>
      </c>
      <c r="CM110" s="357">
        <v>0</v>
      </c>
      <c r="CN110" s="357">
        <v>0</v>
      </c>
      <c r="CO110" s="357">
        <v>437375</v>
      </c>
      <c r="CP110" s="357">
        <v>0</v>
      </c>
      <c r="CQ110" s="357">
        <v>0</v>
      </c>
      <c r="CR110" s="357">
        <v>437375</v>
      </c>
      <c r="CS110" s="357">
        <v>65490</v>
      </c>
      <c r="CT110" s="357">
        <v>0</v>
      </c>
      <c r="CU110" s="357">
        <v>0</v>
      </c>
      <c r="CV110" s="357">
        <v>65490</v>
      </c>
      <c r="CW110" s="357">
        <v>68194</v>
      </c>
      <c r="CX110" s="357">
        <v>0</v>
      </c>
      <c r="CY110" s="357">
        <v>0</v>
      </c>
      <c r="CZ110" s="357">
        <v>68194</v>
      </c>
      <c r="DA110" s="357">
        <v>402</v>
      </c>
      <c r="DB110" s="357">
        <v>0</v>
      </c>
      <c r="DC110" s="357">
        <v>0</v>
      </c>
      <c r="DD110" s="357">
        <v>402</v>
      </c>
      <c r="DE110" s="357">
        <v>52209</v>
      </c>
      <c r="DF110" s="357">
        <v>0</v>
      </c>
      <c r="DG110" s="357">
        <v>0</v>
      </c>
      <c r="DH110" s="357">
        <v>52209</v>
      </c>
      <c r="DI110" s="357">
        <v>0</v>
      </c>
      <c r="DJ110" s="357">
        <v>0</v>
      </c>
      <c r="DK110" s="357">
        <v>0</v>
      </c>
      <c r="DL110" s="357">
        <v>0</v>
      </c>
      <c r="DM110" s="357">
        <v>0</v>
      </c>
      <c r="DN110" s="357">
        <v>0</v>
      </c>
      <c r="DO110" s="357">
        <v>0</v>
      </c>
      <c r="DP110" s="357">
        <v>0</v>
      </c>
      <c r="DQ110" s="357">
        <v>186295</v>
      </c>
      <c r="DR110" s="357">
        <v>0</v>
      </c>
      <c r="DS110" s="357">
        <v>0</v>
      </c>
      <c r="DT110" s="357">
        <v>5807</v>
      </c>
      <c r="DU110" s="357">
        <v>0</v>
      </c>
      <c r="DV110" s="357">
        <v>0</v>
      </c>
      <c r="DW110" s="357">
        <v>192102</v>
      </c>
      <c r="DX110" s="357">
        <v>0</v>
      </c>
      <c r="DY110" s="357">
        <v>0</v>
      </c>
      <c r="DZ110" s="357">
        <v>192102</v>
      </c>
      <c r="EA110" s="357">
        <v>0</v>
      </c>
      <c r="EB110" s="357">
        <v>0</v>
      </c>
      <c r="EC110" s="357">
        <v>0</v>
      </c>
      <c r="ED110" s="357">
        <v>0</v>
      </c>
      <c r="EE110" s="357">
        <v>0</v>
      </c>
      <c r="EF110" s="357">
        <v>0</v>
      </c>
      <c r="EG110" s="357">
        <v>26646</v>
      </c>
      <c r="EH110" s="357">
        <v>0</v>
      </c>
      <c r="EI110" s="357">
        <v>0</v>
      </c>
      <c r="EJ110" s="357">
        <v>26646</v>
      </c>
      <c r="EK110" s="357">
        <v>274000</v>
      </c>
      <c r="EL110" s="357">
        <v>0</v>
      </c>
      <c r="EM110" s="357">
        <v>0</v>
      </c>
      <c r="EN110" s="357">
        <v>274000</v>
      </c>
      <c r="EO110" s="357">
        <v>300646</v>
      </c>
      <c r="EP110" s="357">
        <v>0</v>
      </c>
      <c r="EQ110" s="357">
        <v>0</v>
      </c>
      <c r="ER110" s="357">
        <v>0</v>
      </c>
      <c r="ES110" s="357">
        <v>0</v>
      </c>
      <c r="ET110" s="357">
        <v>0</v>
      </c>
      <c r="EU110" s="357">
        <v>300646</v>
      </c>
      <c r="EV110" s="357">
        <v>0</v>
      </c>
      <c r="EW110" s="357">
        <v>0</v>
      </c>
      <c r="EX110" s="357">
        <v>300646</v>
      </c>
      <c r="EY110" s="357">
        <v>11627528</v>
      </c>
      <c r="EZ110" s="357">
        <v>0</v>
      </c>
      <c r="FA110" s="357">
        <v>0</v>
      </c>
      <c r="FB110" s="357">
        <v>11627528</v>
      </c>
      <c r="FC110" s="277">
        <v>0</v>
      </c>
      <c r="FD110" s="205"/>
    </row>
    <row r="111" spans="1:160" ht="12.75">
      <c r="A111" s="169">
        <v>104</v>
      </c>
      <c r="B111" s="172" t="s">
        <v>115</v>
      </c>
      <c r="C111" s="258" t="s">
        <v>116</v>
      </c>
      <c r="D111" s="235">
        <v>41547</v>
      </c>
      <c r="E111" s="357">
        <v>56992962</v>
      </c>
      <c r="F111" s="357">
        <v>0</v>
      </c>
      <c r="G111" s="357">
        <v>3990000</v>
      </c>
      <c r="H111" s="357">
        <v>60982962</v>
      </c>
      <c r="I111" s="357">
        <v>26843685</v>
      </c>
      <c r="J111" s="357">
        <v>0</v>
      </c>
      <c r="K111" s="357">
        <v>1879290</v>
      </c>
      <c r="L111" s="357">
        <v>-760180</v>
      </c>
      <c r="M111" s="357">
        <v>0</v>
      </c>
      <c r="N111" s="357">
        <v>0</v>
      </c>
      <c r="O111" s="357">
        <v>26083505</v>
      </c>
      <c r="P111" s="357">
        <v>0</v>
      </c>
      <c r="Q111" s="357">
        <v>1879290</v>
      </c>
      <c r="R111" s="357">
        <v>27962795</v>
      </c>
      <c r="S111" s="357">
        <v>87305</v>
      </c>
      <c r="T111" s="357">
        <v>0</v>
      </c>
      <c r="U111" s="357">
        <v>0</v>
      </c>
      <c r="V111" s="357">
        <v>87305</v>
      </c>
      <c r="W111" s="357">
        <v>5243</v>
      </c>
      <c r="X111" s="357">
        <v>0</v>
      </c>
      <c r="Y111" s="357">
        <v>0</v>
      </c>
      <c r="Z111" s="357">
        <v>5243</v>
      </c>
      <c r="AA111" s="357">
        <v>82062</v>
      </c>
      <c r="AB111" s="357">
        <v>0</v>
      </c>
      <c r="AC111" s="357">
        <v>0</v>
      </c>
      <c r="AD111" s="357">
        <v>-6729</v>
      </c>
      <c r="AE111" s="357">
        <v>0</v>
      </c>
      <c r="AF111" s="357">
        <v>0</v>
      </c>
      <c r="AG111" s="357">
        <v>75333</v>
      </c>
      <c r="AH111" s="357">
        <v>0</v>
      </c>
      <c r="AI111" s="357">
        <v>0</v>
      </c>
      <c r="AJ111" s="357">
        <v>75333</v>
      </c>
      <c r="AK111" s="357">
        <v>75333</v>
      </c>
      <c r="AL111" s="357">
        <v>0</v>
      </c>
      <c r="AM111" s="357">
        <v>0</v>
      </c>
      <c r="AN111" s="357">
        <v>75333</v>
      </c>
      <c r="AO111" s="357">
        <v>2007036</v>
      </c>
      <c r="AP111" s="357">
        <v>0</v>
      </c>
      <c r="AQ111" s="357">
        <v>0</v>
      </c>
      <c r="AR111" s="357">
        <v>2007036</v>
      </c>
      <c r="AS111" s="357">
        <v>95573</v>
      </c>
      <c r="AT111" s="357">
        <v>0</v>
      </c>
      <c r="AU111" s="357">
        <v>0</v>
      </c>
      <c r="AV111" s="357">
        <v>95573</v>
      </c>
      <c r="AW111" s="357">
        <v>554772</v>
      </c>
      <c r="AX111" s="357">
        <v>0</v>
      </c>
      <c r="AY111" s="357">
        <v>0</v>
      </c>
      <c r="AZ111" s="357">
        <v>554772</v>
      </c>
      <c r="BA111" s="357">
        <v>1452264</v>
      </c>
      <c r="BB111" s="357">
        <v>0</v>
      </c>
      <c r="BC111" s="357">
        <v>0</v>
      </c>
      <c r="BD111" s="357">
        <v>1452264</v>
      </c>
      <c r="BE111" s="357">
        <v>1122395</v>
      </c>
      <c r="BF111" s="357">
        <v>0</v>
      </c>
      <c r="BG111" s="357">
        <v>0</v>
      </c>
      <c r="BH111" s="357">
        <v>1122395</v>
      </c>
      <c r="BI111" s="357">
        <v>4996</v>
      </c>
      <c r="BJ111" s="357">
        <v>0</v>
      </c>
      <c r="BK111" s="357">
        <v>0</v>
      </c>
      <c r="BL111" s="357">
        <v>4996</v>
      </c>
      <c r="BM111" s="357">
        <v>3198</v>
      </c>
      <c r="BN111" s="357">
        <v>0</v>
      </c>
      <c r="BO111" s="357">
        <v>0</v>
      </c>
      <c r="BP111" s="357">
        <v>3198</v>
      </c>
      <c r="BQ111" s="357">
        <v>2582853</v>
      </c>
      <c r="BR111" s="357">
        <v>0</v>
      </c>
      <c r="BS111" s="357">
        <v>0</v>
      </c>
      <c r="BT111" s="357">
        <v>280098</v>
      </c>
      <c r="BU111" s="357">
        <v>0</v>
      </c>
      <c r="BV111" s="357">
        <v>0</v>
      </c>
      <c r="BW111" s="357">
        <v>2862951</v>
      </c>
      <c r="BX111" s="357">
        <v>0</v>
      </c>
      <c r="BY111" s="357">
        <v>0</v>
      </c>
      <c r="BZ111" s="357">
        <v>2862951</v>
      </c>
      <c r="CA111" s="357">
        <v>0</v>
      </c>
      <c r="CB111" s="357">
        <v>0</v>
      </c>
      <c r="CC111" s="357">
        <v>0</v>
      </c>
      <c r="CD111" s="357">
        <v>0</v>
      </c>
      <c r="CE111" s="357">
        <v>686735</v>
      </c>
      <c r="CF111" s="357">
        <v>0</v>
      </c>
      <c r="CG111" s="357">
        <v>0</v>
      </c>
      <c r="CH111" s="357">
        <v>686735</v>
      </c>
      <c r="CI111" s="357">
        <v>686735</v>
      </c>
      <c r="CJ111" s="357">
        <v>0</v>
      </c>
      <c r="CK111" s="357">
        <v>0</v>
      </c>
      <c r="CL111" s="357">
        <v>376403</v>
      </c>
      <c r="CM111" s="357">
        <v>0</v>
      </c>
      <c r="CN111" s="357">
        <v>0</v>
      </c>
      <c r="CO111" s="357">
        <v>1063138</v>
      </c>
      <c r="CP111" s="357">
        <v>0</v>
      </c>
      <c r="CQ111" s="357">
        <v>0</v>
      </c>
      <c r="CR111" s="357">
        <v>1063138</v>
      </c>
      <c r="CS111" s="357">
        <v>56558</v>
      </c>
      <c r="CT111" s="357">
        <v>0</v>
      </c>
      <c r="CU111" s="357">
        <v>0</v>
      </c>
      <c r="CV111" s="357">
        <v>56558</v>
      </c>
      <c r="CW111" s="357">
        <v>22480</v>
      </c>
      <c r="CX111" s="357">
        <v>0</v>
      </c>
      <c r="CY111" s="357">
        <v>0</v>
      </c>
      <c r="CZ111" s="357">
        <v>22480</v>
      </c>
      <c r="DA111" s="357">
        <v>751</v>
      </c>
      <c r="DB111" s="357">
        <v>0</v>
      </c>
      <c r="DC111" s="357">
        <v>0</v>
      </c>
      <c r="DD111" s="357">
        <v>751</v>
      </c>
      <c r="DE111" s="357">
        <v>3061</v>
      </c>
      <c r="DF111" s="357">
        <v>0</v>
      </c>
      <c r="DG111" s="357">
        <v>0</v>
      </c>
      <c r="DH111" s="357">
        <v>3061</v>
      </c>
      <c r="DI111" s="357">
        <v>4710</v>
      </c>
      <c r="DJ111" s="357">
        <v>0</v>
      </c>
      <c r="DK111" s="357">
        <v>0</v>
      </c>
      <c r="DL111" s="357">
        <v>4710</v>
      </c>
      <c r="DM111" s="357">
        <v>0</v>
      </c>
      <c r="DN111" s="357">
        <v>0</v>
      </c>
      <c r="DO111" s="357">
        <v>0</v>
      </c>
      <c r="DP111" s="357">
        <v>0</v>
      </c>
      <c r="DQ111" s="357">
        <v>87560</v>
      </c>
      <c r="DR111" s="357">
        <v>0</v>
      </c>
      <c r="DS111" s="357">
        <v>0</v>
      </c>
      <c r="DT111" s="357">
        <v>10664</v>
      </c>
      <c r="DU111" s="357">
        <v>0</v>
      </c>
      <c r="DV111" s="357">
        <v>0</v>
      </c>
      <c r="DW111" s="357">
        <v>98224</v>
      </c>
      <c r="DX111" s="357">
        <v>0</v>
      </c>
      <c r="DY111" s="357">
        <v>0</v>
      </c>
      <c r="DZ111" s="357">
        <v>98224</v>
      </c>
      <c r="EA111" s="357">
        <v>0</v>
      </c>
      <c r="EB111" s="357">
        <v>0</v>
      </c>
      <c r="EC111" s="357">
        <v>50000</v>
      </c>
      <c r="ED111" s="357">
        <v>0</v>
      </c>
      <c r="EE111" s="357">
        <v>0</v>
      </c>
      <c r="EF111" s="357">
        <v>50000</v>
      </c>
      <c r="EG111" s="357">
        <v>25810</v>
      </c>
      <c r="EH111" s="357">
        <v>0</v>
      </c>
      <c r="EI111" s="357">
        <v>0</v>
      </c>
      <c r="EJ111" s="357">
        <v>25810</v>
      </c>
      <c r="EK111" s="357">
        <v>494205</v>
      </c>
      <c r="EL111" s="357">
        <v>0</v>
      </c>
      <c r="EM111" s="357">
        <v>0</v>
      </c>
      <c r="EN111" s="357">
        <v>494205</v>
      </c>
      <c r="EO111" s="357">
        <v>570015</v>
      </c>
      <c r="EP111" s="357">
        <v>0</v>
      </c>
      <c r="EQ111" s="357">
        <v>0</v>
      </c>
      <c r="ER111" s="357">
        <v>0</v>
      </c>
      <c r="ES111" s="357">
        <v>0</v>
      </c>
      <c r="ET111" s="357">
        <v>0</v>
      </c>
      <c r="EU111" s="357">
        <v>570015</v>
      </c>
      <c r="EV111" s="357">
        <v>0</v>
      </c>
      <c r="EW111" s="357">
        <v>0</v>
      </c>
      <c r="EX111" s="357">
        <v>570015</v>
      </c>
      <c r="EY111" s="357">
        <v>21413844</v>
      </c>
      <c r="EZ111" s="357">
        <v>0</v>
      </c>
      <c r="FA111" s="357">
        <v>1879290</v>
      </c>
      <c r="FB111" s="357">
        <v>23293134</v>
      </c>
      <c r="FC111" s="277">
        <v>0</v>
      </c>
      <c r="FD111" s="205"/>
    </row>
    <row r="112" spans="1:160" ht="12.75">
      <c r="A112" s="169">
        <v>105</v>
      </c>
      <c r="B112" s="172" t="s">
        <v>117</v>
      </c>
      <c r="C112" s="258" t="s">
        <v>118</v>
      </c>
      <c r="D112" s="235">
        <v>41648</v>
      </c>
      <c r="E112" s="357">
        <v>211270058</v>
      </c>
      <c r="F112" s="357">
        <v>3874376</v>
      </c>
      <c r="G112" s="357">
        <v>0</v>
      </c>
      <c r="H112" s="357">
        <v>215144434</v>
      </c>
      <c r="I112" s="357">
        <v>99508197</v>
      </c>
      <c r="J112" s="357">
        <v>1824831</v>
      </c>
      <c r="K112" s="357">
        <v>0</v>
      </c>
      <c r="L112" s="357">
        <v>1394920</v>
      </c>
      <c r="M112" s="357">
        <v>0</v>
      </c>
      <c r="N112" s="357">
        <v>0</v>
      </c>
      <c r="O112" s="357">
        <v>100903117</v>
      </c>
      <c r="P112" s="357">
        <v>1824831</v>
      </c>
      <c r="Q112" s="357">
        <v>0</v>
      </c>
      <c r="R112" s="357">
        <v>102727948</v>
      </c>
      <c r="S112" s="357">
        <v>116907</v>
      </c>
      <c r="T112" s="357">
        <v>0</v>
      </c>
      <c r="U112" s="357">
        <v>0</v>
      </c>
      <c r="V112" s="357">
        <v>116907</v>
      </c>
      <c r="W112" s="357">
        <v>29019</v>
      </c>
      <c r="X112" s="357">
        <v>31954</v>
      </c>
      <c r="Y112" s="357">
        <v>0</v>
      </c>
      <c r="Z112" s="357">
        <v>60973</v>
      </c>
      <c r="AA112" s="357">
        <v>87888</v>
      </c>
      <c r="AB112" s="357">
        <v>-31954</v>
      </c>
      <c r="AC112" s="357">
        <v>0</v>
      </c>
      <c r="AD112" s="357">
        <v>0</v>
      </c>
      <c r="AE112" s="357">
        <v>0</v>
      </c>
      <c r="AF112" s="357">
        <v>0</v>
      </c>
      <c r="AG112" s="357">
        <v>87888</v>
      </c>
      <c r="AH112" s="357">
        <v>-31954</v>
      </c>
      <c r="AI112" s="357">
        <v>0</v>
      </c>
      <c r="AJ112" s="357">
        <v>55934</v>
      </c>
      <c r="AK112" s="357">
        <v>87888</v>
      </c>
      <c r="AL112" s="357">
        <v>-31954</v>
      </c>
      <c r="AM112" s="357">
        <v>0</v>
      </c>
      <c r="AN112" s="357">
        <v>55934</v>
      </c>
      <c r="AO112" s="357">
        <v>3593805</v>
      </c>
      <c r="AP112" s="357">
        <v>39814</v>
      </c>
      <c r="AQ112" s="357">
        <v>0</v>
      </c>
      <c r="AR112" s="357">
        <v>3633619</v>
      </c>
      <c r="AS112" s="357">
        <v>90840</v>
      </c>
      <c r="AT112" s="357">
        <v>0</v>
      </c>
      <c r="AU112" s="357">
        <v>0</v>
      </c>
      <c r="AV112" s="357">
        <v>90840</v>
      </c>
      <c r="AW112" s="357">
        <v>2048304</v>
      </c>
      <c r="AX112" s="357">
        <v>39169</v>
      </c>
      <c r="AY112" s="357">
        <v>0</v>
      </c>
      <c r="AZ112" s="357">
        <v>2087473</v>
      </c>
      <c r="BA112" s="357">
        <v>1545501</v>
      </c>
      <c r="BB112" s="357">
        <v>645</v>
      </c>
      <c r="BC112" s="357">
        <v>0</v>
      </c>
      <c r="BD112" s="357">
        <v>1546146</v>
      </c>
      <c r="BE112" s="357">
        <v>2930499</v>
      </c>
      <c r="BF112" s="357">
        <v>651895</v>
      </c>
      <c r="BG112" s="357">
        <v>0</v>
      </c>
      <c r="BH112" s="357">
        <v>3582394</v>
      </c>
      <c r="BI112" s="357">
        <v>91233</v>
      </c>
      <c r="BJ112" s="357">
        <v>0</v>
      </c>
      <c r="BK112" s="357">
        <v>0</v>
      </c>
      <c r="BL112" s="357">
        <v>91233</v>
      </c>
      <c r="BM112" s="357">
        <v>11249</v>
      </c>
      <c r="BN112" s="357">
        <v>0</v>
      </c>
      <c r="BO112" s="357">
        <v>0</v>
      </c>
      <c r="BP112" s="357">
        <v>11249</v>
      </c>
      <c r="BQ112" s="357">
        <v>4578482</v>
      </c>
      <c r="BR112" s="357">
        <v>652540</v>
      </c>
      <c r="BS112" s="357">
        <v>0</v>
      </c>
      <c r="BT112" s="357">
        <v>0</v>
      </c>
      <c r="BU112" s="357">
        <v>0</v>
      </c>
      <c r="BV112" s="357">
        <v>0</v>
      </c>
      <c r="BW112" s="357">
        <v>4578482</v>
      </c>
      <c r="BX112" s="357">
        <v>652540</v>
      </c>
      <c r="BY112" s="357">
        <v>0</v>
      </c>
      <c r="BZ112" s="357">
        <v>5231022</v>
      </c>
      <c r="CA112" s="357">
        <v>50000</v>
      </c>
      <c r="CB112" s="357">
        <v>0</v>
      </c>
      <c r="CC112" s="357">
        <v>0</v>
      </c>
      <c r="CD112" s="357">
        <v>50000</v>
      </c>
      <c r="CE112" s="357">
        <v>3963376</v>
      </c>
      <c r="CF112" s="357">
        <v>2350</v>
      </c>
      <c r="CG112" s="357">
        <v>0</v>
      </c>
      <c r="CH112" s="357">
        <v>3965726</v>
      </c>
      <c r="CI112" s="357">
        <v>4013376</v>
      </c>
      <c r="CJ112" s="357">
        <v>2350</v>
      </c>
      <c r="CK112" s="357">
        <v>0</v>
      </c>
      <c r="CL112" s="357">
        <v>0</v>
      </c>
      <c r="CM112" s="357">
        <v>0</v>
      </c>
      <c r="CN112" s="357">
        <v>0</v>
      </c>
      <c r="CO112" s="357">
        <v>4013376</v>
      </c>
      <c r="CP112" s="357">
        <v>2350</v>
      </c>
      <c r="CQ112" s="357">
        <v>0</v>
      </c>
      <c r="CR112" s="357">
        <v>4015726</v>
      </c>
      <c r="CS112" s="357">
        <v>89265</v>
      </c>
      <c r="CT112" s="357">
        <v>636</v>
      </c>
      <c r="CU112" s="357">
        <v>0</v>
      </c>
      <c r="CV112" s="357">
        <v>89901</v>
      </c>
      <c r="CW112" s="357">
        <v>40155</v>
      </c>
      <c r="CX112" s="357">
        <v>0</v>
      </c>
      <c r="CY112" s="357">
        <v>0</v>
      </c>
      <c r="CZ112" s="357">
        <v>40155</v>
      </c>
      <c r="DA112" s="357">
        <v>0</v>
      </c>
      <c r="DB112" s="357">
        <v>0</v>
      </c>
      <c r="DC112" s="357">
        <v>0</v>
      </c>
      <c r="DD112" s="357">
        <v>0</v>
      </c>
      <c r="DE112" s="357">
        <v>0</v>
      </c>
      <c r="DF112" s="357">
        <v>0</v>
      </c>
      <c r="DG112" s="357">
        <v>0</v>
      </c>
      <c r="DH112" s="357">
        <v>0</v>
      </c>
      <c r="DI112" s="357">
        <v>0</v>
      </c>
      <c r="DJ112" s="357">
        <v>0</v>
      </c>
      <c r="DK112" s="357">
        <v>0</v>
      </c>
      <c r="DL112" s="357">
        <v>0</v>
      </c>
      <c r="DM112" s="357">
        <v>0</v>
      </c>
      <c r="DN112" s="357">
        <v>0</v>
      </c>
      <c r="DO112" s="357">
        <v>0</v>
      </c>
      <c r="DP112" s="357">
        <v>0</v>
      </c>
      <c r="DQ112" s="357">
        <v>129420</v>
      </c>
      <c r="DR112" s="357">
        <v>636</v>
      </c>
      <c r="DS112" s="357">
        <v>0</v>
      </c>
      <c r="DT112" s="357">
        <v>0</v>
      </c>
      <c r="DU112" s="357">
        <v>0</v>
      </c>
      <c r="DV112" s="357">
        <v>0</v>
      </c>
      <c r="DW112" s="357">
        <v>129420</v>
      </c>
      <c r="DX112" s="357">
        <v>636</v>
      </c>
      <c r="DY112" s="357">
        <v>0</v>
      </c>
      <c r="DZ112" s="357">
        <v>130056</v>
      </c>
      <c r="EA112" s="357">
        <v>0</v>
      </c>
      <c r="EB112" s="357">
        <v>0</v>
      </c>
      <c r="EC112" s="357">
        <v>312000</v>
      </c>
      <c r="ED112" s="357">
        <v>0</v>
      </c>
      <c r="EE112" s="357">
        <v>0</v>
      </c>
      <c r="EF112" s="357">
        <v>312000</v>
      </c>
      <c r="EG112" s="357">
        <v>83352</v>
      </c>
      <c r="EH112" s="357">
        <v>0</v>
      </c>
      <c r="EI112" s="357">
        <v>0</v>
      </c>
      <c r="EJ112" s="357">
        <v>83352</v>
      </c>
      <c r="EK112" s="357">
        <v>798000</v>
      </c>
      <c r="EL112" s="357">
        <v>2000</v>
      </c>
      <c r="EM112" s="357">
        <v>0</v>
      </c>
      <c r="EN112" s="357">
        <v>800000</v>
      </c>
      <c r="EO112" s="357">
        <v>1193352</v>
      </c>
      <c r="EP112" s="357">
        <v>2000</v>
      </c>
      <c r="EQ112" s="357">
        <v>0</v>
      </c>
      <c r="ER112" s="357">
        <v>0</v>
      </c>
      <c r="ES112" s="357">
        <v>0</v>
      </c>
      <c r="ET112" s="357">
        <v>0</v>
      </c>
      <c r="EU112" s="357">
        <v>1193352</v>
      </c>
      <c r="EV112" s="357">
        <v>2000</v>
      </c>
      <c r="EW112" s="357">
        <v>0</v>
      </c>
      <c r="EX112" s="357">
        <v>1195352</v>
      </c>
      <c r="EY112" s="357">
        <v>90900599</v>
      </c>
      <c r="EZ112" s="357">
        <v>1199259</v>
      </c>
      <c r="FA112" s="357">
        <v>0</v>
      </c>
      <c r="FB112" s="357">
        <v>92099858</v>
      </c>
      <c r="FC112" s="277">
        <v>0</v>
      </c>
      <c r="FD112" s="205"/>
    </row>
    <row r="113" spans="1:160" ht="12.75">
      <c r="A113" s="169">
        <v>106</v>
      </c>
      <c r="B113" s="172" t="s">
        <v>119</v>
      </c>
      <c r="C113" s="258" t="s">
        <v>120</v>
      </c>
      <c r="D113" s="235">
        <v>41654</v>
      </c>
      <c r="E113" s="357">
        <v>52564113</v>
      </c>
      <c r="F113" s="357">
        <v>0</v>
      </c>
      <c r="G113" s="357">
        <v>0</v>
      </c>
      <c r="H113" s="357">
        <v>52564113</v>
      </c>
      <c r="I113" s="357">
        <v>24757697</v>
      </c>
      <c r="J113" s="357">
        <v>0</v>
      </c>
      <c r="K113" s="357">
        <v>0</v>
      </c>
      <c r="L113" s="357">
        <v>0</v>
      </c>
      <c r="M113" s="357">
        <v>0</v>
      </c>
      <c r="N113" s="357">
        <v>0</v>
      </c>
      <c r="O113" s="357">
        <v>24757697</v>
      </c>
      <c r="P113" s="357">
        <v>0</v>
      </c>
      <c r="Q113" s="357">
        <v>0</v>
      </c>
      <c r="R113" s="357">
        <v>24757697</v>
      </c>
      <c r="S113" s="357">
        <v>16628.75</v>
      </c>
      <c r="T113" s="357">
        <v>0</v>
      </c>
      <c r="U113" s="357">
        <v>0</v>
      </c>
      <c r="V113" s="357">
        <v>16628.75</v>
      </c>
      <c r="W113" s="357">
        <v>26964.28</v>
      </c>
      <c r="X113" s="357">
        <v>0</v>
      </c>
      <c r="Y113" s="357">
        <v>0</v>
      </c>
      <c r="Z113" s="357">
        <v>26964.28</v>
      </c>
      <c r="AA113" s="357">
        <v>-10335.53</v>
      </c>
      <c r="AB113" s="357">
        <v>0</v>
      </c>
      <c r="AC113" s="357">
        <v>0</v>
      </c>
      <c r="AD113" s="357">
        <v>0</v>
      </c>
      <c r="AE113" s="357">
        <v>0</v>
      </c>
      <c r="AF113" s="357">
        <v>0</v>
      </c>
      <c r="AG113" s="357">
        <v>-10335.53</v>
      </c>
      <c r="AH113" s="357">
        <v>0</v>
      </c>
      <c r="AI113" s="357">
        <v>0</v>
      </c>
      <c r="AJ113" s="357">
        <v>-10335.53</v>
      </c>
      <c r="AK113" s="357">
        <v>-10335.53</v>
      </c>
      <c r="AL113" s="357">
        <v>0</v>
      </c>
      <c r="AM113" s="357">
        <v>0</v>
      </c>
      <c r="AN113" s="357">
        <v>-10335.53</v>
      </c>
      <c r="AO113" s="357">
        <v>1566881.94</v>
      </c>
      <c r="AP113" s="357">
        <v>0</v>
      </c>
      <c r="AQ113" s="357">
        <v>0</v>
      </c>
      <c r="AR113" s="357">
        <v>1566881.94</v>
      </c>
      <c r="AS113" s="357">
        <v>0</v>
      </c>
      <c r="AT113" s="357">
        <v>0</v>
      </c>
      <c r="AU113" s="357">
        <v>0</v>
      </c>
      <c r="AV113" s="357">
        <v>0</v>
      </c>
      <c r="AW113" s="357">
        <v>472097.32</v>
      </c>
      <c r="AX113" s="357">
        <v>0</v>
      </c>
      <c r="AY113" s="357">
        <v>0</v>
      </c>
      <c r="AZ113" s="357">
        <v>472097.32</v>
      </c>
      <c r="BA113" s="357">
        <v>1094784.62</v>
      </c>
      <c r="BB113" s="357">
        <v>0</v>
      </c>
      <c r="BC113" s="357">
        <v>0</v>
      </c>
      <c r="BD113" s="357">
        <v>1094784.62</v>
      </c>
      <c r="BE113" s="357">
        <v>1081106.06</v>
      </c>
      <c r="BF113" s="357">
        <v>0</v>
      </c>
      <c r="BG113" s="357">
        <v>0</v>
      </c>
      <c r="BH113" s="357">
        <v>1081106.06</v>
      </c>
      <c r="BI113" s="357">
        <v>48296.4</v>
      </c>
      <c r="BJ113" s="357">
        <v>0</v>
      </c>
      <c r="BK113" s="357">
        <v>0</v>
      </c>
      <c r="BL113" s="357">
        <v>48296.4</v>
      </c>
      <c r="BM113" s="357">
        <v>1307.43</v>
      </c>
      <c r="BN113" s="357">
        <v>0</v>
      </c>
      <c r="BO113" s="357">
        <v>0</v>
      </c>
      <c r="BP113" s="357">
        <v>1307.43</v>
      </c>
      <c r="BQ113" s="357">
        <v>2225494.51</v>
      </c>
      <c r="BR113" s="357">
        <v>0</v>
      </c>
      <c r="BS113" s="357">
        <v>0</v>
      </c>
      <c r="BT113" s="357">
        <v>0</v>
      </c>
      <c r="BU113" s="357">
        <v>0</v>
      </c>
      <c r="BV113" s="357">
        <v>0</v>
      </c>
      <c r="BW113" s="357">
        <v>2225494.51</v>
      </c>
      <c r="BX113" s="357">
        <v>0</v>
      </c>
      <c r="BY113" s="357">
        <v>0</v>
      </c>
      <c r="BZ113" s="357">
        <v>2225494.51</v>
      </c>
      <c r="CA113" s="357">
        <v>0</v>
      </c>
      <c r="CB113" s="357">
        <v>0</v>
      </c>
      <c r="CC113" s="357">
        <v>0</v>
      </c>
      <c r="CD113" s="357">
        <v>0</v>
      </c>
      <c r="CE113" s="357">
        <v>346307.75</v>
      </c>
      <c r="CF113" s="357">
        <v>0</v>
      </c>
      <c r="CG113" s="357">
        <v>0</v>
      </c>
      <c r="CH113" s="357">
        <v>346307.75</v>
      </c>
      <c r="CI113" s="357">
        <v>346307.75</v>
      </c>
      <c r="CJ113" s="357">
        <v>0</v>
      </c>
      <c r="CK113" s="357">
        <v>0</v>
      </c>
      <c r="CL113" s="357">
        <v>0</v>
      </c>
      <c r="CM113" s="357">
        <v>0</v>
      </c>
      <c r="CN113" s="357">
        <v>0</v>
      </c>
      <c r="CO113" s="357">
        <v>346307.75</v>
      </c>
      <c r="CP113" s="357">
        <v>0</v>
      </c>
      <c r="CQ113" s="357">
        <v>0</v>
      </c>
      <c r="CR113" s="357">
        <v>346307.75</v>
      </c>
      <c r="CS113" s="357">
        <v>83256.83</v>
      </c>
      <c r="CT113" s="357">
        <v>0</v>
      </c>
      <c r="CU113" s="357">
        <v>0</v>
      </c>
      <c r="CV113" s="357">
        <v>83256.83</v>
      </c>
      <c r="CW113" s="357">
        <v>45243.67</v>
      </c>
      <c r="CX113" s="357">
        <v>0</v>
      </c>
      <c r="CY113" s="357">
        <v>0</v>
      </c>
      <c r="CZ113" s="357">
        <v>45243.67</v>
      </c>
      <c r="DA113" s="357">
        <v>5808.1</v>
      </c>
      <c r="DB113" s="357">
        <v>0</v>
      </c>
      <c r="DC113" s="357">
        <v>0</v>
      </c>
      <c r="DD113" s="357">
        <v>5808.1</v>
      </c>
      <c r="DE113" s="357">
        <v>6105.75</v>
      </c>
      <c r="DF113" s="357">
        <v>0</v>
      </c>
      <c r="DG113" s="357">
        <v>0</v>
      </c>
      <c r="DH113" s="357">
        <v>6105.75</v>
      </c>
      <c r="DI113" s="357">
        <v>0</v>
      </c>
      <c r="DJ113" s="357">
        <v>0</v>
      </c>
      <c r="DK113" s="357">
        <v>0</v>
      </c>
      <c r="DL113" s="357">
        <v>0</v>
      </c>
      <c r="DM113" s="357">
        <v>0</v>
      </c>
      <c r="DN113" s="357">
        <v>0</v>
      </c>
      <c r="DO113" s="357">
        <v>0</v>
      </c>
      <c r="DP113" s="357">
        <v>0</v>
      </c>
      <c r="DQ113" s="357">
        <v>140414.35</v>
      </c>
      <c r="DR113" s="357">
        <v>0</v>
      </c>
      <c r="DS113" s="357">
        <v>0</v>
      </c>
      <c r="DT113" s="357">
        <v>0</v>
      </c>
      <c r="DU113" s="357">
        <v>0</v>
      </c>
      <c r="DV113" s="357">
        <v>0</v>
      </c>
      <c r="DW113" s="357">
        <v>140414.35</v>
      </c>
      <c r="DX113" s="357">
        <v>0</v>
      </c>
      <c r="DY113" s="357">
        <v>0</v>
      </c>
      <c r="DZ113" s="357">
        <v>140414.35</v>
      </c>
      <c r="EA113" s="357">
        <v>0</v>
      </c>
      <c r="EB113" s="357">
        <v>0</v>
      </c>
      <c r="EC113" s="357">
        <v>0</v>
      </c>
      <c r="ED113" s="357">
        <v>0</v>
      </c>
      <c r="EE113" s="357">
        <v>0</v>
      </c>
      <c r="EF113" s="357">
        <v>0</v>
      </c>
      <c r="EG113" s="357">
        <v>0</v>
      </c>
      <c r="EH113" s="357">
        <v>0</v>
      </c>
      <c r="EI113" s="357">
        <v>0</v>
      </c>
      <c r="EJ113" s="357">
        <v>0</v>
      </c>
      <c r="EK113" s="357">
        <v>372515</v>
      </c>
      <c r="EL113" s="357">
        <v>0</v>
      </c>
      <c r="EM113" s="357">
        <v>0</v>
      </c>
      <c r="EN113" s="357">
        <v>372515</v>
      </c>
      <c r="EO113" s="357">
        <v>372515</v>
      </c>
      <c r="EP113" s="357">
        <v>0</v>
      </c>
      <c r="EQ113" s="357">
        <v>0</v>
      </c>
      <c r="ER113" s="357">
        <v>0</v>
      </c>
      <c r="ES113" s="357">
        <v>0</v>
      </c>
      <c r="ET113" s="357">
        <v>0</v>
      </c>
      <c r="EU113" s="357">
        <v>372515</v>
      </c>
      <c r="EV113" s="357">
        <v>0</v>
      </c>
      <c r="EW113" s="357">
        <v>0</v>
      </c>
      <c r="EX113" s="357">
        <v>372515</v>
      </c>
      <c r="EY113" s="357">
        <v>21683300.9</v>
      </c>
      <c r="EZ113" s="357">
        <v>0</v>
      </c>
      <c r="FA113" s="357">
        <v>0</v>
      </c>
      <c r="FB113" s="357">
        <v>21683300.9</v>
      </c>
      <c r="FC113" s="277">
        <v>0</v>
      </c>
      <c r="FD113" s="205"/>
    </row>
    <row r="114" spans="1:160" ht="12.75">
      <c r="A114" s="169">
        <v>107</v>
      </c>
      <c r="B114" s="172" t="s">
        <v>121</v>
      </c>
      <c r="C114" s="258" t="s">
        <v>122</v>
      </c>
      <c r="D114" s="235">
        <v>220114</v>
      </c>
      <c r="E114" s="357">
        <v>124647177</v>
      </c>
      <c r="F114" s="357">
        <v>0</v>
      </c>
      <c r="G114" s="357">
        <v>0</v>
      </c>
      <c r="H114" s="357">
        <v>124647177</v>
      </c>
      <c r="I114" s="357">
        <v>58708820</v>
      </c>
      <c r="J114" s="357">
        <v>0</v>
      </c>
      <c r="K114" s="357">
        <v>0</v>
      </c>
      <c r="L114" s="357">
        <v>0</v>
      </c>
      <c r="M114" s="357">
        <v>0</v>
      </c>
      <c r="N114" s="357">
        <v>0</v>
      </c>
      <c r="O114" s="357">
        <v>58708820</v>
      </c>
      <c r="P114" s="357">
        <v>0</v>
      </c>
      <c r="Q114" s="357">
        <v>0</v>
      </c>
      <c r="R114" s="357">
        <v>58708820</v>
      </c>
      <c r="S114" s="357">
        <v>33960</v>
      </c>
      <c r="T114" s="357">
        <v>0</v>
      </c>
      <c r="U114" s="357">
        <v>0</v>
      </c>
      <c r="V114" s="357">
        <v>33960</v>
      </c>
      <c r="W114" s="357">
        <v>5333</v>
      </c>
      <c r="X114" s="357">
        <v>0</v>
      </c>
      <c r="Y114" s="357">
        <v>0</v>
      </c>
      <c r="Z114" s="357">
        <v>5333</v>
      </c>
      <c r="AA114" s="357">
        <v>28627</v>
      </c>
      <c r="AB114" s="357">
        <v>0</v>
      </c>
      <c r="AC114" s="357">
        <v>0</v>
      </c>
      <c r="AD114" s="357">
        <v>0</v>
      </c>
      <c r="AE114" s="357">
        <v>0</v>
      </c>
      <c r="AF114" s="357">
        <v>0</v>
      </c>
      <c r="AG114" s="357">
        <v>28627</v>
      </c>
      <c r="AH114" s="357">
        <v>0</v>
      </c>
      <c r="AI114" s="357">
        <v>0</v>
      </c>
      <c r="AJ114" s="357">
        <v>28627</v>
      </c>
      <c r="AK114" s="357">
        <v>28627</v>
      </c>
      <c r="AL114" s="357">
        <v>0</v>
      </c>
      <c r="AM114" s="357">
        <v>0</v>
      </c>
      <c r="AN114" s="357">
        <v>28627</v>
      </c>
      <c r="AO114" s="357">
        <v>1747686</v>
      </c>
      <c r="AP114" s="357">
        <v>0</v>
      </c>
      <c r="AQ114" s="357">
        <v>0</v>
      </c>
      <c r="AR114" s="357">
        <v>1747686</v>
      </c>
      <c r="AS114" s="357">
        <v>0</v>
      </c>
      <c r="AT114" s="357">
        <v>0</v>
      </c>
      <c r="AU114" s="357">
        <v>0</v>
      </c>
      <c r="AV114" s="357">
        <v>0</v>
      </c>
      <c r="AW114" s="357">
        <v>1229906</v>
      </c>
      <c r="AX114" s="357">
        <v>0</v>
      </c>
      <c r="AY114" s="357">
        <v>0</v>
      </c>
      <c r="AZ114" s="357">
        <v>1229906</v>
      </c>
      <c r="BA114" s="357">
        <v>517780</v>
      </c>
      <c r="BB114" s="357">
        <v>0</v>
      </c>
      <c r="BC114" s="357">
        <v>0</v>
      </c>
      <c r="BD114" s="357">
        <v>517780</v>
      </c>
      <c r="BE114" s="357">
        <v>2894801</v>
      </c>
      <c r="BF114" s="357">
        <v>0</v>
      </c>
      <c r="BG114" s="357">
        <v>0</v>
      </c>
      <c r="BH114" s="357">
        <v>2894801</v>
      </c>
      <c r="BI114" s="357">
        <v>38824</v>
      </c>
      <c r="BJ114" s="357">
        <v>0</v>
      </c>
      <c r="BK114" s="357">
        <v>0</v>
      </c>
      <c r="BL114" s="357">
        <v>38824</v>
      </c>
      <c r="BM114" s="357">
        <v>0</v>
      </c>
      <c r="BN114" s="357">
        <v>0</v>
      </c>
      <c r="BO114" s="357">
        <v>0</v>
      </c>
      <c r="BP114" s="357">
        <v>0</v>
      </c>
      <c r="BQ114" s="357">
        <v>3451405</v>
      </c>
      <c r="BR114" s="357">
        <v>0</v>
      </c>
      <c r="BS114" s="357">
        <v>0</v>
      </c>
      <c r="BT114" s="357">
        <v>0</v>
      </c>
      <c r="BU114" s="357">
        <v>0</v>
      </c>
      <c r="BV114" s="357">
        <v>0</v>
      </c>
      <c r="BW114" s="357">
        <v>3451405</v>
      </c>
      <c r="BX114" s="357">
        <v>0</v>
      </c>
      <c r="BY114" s="357">
        <v>0</v>
      </c>
      <c r="BZ114" s="357">
        <v>3451405</v>
      </c>
      <c r="CA114" s="357">
        <v>0</v>
      </c>
      <c r="CB114" s="357">
        <v>0</v>
      </c>
      <c r="CC114" s="357">
        <v>0</v>
      </c>
      <c r="CD114" s="357">
        <v>0</v>
      </c>
      <c r="CE114" s="357">
        <v>1511718</v>
      </c>
      <c r="CF114" s="357">
        <v>0</v>
      </c>
      <c r="CG114" s="357">
        <v>0</v>
      </c>
      <c r="CH114" s="357">
        <v>1511718</v>
      </c>
      <c r="CI114" s="357">
        <v>1511718</v>
      </c>
      <c r="CJ114" s="357">
        <v>0</v>
      </c>
      <c r="CK114" s="357">
        <v>0</v>
      </c>
      <c r="CL114" s="357">
        <v>0</v>
      </c>
      <c r="CM114" s="357">
        <v>0</v>
      </c>
      <c r="CN114" s="357">
        <v>0</v>
      </c>
      <c r="CO114" s="357">
        <v>1511718</v>
      </c>
      <c r="CP114" s="357">
        <v>0</v>
      </c>
      <c r="CQ114" s="357">
        <v>0</v>
      </c>
      <c r="CR114" s="357">
        <v>1511718</v>
      </c>
      <c r="CS114" s="357">
        <v>2338</v>
      </c>
      <c r="CT114" s="357">
        <v>0</v>
      </c>
      <c r="CU114" s="357">
        <v>0</v>
      </c>
      <c r="CV114" s="357">
        <v>2338</v>
      </c>
      <c r="CW114" s="357">
        <v>56137</v>
      </c>
      <c r="CX114" s="357">
        <v>0</v>
      </c>
      <c r="CY114" s="357">
        <v>0</v>
      </c>
      <c r="CZ114" s="357">
        <v>56137</v>
      </c>
      <c r="DA114" s="357">
        <v>0</v>
      </c>
      <c r="DB114" s="357">
        <v>0</v>
      </c>
      <c r="DC114" s="357">
        <v>0</v>
      </c>
      <c r="DD114" s="357">
        <v>0</v>
      </c>
      <c r="DE114" s="357">
        <v>0</v>
      </c>
      <c r="DF114" s="357">
        <v>0</v>
      </c>
      <c r="DG114" s="357">
        <v>0</v>
      </c>
      <c r="DH114" s="357">
        <v>0</v>
      </c>
      <c r="DI114" s="357">
        <v>0</v>
      </c>
      <c r="DJ114" s="357">
        <v>0</v>
      </c>
      <c r="DK114" s="357">
        <v>0</v>
      </c>
      <c r="DL114" s="357">
        <v>0</v>
      </c>
      <c r="DM114" s="357">
        <v>0</v>
      </c>
      <c r="DN114" s="357">
        <v>0</v>
      </c>
      <c r="DO114" s="357">
        <v>0</v>
      </c>
      <c r="DP114" s="357">
        <v>0</v>
      </c>
      <c r="DQ114" s="357">
        <v>58475</v>
      </c>
      <c r="DR114" s="357">
        <v>0</v>
      </c>
      <c r="DS114" s="357">
        <v>0</v>
      </c>
      <c r="DT114" s="357">
        <v>0</v>
      </c>
      <c r="DU114" s="357">
        <v>0</v>
      </c>
      <c r="DV114" s="357">
        <v>0</v>
      </c>
      <c r="DW114" s="357">
        <v>58475</v>
      </c>
      <c r="DX114" s="357">
        <v>0</v>
      </c>
      <c r="DY114" s="357">
        <v>0</v>
      </c>
      <c r="DZ114" s="357">
        <v>58475</v>
      </c>
      <c r="EA114" s="357">
        <v>0</v>
      </c>
      <c r="EB114" s="357">
        <v>0</v>
      </c>
      <c r="EC114" s="357">
        <v>0</v>
      </c>
      <c r="ED114" s="357">
        <v>0</v>
      </c>
      <c r="EE114" s="357">
        <v>0</v>
      </c>
      <c r="EF114" s="357">
        <v>0</v>
      </c>
      <c r="EG114" s="357">
        <v>156136</v>
      </c>
      <c r="EH114" s="357">
        <v>0</v>
      </c>
      <c r="EI114" s="357">
        <v>0</v>
      </c>
      <c r="EJ114" s="357">
        <v>156136</v>
      </c>
      <c r="EK114" s="357">
        <v>515893</v>
      </c>
      <c r="EL114" s="357">
        <v>0</v>
      </c>
      <c r="EM114" s="357">
        <v>0</v>
      </c>
      <c r="EN114" s="357">
        <v>515893</v>
      </c>
      <c r="EO114" s="357">
        <v>672029</v>
      </c>
      <c r="EP114" s="357">
        <v>0</v>
      </c>
      <c r="EQ114" s="357">
        <v>0</v>
      </c>
      <c r="ER114" s="357">
        <v>0</v>
      </c>
      <c r="ES114" s="357">
        <v>0</v>
      </c>
      <c r="ET114" s="357">
        <v>0</v>
      </c>
      <c r="EU114" s="357">
        <v>672029</v>
      </c>
      <c r="EV114" s="357">
        <v>0</v>
      </c>
      <c r="EW114" s="357">
        <v>0</v>
      </c>
      <c r="EX114" s="357">
        <v>672029</v>
      </c>
      <c r="EY114" s="357">
        <v>52986566</v>
      </c>
      <c r="EZ114" s="357">
        <v>0</v>
      </c>
      <c r="FA114" s="357">
        <v>0</v>
      </c>
      <c r="FB114" s="357">
        <v>52986566</v>
      </c>
      <c r="FC114" s="277">
        <v>0</v>
      </c>
      <c r="FD114" s="205"/>
    </row>
    <row r="115" spans="1:160" ht="12.75">
      <c r="A115" s="169">
        <v>108</v>
      </c>
      <c r="B115" s="172" t="s">
        <v>123</v>
      </c>
      <c r="C115" s="258" t="s">
        <v>124</v>
      </c>
      <c r="D115" s="235">
        <v>41639</v>
      </c>
      <c r="E115" s="357">
        <v>39305694</v>
      </c>
      <c r="F115" s="357">
        <v>0</v>
      </c>
      <c r="G115" s="357">
        <v>1035750</v>
      </c>
      <c r="H115" s="357">
        <v>40341444</v>
      </c>
      <c r="I115" s="357">
        <v>18512982</v>
      </c>
      <c r="J115" s="357">
        <v>0</v>
      </c>
      <c r="K115" s="357">
        <v>487838</v>
      </c>
      <c r="L115" s="357">
        <v>-94200</v>
      </c>
      <c r="M115" s="357">
        <v>0</v>
      </c>
      <c r="N115" s="357">
        <v>-50000</v>
      </c>
      <c r="O115" s="357">
        <v>18418782</v>
      </c>
      <c r="P115" s="357">
        <v>0</v>
      </c>
      <c r="Q115" s="357">
        <v>437838</v>
      </c>
      <c r="R115" s="357">
        <v>18856620</v>
      </c>
      <c r="S115" s="357">
        <v>24539.72</v>
      </c>
      <c r="T115" s="357">
        <v>0</v>
      </c>
      <c r="U115" s="357">
        <v>2357.24</v>
      </c>
      <c r="V115" s="357">
        <v>26896.96</v>
      </c>
      <c r="W115" s="357">
        <v>0</v>
      </c>
      <c r="X115" s="357">
        <v>0</v>
      </c>
      <c r="Y115" s="357">
        <v>0</v>
      </c>
      <c r="Z115" s="357">
        <v>0</v>
      </c>
      <c r="AA115" s="357">
        <v>24539.72</v>
      </c>
      <c r="AB115" s="357">
        <v>0</v>
      </c>
      <c r="AC115" s="357">
        <v>2357.24</v>
      </c>
      <c r="AD115" s="357">
        <v>0</v>
      </c>
      <c r="AE115" s="357">
        <v>0</v>
      </c>
      <c r="AF115" s="357">
        <v>0</v>
      </c>
      <c r="AG115" s="357">
        <v>24539.72</v>
      </c>
      <c r="AH115" s="357">
        <v>0</v>
      </c>
      <c r="AI115" s="357">
        <v>2357.24</v>
      </c>
      <c r="AJ115" s="357">
        <v>26896.96</v>
      </c>
      <c r="AK115" s="357">
        <v>24539.72</v>
      </c>
      <c r="AL115" s="357">
        <v>0</v>
      </c>
      <c r="AM115" s="357">
        <v>2357.24</v>
      </c>
      <c r="AN115" s="357">
        <v>26896.96</v>
      </c>
      <c r="AO115" s="357">
        <v>1270900.98</v>
      </c>
      <c r="AP115" s="357">
        <v>0</v>
      </c>
      <c r="AQ115" s="357">
        <v>26458.53</v>
      </c>
      <c r="AR115" s="357">
        <v>1297359.51</v>
      </c>
      <c r="AS115" s="357">
        <v>30000</v>
      </c>
      <c r="AT115" s="357">
        <v>0</v>
      </c>
      <c r="AU115" s="357">
        <v>5000</v>
      </c>
      <c r="AV115" s="357">
        <v>35000</v>
      </c>
      <c r="AW115" s="357">
        <v>349772.17</v>
      </c>
      <c r="AX115" s="357">
        <v>0</v>
      </c>
      <c r="AY115" s="357">
        <v>2357.24</v>
      </c>
      <c r="AZ115" s="357">
        <v>352129.41</v>
      </c>
      <c r="BA115" s="357">
        <v>921128.81</v>
      </c>
      <c r="BB115" s="357">
        <v>0</v>
      </c>
      <c r="BC115" s="357">
        <v>24101.29</v>
      </c>
      <c r="BD115" s="357">
        <v>945230.1</v>
      </c>
      <c r="BE115" s="357">
        <v>1022836</v>
      </c>
      <c r="BF115" s="357">
        <v>0</v>
      </c>
      <c r="BG115" s="357">
        <v>22461.53</v>
      </c>
      <c r="BH115" s="357">
        <v>1045297.53</v>
      </c>
      <c r="BI115" s="357">
        <v>15597.52</v>
      </c>
      <c r="BJ115" s="357">
        <v>0</v>
      </c>
      <c r="BK115" s="357">
        <v>0</v>
      </c>
      <c r="BL115" s="357">
        <v>15597.52</v>
      </c>
      <c r="BM115" s="357">
        <v>0</v>
      </c>
      <c r="BN115" s="357">
        <v>0</v>
      </c>
      <c r="BO115" s="357">
        <v>0</v>
      </c>
      <c r="BP115" s="357">
        <v>0</v>
      </c>
      <c r="BQ115" s="357">
        <v>1959562.33</v>
      </c>
      <c r="BR115" s="357">
        <v>0</v>
      </c>
      <c r="BS115" s="357">
        <v>46562.82</v>
      </c>
      <c r="BT115" s="357">
        <v>1056120</v>
      </c>
      <c r="BU115" s="357">
        <v>0</v>
      </c>
      <c r="BV115" s="357">
        <v>0</v>
      </c>
      <c r="BW115" s="357">
        <v>3015682.33</v>
      </c>
      <c r="BX115" s="357">
        <v>0</v>
      </c>
      <c r="BY115" s="357">
        <v>46562.82</v>
      </c>
      <c r="BZ115" s="357">
        <v>3062245.15</v>
      </c>
      <c r="CA115" s="357">
        <v>10000</v>
      </c>
      <c r="CB115" s="357">
        <v>0</v>
      </c>
      <c r="CC115" s="357">
        <v>5000</v>
      </c>
      <c r="CD115" s="357">
        <v>15000</v>
      </c>
      <c r="CE115" s="357">
        <v>212702.63</v>
      </c>
      <c r="CF115" s="357">
        <v>0</v>
      </c>
      <c r="CG115" s="357">
        <v>22147.96</v>
      </c>
      <c r="CH115" s="357">
        <v>234850.59</v>
      </c>
      <c r="CI115" s="357">
        <v>222702.63</v>
      </c>
      <c r="CJ115" s="357">
        <v>0</v>
      </c>
      <c r="CK115" s="357">
        <v>27147.96</v>
      </c>
      <c r="CL115" s="357">
        <v>75000</v>
      </c>
      <c r="CM115" s="357">
        <v>0</v>
      </c>
      <c r="CN115" s="357">
        <v>47000</v>
      </c>
      <c r="CO115" s="357">
        <v>297702.63</v>
      </c>
      <c r="CP115" s="357">
        <v>0</v>
      </c>
      <c r="CQ115" s="357">
        <v>74147.96</v>
      </c>
      <c r="CR115" s="357">
        <v>371850.59</v>
      </c>
      <c r="CS115" s="357">
        <v>67923.77</v>
      </c>
      <c r="CT115" s="357">
        <v>0</v>
      </c>
      <c r="CU115" s="357">
        <v>602.88</v>
      </c>
      <c r="CV115" s="357">
        <v>68526.65</v>
      </c>
      <c r="CW115" s="357">
        <v>230401.33</v>
      </c>
      <c r="CX115" s="357">
        <v>0</v>
      </c>
      <c r="CY115" s="357">
        <v>457.56</v>
      </c>
      <c r="CZ115" s="357">
        <v>230858.89</v>
      </c>
      <c r="DA115" s="357">
        <v>0</v>
      </c>
      <c r="DB115" s="357">
        <v>0</v>
      </c>
      <c r="DC115" s="357">
        <v>0</v>
      </c>
      <c r="DD115" s="357">
        <v>0</v>
      </c>
      <c r="DE115" s="357">
        <v>0</v>
      </c>
      <c r="DF115" s="357">
        <v>0</v>
      </c>
      <c r="DG115" s="357">
        <v>0</v>
      </c>
      <c r="DH115" s="357">
        <v>0</v>
      </c>
      <c r="DI115" s="357">
        <v>0</v>
      </c>
      <c r="DJ115" s="357">
        <v>0</v>
      </c>
      <c r="DK115" s="357">
        <v>0</v>
      </c>
      <c r="DL115" s="357">
        <v>0</v>
      </c>
      <c r="DM115" s="357">
        <v>0</v>
      </c>
      <c r="DN115" s="357">
        <v>0</v>
      </c>
      <c r="DO115" s="357">
        <v>77643.1</v>
      </c>
      <c r="DP115" s="357">
        <v>77643.1</v>
      </c>
      <c r="DQ115" s="357">
        <v>298325.1</v>
      </c>
      <c r="DR115" s="357">
        <v>0</v>
      </c>
      <c r="DS115" s="357">
        <v>78703.54</v>
      </c>
      <c r="DT115" s="357">
        <v>20000</v>
      </c>
      <c r="DU115" s="357">
        <v>0</v>
      </c>
      <c r="DV115" s="357">
        <v>55000</v>
      </c>
      <c r="DW115" s="357">
        <v>318325.1</v>
      </c>
      <c r="DX115" s="357">
        <v>0</v>
      </c>
      <c r="DY115" s="357">
        <v>133703.54</v>
      </c>
      <c r="DZ115" s="357">
        <v>452028.64</v>
      </c>
      <c r="EA115" s="357">
        <v>132643</v>
      </c>
      <c r="EB115" s="357">
        <v>0</v>
      </c>
      <c r="EC115" s="357">
        <v>40000</v>
      </c>
      <c r="ED115" s="357">
        <v>0</v>
      </c>
      <c r="EE115" s="357">
        <v>7500</v>
      </c>
      <c r="EF115" s="357">
        <v>47500</v>
      </c>
      <c r="EG115" s="357">
        <v>200000</v>
      </c>
      <c r="EH115" s="357">
        <v>0</v>
      </c>
      <c r="EI115" s="357">
        <v>20000</v>
      </c>
      <c r="EJ115" s="357">
        <v>220000</v>
      </c>
      <c r="EK115" s="357">
        <v>360000</v>
      </c>
      <c r="EL115" s="357">
        <v>0</v>
      </c>
      <c r="EM115" s="357">
        <v>0</v>
      </c>
      <c r="EN115" s="357">
        <v>360000</v>
      </c>
      <c r="EO115" s="357">
        <v>600000</v>
      </c>
      <c r="EP115" s="357">
        <v>0</v>
      </c>
      <c r="EQ115" s="357">
        <v>27500</v>
      </c>
      <c r="ER115" s="357">
        <v>0</v>
      </c>
      <c r="ES115" s="357">
        <v>0</v>
      </c>
      <c r="ET115" s="357">
        <v>0</v>
      </c>
      <c r="EU115" s="357">
        <v>600000</v>
      </c>
      <c r="EV115" s="357">
        <v>0</v>
      </c>
      <c r="EW115" s="357">
        <v>27500</v>
      </c>
      <c r="EX115" s="357">
        <v>627500</v>
      </c>
      <c r="EY115" s="357">
        <v>14162532.2</v>
      </c>
      <c r="EZ115" s="357">
        <v>0</v>
      </c>
      <c r="FA115" s="357">
        <v>153566.44</v>
      </c>
      <c r="FB115" s="357">
        <v>14316098.7</v>
      </c>
      <c r="FC115" s="277">
        <v>0</v>
      </c>
      <c r="FD115" s="205"/>
    </row>
    <row r="116" spans="1:160" ht="12.75">
      <c r="A116" s="169">
        <v>109</v>
      </c>
      <c r="B116" s="172" t="s">
        <v>125</v>
      </c>
      <c r="C116" s="258" t="s">
        <v>126</v>
      </c>
      <c r="D116" s="235">
        <v>41639</v>
      </c>
      <c r="E116" s="357">
        <v>59316805</v>
      </c>
      <c r="F116" s="357">
        <v>0</v>
      </c>
      <c r="G116" s="357">
        <v>0</v>
      </c>
      <c r="H116" s="357">
        <v>59316805</v>
      </c>
      <c r="I116" s="357">
        <v>27938215</v>
      </c>
      <c r="J116" s="357">
        <v>0</v>
      </c>
      <c r="K116" s="357">
        <v>0</v>
      </c>
      <c r="L116" s="357">
        <v>20269</v>
      </c>
      <c r="M116" s="357">
        <v>0</v>
      </c>
      <c r="N116" s="357">
        <v>0</v>
      </c>
      <c r="O116" s="357">
        <v>27958484</v>
      </c>
      <c r="P116" s="357">
        <v>0</v>
      </c>
      <c r="Q116" s="357">
        <v>0</v>
      </c>
      <c r="R116" s="357">
        <v>27958484</v>
      </c>
      <c r="S116" s="357">
        <v>45379</v>
      </c>
      <c r="T116" s="357">
        <v>0</v>
      </c>
      <c r="U116" s="357">
        <v>0</v>
      </c>
      <c r="V116" s="357">
        <v>45379</v>
      </c>
      <c r="W116" s="357">
        <v>0</v>
      </c>
      <c r="X116" s="357">
        <v>0</v>
      </c>
      <c r="Y116" s="357">
        <v>0</v>
      </c>
      <c r="Z116" s="357">
        <v>0</v>
      </c>
      <c r="AA116" s="357">
        <v>45379</v>
      </c>
      <c r="AB116" s="357">
        <v>0</v>
      </c>
      <c r="AC116" s="357">
        <v>0</v>
      </c>
      <c r="AD116" s="357">
        <v>0</v>
      </c>
      <c r="AE116" s="357">
        <v>0</v>
      </c>
      <c r="AF116" s="357">
        <v>0</v>
      </c>
      <c r="AG116" s="357">
        <v>45379</v>
      </c>
      <c r="AH116" s="357">
        <v>0</v>
      </c>
      <c r="AI116" s="357">
        <v>0</v>
      </c>
      <c r="AJ116" s="357">
        <v>45379</v>
      </c>
      <c r="AK116" s="357">
        <v>45379</v>
      </c>
      <c r="AL116" s="357">
        <v>0</v>
      </c>
      <c r="AM116" s="357">
        <v>0</v>
      </c>
      <c r="AN116" s="357">
        <v>45379</v>
      </c>
      <c r="AO116" s="357">
        <v>1427979</v>
      </c>
      <c r="AP116" s="357">
        <v>0</v>
      </c>
      <c r="AQ116" s="357">
        <v>0</v>
      </c>
      <c r="AR116" s="357">
        <v>1427979</v>
      </c>
      <c r="AS116" s="357">
        <v>0</v>
      </c>
      <c r="AT116" s="357">
        <v>0</v>
      </c>
      <c r="AU116" s="357">
        <v>0</v>
      </c>
      <c r="AV116" s="357">
        <v>0</v>
      </c>
      <c r="AW116" s="357">
        <v>442534</v>
      </c>
      <c r="AX116" s="357">
        <v>0</v>
      </c>
      <c r="AY116" s="357">
        <v>0</v>
      </c>
      <c r="AZ116" s="357">
        <v>442534</v>
      </c>
      <c r="BA116" s="357">
        <v>985445</v>
      </c>
      <c r="BB116" s="357">
        <v>0</v>
      </c>
      <c r="BC116" s="357">
        <v>0</v>
      </c>
      <c r="BD116" s="357">
        <v>985445</v>
      </c>
      <c r="BE116" s="357">
        <v>2207256</v>
      </c>
      <c r="BF116" s="357">
        <v>0</v>
      </c>
      <c r="BG116" s="357">
        <v>0</v>
      </c>
      <c r="BH116" s="357">
        <v>2207256</v>
      </c>
      <c r="BI116" s="357">
        <v>37355</v>
      </c>
      <c r="BJ116" s="357">
        <v>0</v>
      </c>
      <c r="BK116" s="357">
        <v>0</v>
      </c>
      <c r="BL116" s="357">
        <v>37355</v>
      </c>
      <c r="BM116" s="357">
        <v>10420</v>
      </c>
      <c r="BN116" s="357">
        <v>0</v>
      </c>
      <c r="BO116" s="357">
        <v>0</v>
      </c>
      <c r="BP116" s="357">
        <v>10420</v>
      </c>
      <c r="BQ116" s="357">
        <v>3240476</v>
      </c>
      <c r="BR116" s="357">
        <v>0</v>
      </c>
      <c r="BS116" s="357">
        <v>0</v>
      </c>
      <c r="BT116" s="357">
        <v>66000</v>
      </c>
      <c r="BU116" s="357">
        <v>0</v>
      </c>
      <c r="BV116" s="357">
        <v>0</v>
      </c>
      <c r="BW116" s="357">
        <v>3306476</v>
      </c>
      <c r="BX116" s="357">
        <v>0</v>
      </c>
      <c r="BY116" s="357">
        <v>0</v>
      </c>
      <c r="BZ116" s="357">
        <v>3306476</v>
      </c>
      <c r="CA116" s="357">
        <v>50000</v>
      </c>
      <c r="CB116" s="357">
        <v>0</v>
      </c>
      <c r="CC116" s="357">
        <v>0</v>
      </c>
      <c r="CD116" s="357">
        <v>50000</v>
      </c>
      <c r="CE116" s="357">
        <v>726463</v>
      </c>
      <c r="CF116" s="357">
        <v>0</v>
      </c>
      <c r="CG116" s="357">
        <v>0</v>
      </c>
      <c r="CH116" s="357">
        <v>726463</v>
      </c>
      <c r="CI116" s="357">
        <v>776463</v>
      </c>
      <c r="CJ116" s="357">
        <v>0</v>
      </c>
      <c r="CK116" s="357">
        <v>0</v>
      </c>
      <c r="CL116" s="357">
        <v>0</v>
      </c>
      <c r="CM116" s="357">
        <v>0</v>
      </c>
      <c r="CN116" s="357">
        <v>0</v>
      </c>
      <c r="CO116" s="357">
        <v>776463</v>
      </c>
      <c r="CP116" s="357">
        <v>0</v>
      </c>
      <c r="CQ116" s="357">
        <v>0</v>
      </c>
      <c r="CR116" s="357">
        <v>776463</v>
      </c>
      <c r="CS116" s="357">
        <v>100078</v>
      </c>
      <c r="CT116" s="357">
        <v>0</v>
      </c>
      <c r="CU116" s="357">
        <v>0</v>
      </c>
      <c r="CV116" s="357">
        <v>100078</v>
      </c>
      <c r="CW116" s="357">
        <v>15967</v>
      </c>
      <c r="CX116" s="357">
        <v>0</v>
      </c>
      <c r="CY116" s="357">
        <v>0</v>
      </c>
      <c r="CZ116" s="357">
        <v>15967</v>
      </c>
      <c r="DA116" s="357">
        <v>219</v>
      </c>
      <c r="DB116" s="357">
        <v>0</v>
      </c>
      <c r="DC116" s="357">
        <v>0</v>
      </c>
      <c r="DD116" s="357">
        <v>219</v>
      </c>
      <c r="DE116" s="357">
        <v>3316</v>
      </c>
      <c r="DF116" s="357">
        <v>0</v>
      </c>
      <c r="DG116" s="357">
        <v>0</v>
      </c>
      <c r="DH116" s="357">
        <v>3316</v>
      </c>
      <c r="DI116" s="357">
        <v>0</v>
      </c>
      <c r="DJ116" s="357">
        <v>0</v>
      </c>
      <c r="DK116" s="357">
        <v>0</v>
      </c>
      <c r="DL116" s="357">
        <v>0</v>
      </c>
      <c r="DM116" s="357">
        <v>0</v>
      </c>
      <c r="DN116" s="357">
        <v>0</v>
      </c>
      <c r="DO116" s="357">
        <v>0</v>
      </c>
      <c r="DP116" s="357">
        <v>0</v>
      </c>
      <c r="DQ116" s="357">
        <v>119580</v>
      </c>
      <c r="DR116" s="357">
        <v>0</v>
      </c>
      <c r="DS116" s="357">
        <v>0</v>
      </c>
      <c r="DT116" s="357">
        <v>0</v>
      </c>
      <c r="DU116" s="357">
        <v>0</v>
      </c>
      <c r="DV116" s="357">
        <v>0</v>
      </c>
      <c r="DW116" s="357">
        <v>119580</v>
      </c>
      <c r="DX116" s="357">
        <v>0</v>
      </c>
      <c r="DY116" s="357">
        <v>0</v>
      </c>
      <c r="DZ116" s="357">
        <v>119580</v>
      </c>
      <c r="EA116" s="357">
        <v>0</v>
      </c>
      <c r="EB116" s="357">
        <v>0</v>
      </c>
      <c r="EC116" s="357">
        <v>0</v>
      </c>
      <c r="ED116" s="357">
        <v>0</v>
      </c>
      <c r="EE116" s="357">
        <v>0</v>
      </c>
      <c r="EF116" s="357">
        <v>0</v>
      </c>
      <c r="EG116" s="357">
        <v>67000</v>
      </c>
      <c r="EH116" s="357">
        <v>0</v>
      </c>
      <c r="EI116" s="357">
        <v>0</v>
      </c>
      <c r="EJ116" s="357">
        <v>67000</v>
      </c>
      <c r="EK116" s="357">
        <v>423622</v>
      </c>
      <c r="EL116" s="357">
        <v>0</v>
      </c>
      <c r="EM116" s="357">
        <v>0</v>
      </c>
      <c r="EN116" s="357">
        <v>423622</v>
      </c>
      <c r="EO116" s="357">
        <v>490622</v>
      </c>
      <c r="EP116" s="357">
        <v>0</v>
      </c>
      <c r="EQ116" s="357">
        <v>0</v>
      </c>
      <c r="ER116" s="357">
        <v>0</v>
      </c>
      <c r="ES116" s="357">
        <v>0</v>
      </c>
      <c r="ET116" s="357">
        <v>0</v>
      </c>
      <c r="EU116" s="357">
        <v>490622</v>
      </c>
      <c r="EV116" s="357">
        <v>0</v>
      </c>
      <c r="EW116" s="357">
        <v>0</v>
      </c>
      <c r="EX116" s="357">
        <v>490622</v>
      </c>
      <c r="EY116" s="357">
        <v>23219964</v>
      </c>
      <c r="EZ116" s="357">
        <v>0</v>
      </c>
      <c r="FA116" s="357">
        <v>0</v>
      </c>
      <c r="FB116" s="357">
        <v>23219964</v>
      </c>
      <c r="FC116" s="277">
        <v>0</v>
      </c>
      <c r="FD116" s="205"/>
    </row>
    <row r="117" spans="1:160" ht="12.75">
      <c r="A117" s="169">
        <v>110</v>
      </c>
      <c r="B117" s="172" t="s">
        <v>127</v>
      </c>
      <c r="C117" s="258" t="s">
        <v>128</v>
      </c>
      <c r="D117" s="235">
        <v>311213</v>
      </c>
      <c r="E117" s="357">
        <v>75895851</v>
      </c>
      <c r="F117" s="357">
        <v>0</v>
      </c>
      <c r="G117" s="357">
        <v>702300</v>
      </c>
      <c r="H117" s="357">
        <v>76598151</v>
      </c>
      <c r="I117" s="357">
        <v>35746946</v>
      </c>
      <c r="J117" s="357">
        <v>0</v>
      </c>
      <c r="K117" s="357">
        <v>330783</v>
      </c>
      <c r="L117" s="357">
        <v>350000</v>
      </c>
      <c r="M117" s="357">
        <v>0</v>
      </c>
      <c r="N117" s="357">
        <v>33000</v>
      </c>
      <c r="O117" s="357">
        <v>36096946</v>
      </c>
      <c r="P117" s="357">
        <v>0</v>
      </c>
      <c r="Q117" s="357">
        <v>363783</v>
      </c>
      <c r="R117" s="357">
        <v>36460729</v>
      </c>
      <c r="S117" s="357">
        <v>312749.84</v>
      </c>
      <c r="T117" s="357">
        <v>0</v>
      </c>
      <c r="U117" s="357">
        <v>0</v>
      </c>
      <c r="V117" s="357">
        <v>312749.84</v>
      </c>
      <c r="W117" s="357">
        <v>5511.21</v>
      </c>
      <c r="X117" s="357">
        <v>0</v>
      </c>
      <c r="Y117" s="357">
        <v>38428.58</v>
      </c>
      <c r="Z117" s="357">
        <v>43939.79</v>
      </c>
      <c r="AA117" s="357">
        <v>307238.63</v>
      </c>
      <c r="AB117" s="357">
        <v>0</v>
      </c>
      <c r="AC117" s="357">
        <v>-38428.58</v>
      </c>
      <c r="AD117" s="357">
        <v>3183</v>
      </c>
      <c r="AE117" s="357">
        <v>0</v>
      </c>
      <c r="AF117" s="357">
        <v>0</v>
      </c>
      <c r="AG117" s="357">
        <v>310421.63</v>
      </c>
      <c r="AH117" s="357">
        <v>0</v>
      </c>
      <c r="AI117" s="357">
        <v>-38428.58</v>
      </c>
      <c r="AJ117" s="357">
        <v>271993.05</v>
      </c>
      <c r="AK117" s="357">
        <v>310421.63</v>
      </c>
      <c r="AL117" s="357">
        <v>0</v>
      </c>
      <c r="AM117" s="357">
        <v>-38428.58</v>
      </c>
      <c r="AN117" s="357">
        <v>271993.05</v>
      </c>
      <c r="AO117" s="357">
        <v>2076562.52</v>
      </c>
      <c r="AP117" s="357">
        <v>0</v>
      </c>
      <c r="AQ117" s="357">
        <v>0</v>
      </c>
      <c r="AR117" s="357">
        <v>2076562.52</v>
      </c>
      <c r="AS117" s="357">
        <v>20000</v>
      </c>
      <c r="AT117" s="357">
        <v>0</v>
      </c>
      <c r="AU117" s="357">
        <v>0</v>
      </c>
      <c r="AV117" s="357">
        <v>20000</v>
      </c>
      <c r="AW117" s="357">
        <v>662145.88</v>
      </c>
      <c r="AX117" s="357">
        <v>0</v>
      </c>
      <c r="AY117" s="357">
        <v>7650.5</v>
      </c>
      <c r="AZ117" s="357">
        <v>669796.38</v>
      </c>
      <c r="BA117" s="357">
        <v>1414416.64</v>
      </c>
      <c r="BB117" s="357">
        <v>0</v>
      </c>
      <c r="BC117" s="357">
        <v>-7650.5</v>
      </c>
      <c r="BD117" s="357">
        <v>1406766.14</v>
      </c>
      <c r="BE117" s="357">
        <v>1554409.29</v>
      </c>
      <c r="BF117" s="357">
        <v>0</v>
      </c>
      <c r="BG117" s="357">
        <v>0</v>
      </c>
      <c r="BH117" s="357">
        <v>1554409.29</v>
      </c>
      <c r="BI117" s="357">
        <v>19280</v>
      </c>
      <c r="BJ117" s="357">
        <v>0</v>
      </c>
      <c r="BK117" s="357">
        <v>0</v>
      </c>
      <c r="BL117" s="357">
        <v>19280</v>
      </c>
      <c r="BM117" s="357">
        <v>1441.18</v>
      </c>
      <c r="BN117" s="357">
        <v>0</v>
      </c>
      <c r="BO117" s="357">
        <v>0</v>
      </c>
      <c r="BP117" s="357">
        <v>1441.18</v>
      </c>
      <c r="BQ117" s="357">
        <v>2989547.11</v>
      </c>
      <c r="BR117" s="357">
        <v>0</v>
      </c>
      <c r="BS117" s="357">
        <v>-7650.5</v>
      </c>
      <c r="BT117" s="357">
        <v>56000</v>
      </c>
      <c r="BU117" s="357">
        <v>0</v>
      </c>
      <c r="BV117" s="357">
        <v>0</v>
      </c>
      <c r="BW117" s="357">
        <v>3045547.11</v>
      </c>
      <c r="BX117" s="357">
        <v>0</v>
      </c>
      <c r="BY117" s="357">
        <v>-7650.5</v>
      </c>
      <c r="BZ117" s="357">
        <v>3037896.61</v>
      </c>
      <c r="CA117" s="357">
        <v>75000</v>
      </c>
      <c r="CB117" s="357">
        <v>0</v>
      </c>
      <c r="CC117" s="357">
        <v>0</v>
      </c>
      <c r="CD117" s="357">
        <v>75000</v>
      </c>
      <c r="CE117" s="357">
        <v>2674517</v>
      </c>
      <c r="CF117" s="357">
        <v>0</v>
      </c>
      <c r="CG117" s="357">
        <v>0</v>
      </c>
      <c r="CH117" s="357">
        <v>2674517</v>
      </c>
      <c r="CI117" s="357">
        <v>2749517</v>
      </c>
      <c r="CJ117" s="357">
        <v>0</v>
      </c>
      <c r="CK117" s="357">
        <v>0</v>
      </c>
      <c r="CL117" s="357">
        <v>0</v>
      </c>
      <c r="CM117" s="357">
        <v>0</v>
      </c>
      <c r="CN117" s="357">
        <v>0</v>
      </c>
      <c r="CO117" s="357">
        <v>2749517</v>
      </c>
      <c r="CP117" s="357">
        <v>0</v>
      </c>
      <c r="CQ117" s="357">
        <v>0</v>
      </c>
      <c r="CR117" s="357">
        <v>2749517</v>
      </c>
      <c r="CS117" s="357">
        <v>106167.63</v>
      </c>
      <c r="CT117" s="357">
        <v>0</v>
      </c>
      <c r="CU117" s="357">
        <v>268165.8</v>
      </c>
      <c r="CV117" s="357">
        <v>374333.43</v>
      </c>
      <c r="CW117" s="357">
        <v>39263.17</v>
      </c>
      <c r="CX117" s="357">
        <v>0</v>
      </c>
      <c r="CY117" s="357">
        <v>0</v>
      </c>
      <c r="CZ117" s="357">
        <v>39263.17</v>
      </c>
      <c r="DA117" s="357">
        <v>0</v>
      </c>
      <c r="DB117" s="357">
        <v>0</v>
      </c>
      <c r="DC117" s="357">
        <v>0</v>
      </c>
      <c r="DD117" s="357">
        <v>0</v>
      </c>
      <c r="DE117" s="357">
        <v>783.25</v>
      </c>
      <c r="DF117" s="357">
        <v>0</v>
      </c>
      <c r="DG117" s="357">
        <v>0</v>
      </c>
      <c r="DH117" s="357">
        <v>783.25</v>
      </c>
      <c r="DI117" s="357">
        <v>0</v>
      </c>
      <c r="DJ117" s="357">
        <v>0</v>
      </c>
      <c r="DK117" s="357">
        <v>0</v>
      </c>
      <c r="DL117" s="357">
        <v>0</v>
      </c>
      <c r="DM117" s="357">
        <v>0</v>
      </c>
      <c r="DN117" s="357">
        <v>0</v>
      </c>
      <c r="DO117" s="357">
        <v>0</v>
      </c>
      <c r="DP117" s="357">
        <v>0</v>
      </c>
      <c r="DQ117" s="357">
        <v>146214.05</v>
      </c>
      <c r="DR117" s="357">
        <v>0</v>
      </c>
      <c r="DS117" s="357">
        <v>268165.8</v>
      </c>
      <c r="DT117" s="357">
        <v>0</v>
      </c>
      <c r="DU117" s="357">
        <v>0</v>
      </c>
      <c r="DV117" s="357">
        <v>0</v>
      </c>
      <c r="DW117" s="357">
        <v>146214.05</v>
      </c>
      <c r="DX117" s="357">
        <v>0</v>
      </c>
      <c r="DY117" s="357">
        <v>268165.8</v>
      </c>
      <c r="DZ117" s="357">
        <v>414379.85</v>
      </c>
      <c r="EA117" s="357">
        <v>268166</v>
      </c>
      <c r="EB117" s="357">
        <v>0</v>
      </c>
      <c r="EC117" s="357">
        <v>45000</v>
      </c>
      <c r="ED117" s="357">
        <v>0</v>
      </c>
      <c r="EE117" s="357">
        <v>0</v>
      </c>
      <c r="EF117" s="357">
        <v>45000</v>
      </c>
      <c r="EG117" s="357">
        <v>25000</v>
      </c>
      <c r="EH117" s="357">
        <v>0</v>
      </c>
      <c r="EI117" s="357">
        <v>0</v>
      </c>
      <c r="EJ117" s="357">
        <v>25000</v>
      </c>
      <c r="EK117" s="357">
        <v>864000</v>
      </c>
      <c r="EL117" s="357">
        <v>0</v>
      </c>
      <c r="EM117" s="357">
        <v>0</v>
      </c>
      <c r="EN117" s="357">
        <v>864000</v>
      </c>
      <c r="EO117" s="357">
        <v>934000</v>
      </c>
      <c r="EP117" s="357">
        <v>0</v>
      </c>
      <c r="EQ117" s="357">
        <v>0</v>
      </c>
      <c r="ER117" s="357">
        <v>0</v>
      </c>
      <c r="ES117" s="357">
        <v>0</v>
      </c>
      <c r="ET117" s="357">
        <v>0</v>
      </c>
      <c r="EU117" s="357">
        <v>934000</v>
      </c>
      <c r="EV117" s="357">
        <v>0</v>
      </c>
      <c r="EW117" s="357">
        <v>0</v>
      </c>
      <c r="EX117" s="357">
        <v>934000</v>
      </c>
      <c r="EY117" s="357">
        <v>28911246.2</v>
      </c>
      <c r="EZ117" s="357">
        <v>0</v>
      </c>
      <c r="FA117" s="357">
        <v>141696.28</v>
      </c>
      <c r="FB117" s="357">
        <v>29052942.5</v>
      </c>
      <c r="FC117" s="277">
        <v>0</v>
      </c>
      <c r="FD117" s="205"/>
    </row>
    <row r="118" spans="1:160" ht="12.75">
      <c r="A118" s="169">
        <v>111</v>
      </c>
      <c r="B118" s="172" t="s">
        <v>129</v>
      </c>
      <c r="C118" s="258" t="s">
        <v>130</v>
      </c>
      <c r="D118" s="235">
        <v>300913</v>
      </c>
      <c r="E118" s="357">
        <v>175317306</v>
      </c>
      <c r="F118" s="357">
        <v>0</v>
      </c>
      <c r="G118" s="357">
        <v>0</v>
      </c>
      <c r="H118" s="357">
        <v>175317306</v>
      </c>
      <c r="I118" s="357">
        <v>82574451</v>
      </c>
      <c r="J118" s="357">
        <v>0</v>
      </c>
      <c r="K118" s="357">
        <v>0</v>
      </c>
      <c r="L118" s="357">
        <v>2270797</v>
      </c>
      <c r="M118" s="357">
        <v>0</v>
      </c>
      <c r="N118" s="357">
        <v>0</v>
      </c>
      <c r="O118" s="357">
        <v>84845248</v>
      </c>
      <c r="P118" s="357">
        <v>0</v>
      </c>
      <c r="Q118" s="357">
        <v>0</v>
      </c>
      <c r="R118" s="357">
        <v>84845248</v>
      </c>
      <c r="S118" s="357">
        <v>65289</v>
      </c>
      <c r="T118" s="357">
        <v>0</v>
      </c>
      <c r="U118" s="357">
        <v>0</v>
      </c>
      <c r="V118" s="357">
        <v>65289</v>
      </c>
      <c r="W118" s="357">
        <v>19411</v>
      </c>
      <c r="X118" s="357">
        <v>0</v>
      </c>
      <c r="Y118" s="357">
        <v>0</v>
      </c>
      <c r="Z118" s="357">
        <v>19411</v>
      </c>
      <c r="AA118" s="357">
        <v>45878</v>
      </c>
      <c r="AB118" s="357">
        <v>0</v>
      </c>
      <c r="AC118" s="357">
        <v>0</v>
      </c>
      <c r="AD118" s="357">
        <v>0</v>
      </c>
      <c r="AE118" s="357">
        <v>0</v>
      </c>
      <c r="AF118" s="357">
        <v>0</v>
      </c>
      <c r="AG118" s="357">
        <v>45878</v>
      </c>
      <c r="AH118" s="357">
        <v>0</v>
      </c>
      <c r="AI118" s="357">
        <v>0</v>
      </c>
      <c r="AJ118" s="357">
        <v>45878</v>
      </c>
      <c r="AK118" s="357">
        <v>45878</v>
      </c>
      <c r="AL118" s="357">
        <v>0</v>
      </c>
      <c r="AM118" s="357">
        <v>0</v>
      </c>
      <c r="AN118" s="357">
        <v>45878</v>
      </c>
      <c r="AO118" s="357">
        <v>3146600</v>
      </c>
      <c r="AP118" s="357">
        <v>0</v>
      </c>
      <c r="AQ118" s="357">
        <v>0</v>
      </c>
      <c r="AR118" s="357">
        <v>3146600</v>
      </c>
      <c r="AS118" s="357">
        <v>0</v>
      </c>
      <c r="AT118" s="357">
        <v>0</v>
      </c>
      <c r="AU118" s="357">
        <v>0</v>
      </c>
      <c r="AV118" s="357">
        <v>0</v>
      </c>
      <c r="AW118" s="357">
        <v>1164590</v>
      </c>
      <c r="AX118" s="357">
        <v>0</v>
      </c>
      <c r="AY118" s="357">
        <v>0</v>
      </c>
      <c r="AZ118" s="357">
        <v>1164590</v>
      </c>
      <c r="BA118" s="357">
        <v>1982010</v>
      </c>
      <c r="BB118" s="357">
        <v>0</v>
      </c>
      <c r="BC118" s="357">
        <v>0</v>
      </c>
      <c r="BD118" s="357">
        <v>1982010</v>
      </c>
      <c r="BE118" s="357">
        <v>7312853</v>
      </c>
      <c r="BF118" s="357">
        <v>0</v>
      </c>
      <c r="BG118" s="357">
        <v>0</v>
      </c>
      <c r="BH118" s="357">
        <v>7312853</v>
      </c>
      <c r="BI118" s="357">
        <v>130237</v>
      </c>
      <c r="BJ118" s="357">
        <v>0</v>
      </c>
      <c r="BK118" s="357">
        <v>0</v>
      </c>
      <c r="BL118" s="357">
        <v>130237</v>
      </c>
      <c r="BM118" s="357">
        <v>0</v>
      </c>
      <c r="BN118" s="357">
        <v>0</v>
      </c>
      <c r="BO118" s="357">
        <v>0</v>
      </c>
      <c r="BP118" s="357">
        <v>0</v>
      </c>
      <c r="BQ118" s="357">
        <v>9425100</v>
      </c>
      <c r="BR118" s="357">
        <v>0</v>
      </c>
      <c r="BS118" s="357">
        <v>0</v>
      </c>
      <c r="BT118" s="357">
        <v>0</v>
      </c>
      <c r="BU118" s="357">
        <v>0</v>
      </c>
      <c r="BV118" s="357">
        <v>0</v>
      </c>
      <c r="BW118" s="357">
        <v>9425100</v>
      </c>
      <c r="BX118" s="357">
        <v>0</v>
      </c>
      <c r="BY118" s="357">
        <v>0</v>
      </c>
      <c r="BZ118" s="357">
        <v>9425100</v>
      </c>
      <c r="CA118" s="357">
        <v>92856</v>
      </c>
      <c r="CB118" s="357">
        <v>0</v>
      </c>
      <c r="CC118" s="357">
        <v>0</v>
      </c>
      <c r="CD118" s="357">
        <v>92856</v>
      </c>
      <c r="CE118" s="357">
        <v>2699787</v>
      </c>
      <c r="CF118" s="357">
        <v>0</v>
      </c>
      <c r="CG118" s="357">
        <v>0</v>
      </c>
      <c r="CH118" s="357">
        <v>2699787</v>
      </c>
      <c r="CI118" s="357">
        <v>2792643</v>
      </c>
      <c r="CJ118" s="357">
        <v>0</v>
      </c>
      <c r="CK118" s="357">
        <v>0</v>
      </c>
      <c r="CL118" s="357">
        <v>0</v>
      </c>
      <c r="CM118" s="357">
        <v>0</v>
      </c>
      <c r="CN118" s="357">
        <v>0</v>
      </c>
      <c r="CO118" s="357">
        <v>2792643</v>
      </c>
      <c r="CP118" s="357">
        <v>0</v>
      </c>
      <c r="CQ118" s="357">
        <v>0</v>
      </c>
      <c r="CR118" s="357">
        <v>2792643</v>
      </c>
      <c r="CS118" s="357">
        <v>528119</v>
      </c>
      <c r="CT118" s="357">
        <v>0</v>
      </c>
      <c r="CU118" s="357">
        <v>0</v>
      </c>
      <c r="CV118" s="357">
        <v>528119</v>
      </c>
      <c r="CW118" s="357">
        <v>63642</v>
      </c>
      <c r="CX118" s="357">
        <v>0</v>
      </c>
      <c r="CY118" s="357">
        <v>0</v>
      </c>
      <c r="CZ118" s="357">
        <v>63642</v>
      </c>
      <c r="DA118" s="357">
        <v>0</v>
      </c>
      <c r="DB118" s="357">
        <v>0</v>
      </c>
      <c r="DC118" s="357">
        <v>0</v>
      </c>
      <c r="DD118" s="357">
        <v>0</v>
      </c>
      <c r="DE118" s="357">
        <v>0</v>
      </c>
      <c r="DF118" s="357">
        <v>0</v>
      </c>
      <c r="DG118" s="357">
        <v>0</v>
      </c>
      <c r="DH118" s="357">
        <v>0</v>
      </c>
      <c r="DI118" s="357">
        <v>0</v>
      </c>
      <c r="DJ118" s="357">
        <v>0</v>
      </c>
      <c r="DK118" s="357">
        <v>0</v>
      </c>
      <c r="DL118" s="357">
        <v>0</v>
      </c>
      <c r="DM118" s="357">
        <v>0</v>
      </c>
      <c r="DN118" s="357">
        <v>0</v>
      </c>
      <c r="DO118" s="357">
        <v>0</v>
      </c>
      <c r="DP118" s="357">
        <v>0</v>
      </c>
      <c r="DQ118" s="357">
        <v>591761</v>
      </c>
      <c r="DR118" s="357">
        <v>0</v>
      </c>
      <c r="DS118" s="357">
        <v>0</v>
      </c>
      <c r="DT118" s="357">
        <v>0</v>
      </c>
      <c r="DU118" s="357">
        <v>0</v>
      </c>
      <c r="DV118" s="357">
        <v>0</v>
      </c>
      <c r="DW118" s="357">
        <v>591761</v>
      </c>
      <c r="DX118" s="357">
        <v>0</v>
      </c>
      <c r="DY118" s="357">
        <v>0</v>
      </c>
      <c r="DZ118" s="357">
        <v>591761</v>
      </c>
      <c r="EA118" s="357">
        <v>0</v>
      </c>
      <c r="EB118" s="357">
        <v>0</v>
      </c>
      <c r="EC118" s="357">
        <v>600000</v>
      </c>
      <c r="ED118" s="357">
        <v>0</v>
      </c>
      <c r="EE118" s="357">
        <v>0</v>
      </c>
      <c r="EF118" s="357">
        <v>600000</v>
      </c>
      <c r="EG118" s="357">
        <v>765191</v>
      </c>
      <c r="EH118" s="357">
        <v>0</v>
      </c>
      <c r="EI118" s="357">
        <v>0</v>
      </c>
      <c r="EJ118" s="357">
        <v>765191</v>
      </c>
      <c r="EK118" s="357">
        <v>1310000</v>
      </c>
      <c r="EL118" s="357">
        <v>0</v>
      </c>
      <c r="EM118" s="357">
        <v>0</v>
      </c>
      <c r="EN118" s="357">
        <v>1310000</v>
      </c>
      <c r="EO118" s="357">
        <v>2675191</v>
      </c>
      <c r="EP118" s="357">
        <v>0</v>
      </c>
      <c r="EQ118" s="357">
        <v>0</v>
      </c>
      <c r="ER118" s="357">
        <v>0</v>
      </c>
      <c r="ES118" s="357">
        <v>0</v>
      </c>
      <c r="ET118" s="357">
        <v>0</v>
      </c>
      <c r="EU118" s="357">
        <v>2675191</v>
      </c>
      <c r="EV118" s="357">
        <v>0</v>
      </c>
      <c r="EW118" s="357">
        <v>0</v>
      </c>
      <c r="EX118" s="357">
        <v>2675191</v>
      </c>
      <c r="EY118" s="357">
        <v>69314675</v>
      </c>
      <c r="EZ118" s="357">
        <v>0</v>
      </c>
      <c r="FA118" s="357">
        <v>0</v>
      </c>
      <c r="FB118" s="357">
        <v>69314675</v>
      </c>
      <c r="FC118" s="277">
        <v>0</v>
      </c>
      <c r="FD118" s="205"/>
    </row>
    <row r="119" spans="1:160" ht="12.75">
      <c r="A119" s="169">
        <v>112</v>
      </c>
      <c r="B119" s="172" t="s">
        <v>131</v>
      </c>
      <c r="C119" s="258" t="s">
        <v>132</v>
      </c>
      <c r="D119" s="235">
        <v>41639</v>
      </c>
      <c r="E119" s="357">
        <v>193837005</v>
      </c>
      <c r="F119" s="357">
        <v>0</v>
      </c>
      <c r="G119" s="357">
        <v>0</v>
      </c>
      <c r="H119" s="357">
        <v>193837005</v>
      </c>
      <c r="I119" s="357">
        <v>91297229</v>
      </c>
      <c r="J119" s="357">
        <v>0</v>
      </c>
      <c r="K119" s="357">
        <v>0</v>
      </c>
      <c r="L119" s="357">
        <v>-242269</v>
      </c>
      <c r="M119" s="357">
        <v>0</v>
      </c>
      <c r="N119" s="357">
        <v>0</v>
      </c>
      <c r="O119" s="357">
        <v>91054960</v>
      </c>
      <c r="P119" s="357">
        <v>0</v>
      </c>
      <c r="Q119" s="357">
        <v>0</v>
      </c>
      <c r="R119" s="357">
        <v>91054960</v>
      </c>
      <c r="S119" s="357">
        <v>14891</v>
      </c>
      <c r="T119" s="357">
        <v>0</v>
      </c>
      <c r="U119" s="357">
        <v>0</v>
      </c>
      <c r="V119" s="357">
        <v>14891</v>
      </c>
      <c r="W119" s="357">
        <v>80311</v>
      </c>
      <c r="X119" s="357">
        <v>0</v>
      </c>
      <c r="Y119" s="357">
        <v>0</v>
      </c>
      <c r="Z119" s="357">
        <v>80311</v>
      </c>
      <c r="AA119" s="357">
        <v>-65420</v>
      </c>
      <c r="AB119" s="357">
        <v>0</v>
      </c>
      <c r="AC119" s="357">
        <v>0</v>
      </c>
      <c r="AD119" s="357">
        <v>-300000</v>
      </c>
      <c r="AE119" s="357">
        <v>0</v>
      </c>
      <c r="AF119" s="357">
        <v>0</v>
      </c>
      <c r="AG119" s="357">
        <v>-365420</v>
      </c>
      <c r="AH119" s="357">
        <v>0</v>
      </c>
      <c r="AI119" s="357">
        <v>0</v>
      </c>
      <c r="AJ119" s="357">
        <v>-365420</v>
      </c>
      <c r="AK119" s="357">
        <v>-365420</v>
      </c>
      <c r="AL119" s="357">
        <v>0</v>
      </c>
      <c r="AM119" s="357">
        <v>0</v>
      </c>
      <c r="AN119" s="357">
        <v>-365420</v>
      </c>
      <c r="AO119" s="357">
        <v>1611872</v>
      </c>
      <c r="AP119" s="357">
        <v>0</v>
      </c>
      <c r="AQ119" s="357">
        <v>0</v>
      </c>
      <c r="AR119" s="357">
        <v>1611872</v>
      </c>
      <c r="AS119" s="357">
        <v>16119</v>
      </c>
      <c r="AT119" s="357">
        <v>0</v>
      </c>
      <c r="AU119" s="357">
        <v>0</v>
      </c>
      <c r="AV119" s="357">
        <v>16119</v>
      </c>
      <c r="AW119" s="357">
        <v>1971990</v>
      </c>
      <c r="AX119" s="357">
        <v>0</v>
      </c>
      <c r="AY119" s="357">
        <v>0</v>
      </c>
      <c r="AZ119" s="357">
        <v>1971990</v>
      </c>
      <c r="BA119" s="357">
        <v>-360118</v>
      </c>
      <c r="BB119" s="357">
        <v>0</v>
      </c>
      <c r="BC119" s="357">
        <v>0</v>
      </c>
      <c r="BD119" s="357">
        <v>-360118</v>
      </c>
      <c r="BE119" s="357">
        <v>7524554</v>
      </c>
      <c r="BF119" s="357">
        <v>0</v>
      </c>
      <c r="BG119" s="357">
        <v>0</v>
      </c>
      <c r="BH119" s="357">
        <v>7524554</v>
      </c>
      <c r="BI119" s="357">
        <v>69032</v>
      </c>
      <c r="BJ119" s="357">
        <v>0</v>
      </c>
      <c r="BK119" s="357">
        <v>0</v>
      </c>
      <c r="BL119" s="357">
        <v>69032</v>
      </c>
      <c r="BM119" s="357">
        <v>21154</v>
      </c>
      <c r="BN119" s="357">
        <v>0</v>
      </c>
      <c r="BO119" s="357">
        <v>0</v>
      </c>
      <c r="BP119" s="357">
        <v>21154</v>
      </c>
      <c r="BQ119" s="357">
        <v>7254622</v>
      </c>
      <c r="BR119" s="357">
        <v>0</v>
      </c>
      <c r="BS119" s="357">
        <v>0</v>
      </c>
      <c r="BT119" s="357">
        <v>100000</v>
      </c>
      <c r="BU119" s="357">
        <v>0</v>
      </c>
      <c r="BV119" s="357">
        <v>0</v>
      </c>
      <c r="BW119" s="357">
        <v>7354622</v>
      </c>
      <c r="BX119" s="357">
        <v>0</v>
      </c>
      <c r="BY119" s="357">
        <v>0</v>
      </c>
      <c r="BZ119" s="357">
        <v>7354622</v>
      </c>
      <c r="CA119" s="357">
        <v>21760</v>
      </c>
      <c r="CB119" s="357">
        <v>0</v>
      </c>
      <c r="CC119" s="357">
        <v>0</v>
      </c>
      <c r="CD119" s="357">
        <v>21760</v>
      </c>
      <c r="CE119" s="357">
        <v>1880105</v>
      </c>
      <c r="CF119" s="357">
        <v>0</v>
      </c>
      <c r="CG119" s="357">
        <v>0</v>
      </c>
      <c r="CH119" s="357">
        <v>1880105</v>
      </c>
      <c r="CI119" s="357">
        <v>1901865</v>
      </c>
      <c r="CJ119" s="357">
        <v>0</v>
      </c>
      <c r="CK119" s="357">
        <v>0</v>
      </c>
      <c r="CL119" s="357">
        <v>750000</v>
      </c>
      <c r="CM119" s="357">
        <v>0</v>
      </c>
      <c r="CN119" s="357">
        <v>0</v>
      </c>
      <c r="CO119" s="357">
        <v>2651865</v>
      </c>
      <c r="CP119" s="357">
        <v>0</v>
      </c>
      <c r="CQ119" s="357">
        <v>0</v>
      </c>
      <c r="CR119" s="357">
        <v>2651865</v>
      </c>
      <c r="CS119" s="357">
        <v>132846</v>
      </c>
      <c r="CT119" s="357">
        <v>0</v>
      </c>
      <c r="CU119" s="357">
        <v>0</v>
      </c>
      <c r="CV119" s="357">
        <v>132846</v>
      </c>
      <c r="CW119" s="357">
        <v>12745</v>
      </c>
      <c r="CX119" s="357">
        <v>0</v>
      </c>
      <c r="CY119" s="357">
        <v>0</v>
      </c>
      <c r="CZ119" s="357">
        <v>12745</v>
      </c>
      <c r="DA119" s="357">
        <v>0</v>
      </c>
      <c r="DB119" s="357">
        <v>0</v>
      </c>
      <c r="DC119" s="357">
        <v>0</v>
      </c>
      <c r="DD119" s="357">
        <v>0</v>
      </c>
      <c r="DE119" s="357">
        <v>21154</v>
      </c>
      <c r="DF119" s="357">
        <v>0</v>
      </c>
      <c r="DG119" s="357">
        <v>0</v>
      </c>
      <c r="DH119" s="357">
        <v>21154</v>
      </c>
      <c r="DI119" s="357">
        <v>20583</v>
      </c>
      <c r="DJ119" s="357">
        <v>0</v>
      </c>
      <c r="DK119" s="357">
        <v>0</v>
      </c>
      <c r="DL119" s="357">
        <v>20583</v>
      </c>
      <c r="DM119" s="357">
        <v>0</v>
      </c>
      <c r="DN119" s="357">
        <v>0</v>
      </c>
      <c r="DO119" s="357">
        <v>0</v>
      </c>
      <c r="DP119" s="357">
        <v>0</v>
      </c>
      <c r="DQ119" s="357">
        <v>187328</v>
      </c>
      <c r="DR119" s="357">
        <v>0</v>
      </c>
      <c r="DS119" s="357">
        <v>0</v>
      </c>
      <c r="DT119" s="357">
        <v>0</v>
      </c>
      <c r="DU119" s="357">
        <v>0</v>
      </c>
      <c r="DV119" s="357">
        <v>0</v>
      </c>
      <c r="DW119" s="357">
        <v>187328</v>
      </c>
      <c r="DX119" s="357">
        <v>0</v>
      </c>
      <c r="DY119" s="357">
        <v>0</v>
      </c>
      <c r="DZ119" s="357">
        <v>187328</v>
      </c>
      <c r="EA119" s="357">
        <v>0</v>
      </c>
      <c r="EB119" s="357">
        <v>0</v>
      </c>
      <c r="EC119" s="357">
        <v>0</v>
      </c>
      <c r="ED119" s="357">
        <v>0</v>
      </c>
      <c r="EE119" s="357">
        <v>0</v>
      </c>
      <c r="EF119" s="357">
        <v>0</v>
      </c>
      <c r="EG119" s="357">
        <v>152803</v>
      </c>
      <c r="EH119" s="357">
        <v>0</v>
      </c>
      <c r="EI119" s="357">
        <v>0</v>
      </c>
      <c r="EJ119" s="357">
        <v>152803</v>
      </c>
      <c r="EK119" s="357">
        <v>625000</v>
      </c>
      <c r="EL119" s="357">
        <v>0</v>
      </c>
      <c r="EM119" s="357">
        <v>0</v>
      </c>
      <c r="EN119" s="357">
        <v>625000</v>
      </c>
      <c r="EO119" s="357">
        <v>777803</v>
      </c>
      <c r="EP119" s="357">
        <v>0</v>
      </c>
      <c r="EQ119" s="357">
        <v>0</v>
      </c>
      <c r="ER119" s="357">
        <v>0</v>
      </c>
      <c r="ES119" s="357">
        <v>0</v>
      </c>
      <c r="ET119" s="357">
        <v>0</v>
      </c>
      <c r="EU119" s="357">
        <v>777803</v>
      </c>
      <c r="EV119" s="357">
        <v>0</v>
      </c>
      <c r="EW119" s="357">
        <v>0</v>
      </c>
      <c r="EX119" s="357">
        <v>777803</v>
      </c>
      <c r="EY119" s="357">
        <v>80448762</v>
      </c>
      <c r="EZ119" s="357">
        <v>0</v>
      </c>
      <c r="FA119" s="357">
        <v>0</v>
      </c>
      <c r="FB119" s="357">
        <v>80448762</v>
      </c>
      <c r="FC119" s="277">
        <v>0</v>
      </c>
      <c r="FD119" s="205"/>
    </row>
    <row r="120" spans="1:160" ht="12.75">
      <c r="A120" s="169">
        <v>113</v>
      </c>
      <c r="B120" s="172" t="s">
        <v>133</v>
      </c>
      <c r="C120" s="258" t="s">
        <v>134</v>
      </c>
      <c r="D120" s="235">
        <v>41639</v>
      </c>
      <c r="E120" s="357">
        <v>235047856</v>
      </c>
      <c r="F120" s="357">
        <v>0</v>
      </c>
      <c r="G120" s="357">
        <v>0</v>
      </c>
      <c r="H120" s="357">
        <v>235047856</v>
      </c>
      <c r="I120" s="357">
        <v>110707540</v>
      </c>
      <c r="J120" s="357">
        <v>0</v>
      </c>
      <c r="K120" s="357">
        <v>0</v>
      </c>
      <c r="L120" s="357">
        <v>3321226</v>
      </c>
      <c r="M120" s="357">
        <v>0</v>
      </c>
      <c r="N120" s="357">
        <v>0</v>
      </c>
      <c r="O120" s="357">
        <v>114028766</v>
      </c>
      <c r="P120" s="357">
        <v>0</v>
      </c>
      <c r="Q120" s="357">
        <v>0</v>
      </c>
      <c r="R120" s="357">
        <v>114028766</v>
      </c>
      <c r="S120" s="357">
        <v>666304.15</v>
      </c>
      <c r="T120" s="357">
        <v>0</v>
      </c>
      <c r="U120" s="357">
        <v>0</v>
      </c>
      <c r="V120" s="357">
        <v>666304.15</v>
      </c>
      <c r="W120" s="357">
        <v>19476.18</v>
      </c>
      <c r="X120" s="357">
        <v>0</v>
      </c>
      <c r="Y120" s="357">
        <v>0</v>
      </c>
      <c r="Z120" s="357">
        <v>19476.18</v>
      </c>
      <c r="AA120" s="357">
        <v>646827.97</v>
      </c>
      <c r="AB120" s="357">
        <v>0</v>
      </c>
      <c r="AC120" s="357">
        <v>0</v>
      </c>
      <c r="AD120" s="357">
        <v>0</v>
      </c>
      <c r="AE120" s="357">
        <v>0</v>
      </c>
      <c r="AF120" s="357">
        <v>0</v>
      </c>
      <c r="AG120" s="357">
        <v>646827.97</v>
      </c>
      <c r="AH120" s="357">
        <v>0</v>
      </c>
      <c r="AI120" s="357">
        <v>0</v>
      </c>
      <c r="AJ120" s="357">
        <v>646827.97</v>
      </c>
      <c r="AK120" s="357">
        <v>646827.97</v>
      </c>
      <c r="AL120" s="357">
        <v>0</v>
      </c>
      <c r="AM120" s="357">
        <v>0</v>
      </c>
      <c r="AN120" s="357">
        <v>646827.97</v>
      </c>
      <c r="AO120" s="357">
        <v>5006302.61</v>
      </c>
      <c r="AP120" s="357">
        <v>0</v>
      </c>
      <c r="AQ120" s="357">
        <v>0</v>
      </c>
      <c r="AR120" s="357">
        <v>5006302.61</v>
      </c>
      <c r="AS120" s="357">
        <v>0</v>
      </c>
      <c r="AT120" s="357">
        <v>0</v>
      </c>
      <c r="AU120" s="357">
        <v>0</v>
      </c>
      <c r="AV120" s="357">
        <v>0</v>
      </c>
      <c r="AW120" s="357">
        <v>1941320.87</v>
      </c>
      <c r="AX120" s="357">
        <v>0</v>
      </c>
      <c r="AY120" s="357">
        <v>0</v>
      </c>
      <c r="AZ120" s="357">
        <v>1941320.87</v>
      </c>
      <c r="BA120" s="357">
        <v>3064981.75</v>
      </c>
      <c r="BB120" s="357">
        <v>0</v>
      </c>
      <c r="BC120" s="357">
        <v>0</v>
      </c>
      <c r="BD120" s="357">
        <v>3064981.75</v>
      </c>
      <c r="BE120" s="357">
        <v>10702938.2</v>
      </c>
      <c r="BF120" s="357">
        <v>0</v>
      </c>
      <c r="BG120" s="357">
        <v>0</v>
      </c>
      <c r="BH120" s="357">
        <v>10702938.2</v>
      </c>
      <c r="BI120" s="357">
        <v>0</v>
      </c>
      <c r="BJ120" s="357">
        <v>0</v>
      </c>
      <c r="BK120" s="357">
        <v>0</v>
      </c>
      <c r="BL120" s="357">
        <v>0</v>
      </c>
      <c r="BM120" s="357">
        <v>0</v>
      </c>
      <c r="BN120" s="357">
        <v>0</v>
      </c>
      <c r="BO120" s="357">
        <v>0</v>
      </c>
      <c r="BP120" s="357">
        <v>0</v>
      </c>
      <c r="BQ120" s="357">
        <v>13767919.9</v>
      </c>
      <c r="BR120" s="357">
        <v>0</v>
      </c>
      <c r="BS120" s="357">
        <v>0</v>
      </c>
      <c r="BT120" s="357">
        <v>0</v>
      </c>
      <c r="BU120" s="357">
        <v>0</v>
      </c>
      <c r="BV120" s="357">
        <v>0</v>
      </c>
      <c r="BW120" s="357">
        <v>13767919.9</v>
      </c>
      <c r="BX120" s="357">
        <v>0</v>
      </c>
      <c r="BY120" s="357">
        <v>0</v>
      </c>
      <c r="BZ120" s="357">
        <v>13767919.9</v>
      </c>
      <c r="CA120" s="357">
        <v>0</v>
      </c>
      <c r="CB120" s="357">
        <v>0</v>
      </c>
      <c r="CC120" s="357">
        <v>0</v>
      </c>
      <c r="CD120" s="357">
        <v>0</v>
      </c>
      <c r="CE120" s="357">
        <v>1915857.81</v>
      </c>
      <c r="CF120" s="357">
        <v>0</v>
      </c>
      <c r="CG120" s="357">
        <v>0</v>
      </c>
      <c r="CH120" s="357">
        <v>1915857.81</v>
      </c>
      <c r="CI120" s="357">
        <v>1915857.81</v>
      </c>
      <c r="CJ120" s="357">
        <v>0</v>
      </c>
      <c r="CK120" s="357">
        <v>0</v>
      </c>
      <c r="CL120" s="357">
        <v>0</v>
      </c>
      <c r="CM120" s="357">
        <v>0</v>
      </c>
      <c r="CN120" s="357">
        <v>0</v>
      </c>
      <c r="CO120" s="357">
        <v>1915857.81</v>
      </c>
      <c r="CP120" s="357">
        <v>0</v>
      </c>
      <c r="CQ120" s="357">
        <v>0</v>
      </c>
      <c r="CR120" s="357">
        <v>1915857.81</v>
      </c>
      <c r="CS120" s="357">
        <v>220646.35</v>
      </c>
      <c r="CT120" s="357">
        <v>0</v>
      </c>
      <c r="CU120" s="357">
        <v>0</v>
      </c>
      <c r="CV120" s="357">
        <v>220646.35</v>
      </c>
      <c r="CW120" s="357">
        <v>11543.67</v>
      </c>
      <c r="CX120" s="357">
        <v>0</v>
      </c>
      <c r="CY120" s="357">
        <v>0</v>
      </c>
      <c r="CZ120" s="357">
        <v>11543.67</v>
      </c>
      <c r="DA120" s="357">
        <v>0</v>
      </c>
      <c r="DB120" s="357">
        <v>0</v>
      </c>
      <c r="DC120" s="357">
        <v>0</v>
      </c>
      <c r="DD120" s="357">
        <v>0</v>
      </c>
      <c r="DE120" s="357">
        <v>0</v>
      </c>
      <c r="DF120" s="357">
        <v>0</v>
      </c>
      <c r="DG120" s="357">
        <v>0</v>
      </c>
      <c r="DH120" s="357">
        <v>0</v>
      </c>
      <c r="DI120" s="357">
        <v>0</v>
      </c>
      <c r="DJ120" s="357">
        <v>0</v>
      </c>
      <c r="DK120" s="357">
        <v>0</v>
      </c>
      <c r="DL120" s="357">
        <v>0</v>
      </c>
      <c r="DM120" s="357">
        <v>0</v>
      </c>
      <c r="DN120" s="357">
        <v>0</v>
      </c>
      <c r="DO120" s="357">
        <v>0</v>
      </c>
      <c r="DP120" s="357">
        <v>0</v>
      </c>
      <c r="DQ120" s="357">
        <v>232190.02</v>
      </c>
      <c r="DR120" s="357">
        <v>0</v>
      </c>
      <c r="DS120" s="357">
        <v>0</v>
      </c>
      <c r="DT120" s="357">
        <v>0</v>
      </c>
      <c r="DU120" s="357">
        <v>0</v>
      </c>
      <c r="DV120" s="357">
        <v>0</v>
      </c>
      <c r="DW120" s="357">
        <v>232190.02</v>
      </c>
      <c r="DX120" s="357">
        <v>0</v>
      </c>
      <c r="DY120" s="357">
        <v>0</v>
      </c>
      <c r="DZ120" s="357">
        <v>232190.02</v>
      </c>
      <c r="EA120" s="357">
        <v>0</v>
      </c>
      <c r="EB120" s="357">
        <v>0</v>
      </c>
      <c r="EC120" s="357">
        <v>0</v>
      </c>
      <c r="ED120" s="357">
        <v>0</v>
      </c>
      <c r="EE120" s="357">
        <v>0</v>
      </c>
      <c r="EF120" s="357">
        <v>0</v>
      </c>
      <c r="EG120" s="357">
        <v>79253.4</v>
      </c>
      <c r="EH120" s="357">
        <v>0</v>
      </c>
      <c r="EI120" s="357">
        <v>0</v>
      </c>
      <c r="EJ120" s="357">
        <v>79253.4</v>
      </c>
      <c r="EK120" s="357">
        <v>2528494.71</v>
      </c>
      <c r="EL120" s="357">
        <v>0</v>
      </c>
      <c r="EM120" s="357">
        <v>0</v>
      </c>
      <c r="EN120" s="357">
        <v>2528494.71</v>
      </c>
      <c r="EO120" s="357">
        <v>2607748.11</v>
      </c>
      <c r="EP120" s="357">
        <v>0</v>
      </c>
      <c r="EQ120" s="357">
        <v>0</v>
      </c>
      <c r="ER120" s="357">
        <v>0</v>
      </c>
      <c r="ES120" s="357">
        <v>0</v>
      </c>
      <c r="ET120" s="357">
        <v>0</v>
      </c>
      <c r="EU120" s="357">
        <v>2607748.11</v>
      </c>
      <c r="EV120" s="357">
        <v>0</v>
      </c>
      <c r="EW120" s="357">
        <v>0</v>
      </c>
      <c r="EX120" s="357">
        <v>2607748.11</v>
      </c>
      <c r="EY120" s="357">
        <v>94858222.1</v>
      </c>
      <c r="EZ120" s="357">
        <v>0</v>
      </c>
      <c r="FA120" s="357">
        <v>0</v>
      </c>
      <c r="FB120" s="357">
        <v>94858222.1</v>
      </c>
      <c r="FC120" s="277">
        <v>0</v>
      </c>
      <c r="FD120" s="205"/>
    </row>
    <row r="121" spans="1:160" ht="12.75">
      <c r="A121" s="169">
        <v>114</v>
      </c>
      <c r="B121" s="172" t="s">
        <v>135</v>
      </c>
      <c r="C121" s="258" t="s">
        <v>136</v>
      </c>
      <c r="D121" s="235">
        <v>41639</v>
      </c>
      <c r="E121" s="357">
        <v>132696980</v>
      </c>
      <c r="F121" s="357">
        <v>0</v>
      </c>
      <c r="G121" s="357">
        <v>360250</v>
      </c>
      <c r="H121" s="357">
        <v>133057230</v>
      </c>
      <c r="I121" s="357">
        <v>62500278</v>
      </c>
      <c r="J121" s="357">
        <v>0</v>
      </c>
      <c r="K121" s="357">
        <v>169678</v>
      </c>
      <c r="L121" s="357">
        <v>-3000000</v>
      </c>
      <c r="M121" s="357">
        <v>0</v>
      </c>
      <c r="N121" s="357">
        <v>0</v>
      </c>
      <c r="O121" s="357">
        <v>59500278</v>
      </c>
      <c r="P121" s="357">
        <v>0</v>
      </c>
      <c r="Q121" s="357">
        <v>169678</v>
      </c>
      <c r="R121" s="357">
        <v>59669956</v>
      </c>
      <c r="S121" s="357">
        <v>300000</v>
      </c>
      <c r="T121" s="357">
        <v>0</v>
      </c>
      <c r="U121" s="357">
        <v>0</v>
      </c>
      <c r="V121" s="357">
        <v>300000</v>
      </c>
      <c r="W121" s="357">
        <v>85000</v>
      </c>
      <c r="X121" s="357">
        <v>0</v>
      </c>
      <c r="Y121" s="357">
        <v>0</v>
      </c>
      <c r="Z121" s="357">
        <v>85000</v>
      </c>
      <c r="AA121" s="357">
        <v>215000</v>
      </c>
      <c r="AB121" s="357">
        <v>0</v>
      </c>
      <c r="AC121" s="357">
        <v>0</v>
      </c>
      <c r="AD121" s="357">
        <v>0</v>
      </c>
      <c r="AE121" s="357">
        <v>0</v>
      </c>
      <c r="AF121" s="357">
        <v>0</v>
      </c>
      <c r="AG121" s="357">
        <v>215000</v>
      </c>
      <c r="AH121" s="357">
        <v>0</v>
      </c>
      <c r="AI121" s="357">
        <v>0</v>
      </c>
      <c r="AJ121" s="357">
        <v>215000</v>
      </c>
      <c r="AK121" s="357">
        <v>215000</v>
      </c>
      <c r="AL121" s="357">
        <v>0</v>
      </c>
      <c r="AM121" s="357">
        <v>0</v>
      </c>
      <c r="AN121" s="357">
        <v>215000</v>
      </c>
      <c r="AO121" s="357">
        <v>1872835</v>
      </c>
      <c r="AP121" s="357">
        <v>0</v>
      </c>
      <c r="AQ121" s="357">
        <v>0</v>
      </c>
      <c r="AR121" s="357">
        <v>1872835</v>
      </c>
      <c r="AS121" s="357">
        <v>280925</v>
      </c>
      <c r="AT121" s="357">
        <v>0</v>
      </c>
      <c r="AU121" s="357">
        <v>0</v>
      </c>
      <c r="AV121" s="357">
        <v>280925</v>
      </c>
      <c r="AW121" s="357">
        <v>1081501</v>
      </c>
      <c r="AX121" s="357">
        <v>0</v>
      </c>
      <c r="AY121" s="357">
        <v>0</v>
      </c>
      <c r="AZ121" s="357">
        <v>1081501</v>
      </c>
      <c r="BA121" s="357">
        <v>791334</v>
      </c>
      <c r="BB121" s="357">
        <v>0</v>
      </c>
      <c r="BC121" s="357">
        <v>0</v>
      </c>
      <c r="BD121" s="357">
        <v>791334</v>
      </c>
      <c r="BE121" s="357">
        <v>2038159</v>
      </c>
      <c r="BF121" s="357">
        <v>0</v>
      </c>
      <c r="BG121" s="357">
        <v>0</v>
      </c>
      <c r="BH121" s="357">
        <v>2038159</v>
      </c>
      <c r="BI121" s="357">
        <v>57170</v>
      </c>
      <c r="BJ121" s="357">
        <v>0</v>
      </c>
      <c r="BK121" s="357">
        <v>0</v>
      </c>
      <c r="BL121" s="357">
        <v>57170</v>
      </c>
      <c r="BM121" s="357">
        <v>1537</v>
      </c>
      <c r="BN121" s="357">
        <v>0</v>
      </c>
      <c r="BO121" s="357">
        <v>0</v>
      </c>
      <c r="BP121" s="357">
        <v>1537</v>
      </c>
      <c r="BQ121" s="357">
        <v>2888200</v>
      </c>
      <c r="BR121" s="357">
        <v>0</v>
      </c>
      <c r="BS121" s="357">
        <v>0</v>
      </c>
      <c r="BT121" s="357">
        <v>391099</v>
      </c>
      <c r="BU121" s="357">
        <v>0</v>
      </c>
      <c r="BV121" s="357">
        <v>0</v>
      </c>
      <c r="BW121" s="357">
        <v>3279299</v>
      </c>
      <c r="BX121" s="357">
        <v>0</v>
      </c>
      <c r="BY121" s="357">
        <v>0</v>
      </c>
      <c r="BZ121" s="357">
        <v>3279299</v>
      </c>
      <c r="CA121" s="357">
        <v>243923</v>
      </c>
      <c r="CB121" s="357">
        <v>0</v>
      </c>
      <c r="CC121" s="357">
        <v>0</v>
      </c>
      <c r="CD121" s="357">
        <v>243923</v>
      </c>
      <c r="CE121" s="357">
        <v>1748024</v>
      </c>
      <c r="CF121" s="357">
        <v>0</v>
      </c>
      <c r="CG121" s="357">
        <v>0</v>
      </c>
      <c r="CH121" s="357">
        <v>1748024</v>
      </c>
      <c r="CI121" s="357">
        <v>1991947</v>
      </c>
      <c r="CJ121" s="357">
        <v>0</v>
      </c>
      <c r="CK121" s="357">
        <v>0</v>
      </c>
      <c r="CL121" s="357">
        <v>192283</v>
      </c>
      <c r="CM121" s="357">
        <v>0</v>
      </c>
      <c r="CN121" s="357">
        <v>0</v>
      </c>
      <c r="CO121" s="357">
        <v>2184230</v>
      </c>
      <c r="CP121" s="357">
        <v>0</v>
      </c>
      <c r="CQ121" s="357">
        <v>0</v>
      </c>
      <c r="CR121" s="357">
        <v>2184230</v>
      </c>
      <c r="CS121" s="357">
        <v>65172</v>
      </c>
      <c r="CT121" s="357">
        <v>0</v>
      </c>
      <c r="CU121" s="357">
        <v>0</v>
      </c>
      <c r="CV121" s="357">
        <v>65172</v>
      </c>
      <c r="CW121" s="357">
        <v>254545</v>
      </c>
      <c r="CX121" s="357">
        <v>0</v>
      </c>
      <c r="CY121" s="357">
        <v>0</v>
      </c>
      <c r="CZ121" s="357">
        <v>254545</v>
      </c>
      <c r="DA121" s="357">
        <v>5572</v>
      </c>
      <c r="DB121" s="357">
        <v>0</v>
      </c>
      <c r="DC121" s="357">
        <v>0</v>
      </c>
      <c r="DD121" s="357">
        <v>5572</v>
      </c>
      <c r="DE121" s="357">
        <v>0</v>
      </c>
      <c r="DF121" s="357">
        <v>0</v>
      </c>
      <c r="DG121" s="357">
        <v>0</v>
      </c>
      <c r="DH121" s="357">
        <v>0</v>
      </c>
      <c r="DI121" s="357">
        <v>0</v>
      </c>
      <c r="DJ121" s="357">
        <v>0</v>
      </c>
      <c r="DK121" s="357">
        <v>0</v>
      </c>
      <c r="DL121" s="357">
        <v>0</v>
      </c>
      <c r="DM121" s="357">
        <v>0</v>
      </c>
      <c r="DN121" s="357">
        <v>0</v>
      </c>
      <c r="DO121" s="357">
        <v>0</v>
      </c>
      <c r="DP121" s="357">
        <v>0</v>
      </c>
      <c r="DQ121" s="357">
        <v>325289</v>
      </c>
      <c r="DR121" s="357">
        <v>0</v>
      </c>
      <c r="DS121" s="357">
        <v>0</v>
      </c>
      <c r="DT121" s="357">
        <v>32529</v>
      </c>
      <c r="DU121" s="357">
        <v>0</v>
      </c>
      <c r="DV121" s="357">
        <v>0</v>
      </c>
      <c r="DW121" s="357">
        <v>357818</v>
      </c>
      <c r="DX121" s="357">
        <v>0</v>
      </c>
      <c r="DY121" s="357">
        <v>0</v>
      </c>
      <c r="DZ121" s="357">
        <v>357818</v>
      </c>
      <c r="EA121" s="357">
        <v>138503</v>
      </c>
      <c r="EB121" s="357">
        <v>31799</v>
      </c>
      <c r="EC121" s="357">
        <v>30000</v>
      </c>
      <c r="ED121" s="357">
        <v>0</v>
      </c>
      <c r="EE121" s="357">
        <v>0</v>
      </c>
      <c r="EF121" s="357">
        <v>30000</v>
      </c>
      <c r="EG121" s="357">
        <v>100000</v>
      </c>
      <c r="EH121" s="357">
        <v>0</v>
      </c>
      <c r="EI121" s="357">
        <v>0</v>
      </c>
      <c r="EJ121" s="357">
        <v>100000</v>
      </c>
      <c r="EK121" s="357">
        <v>441890</v>
      </c>
      <c r="EL121" s="357">
        <v>0</v>
      </c>
      <c r="EM121" s="357">
        <v>0</v>
      </c>
      <c r="EN121" s="357">
        <v>441890</v>
      </c>
      <c r="EO121" s="357">
        <v>571890</v>
      </c>
      <c r="EP121" s="357">
        <v>0</v>
      </c>
      <c r="EQ121" s="357">
        <v>0</v>
      </c>
      <c r="ER121" s="357">
        <v>0</v>
      </c>
      <c r="ES121" s="357">
        <v>0</v>
      </c>
      <c r="ET121" s="357">
        <v>0</v>
      </c>
      <c r="EU121" s="357">
        <v>571890</v>
      </c>
      <c r="EV121" s="357">
        <v>0</v>
      </c>
      <c r="EW121" s="357">
        <v>0</v>
      </c>
      <c r="EX121" s="357">
        <v>571890</v>
      </c>
      <c r="EY121" s="357">
        <v>52892041</v>
      </c>
      <c r="EZ121" s="357">
        <v>0</v>
      </c>
      <c r="FA121" s="357">
        <v>169678</v>
      </c>
      <c r="FB121" s="357">
        <v>53061719</v>
      </c>
      <c r="FC121" s="277">
        <v>0</v>
      </c>
      <c r="FD121" s="205"/>
    </row>
    <row r="122" spans="1:160" ht="12.75">
      <c r="A122" s="169">
        <v>115</v>
      </c>
      <c r="B122" s="172" t="s">
        <v>137</v>
      </c>
      <c r="C122" s="258" t="s">
        <v>138</v>
      </c>
      <c r="D122" s="235">
        <v>41639</v>
      </c>
      <c r="E122" s="357">
        <v>66266435</v>
      </c>
      <c r="F122" s="357">
        <v>0</v>
      </c>
      <c r="G122" s="357">
        <v>0</v>
      </c>
      <c r="H122" s="357">
        <v>66266435</v>
      </c>
      <c r="I122" s="357">
        <v>31211491</v>
      </c>
      <c r="J122" s="357">
        <v>0</v>
      </c>
      <c r="K122" s="357">
        <v>0</v>
      </c>
      <c r="L122" s="357">
        <v>0</v>
      </c>
      <c r="M122" s="357">
        <v>0</v>
      </c>
      <c r="N122" s="357">
        <v>0</v>
      </c>
      <c r="O122" s="357">
        <v>31211491</v>
      </c>
      <c r="P122" s="357">
        <v>0</v>
      </c>
      <c r="Q122" s="357">
        <v>0</v>
      </c>
      <c r="R122" s="357">
        <v>31211491</v>
      </c>
      <c r="S122" s="357">
        <v>31253</v>
      </c>
      <c r="T122" s="357">
        <v>0</v>
      </c>
      <c r="U122" s="357">
        <v>0</v>
      </c>
      <c r="V122" s="357">
        <v>31253</v>
      </c>
      <c r="W122" s="357">
        <v>1470</v>
      </c>
      <c r="X122" s="357">
        <v>0</v>
      </c>
      <c r="Y122" s="357">
        <v>0</v>
      </c>
      <c r="Z122" s="357">
        <v>1470</v>
      </c>
      <c r="AA122" s="357">
        <v>29783</v>
      </c>
      <c r="AB122" s="357">
        <v>0</v>
      </c>
      <c r="AC122" s="357">
        <v>0</v>
      </c>
      <c r="AD122" s="357">
        <v>0</v>
      </c>
      <c r="AE122" s="357">
        <v>0</v>
      </c>
      <c r="AF122" s="357">
        <v>0</v>
      </c>
      <c r="AG122" s="357">
        <v>29783</v>
      </c>
      <c r="AH122" s="357">
        <v>0</v>
      </c>
      <c r="AI122" s="357">
        <v>0</v>
      </c>
      <c r="AJ122" s="357">
        <v>29783</v>
      </c>
      <c r="AK122" s="357">
        <v>29783</v>
      </c>
      <c r="AL122" s="357">
        <v>0</v>
      </c>
      <c r="AM122" s="357">
        <v>0</v>
      </c>
      <c r="AN122" s="357">
        <v>29783</v>
      </c>
      <c r="AO122" s="357">
        <v>2385032</v>
      </c>
      <c r="AP122" s="357">
        <v>0</v>
      </c>
      <c r="AQ122" s="357">
        <v>0</v>
      </c>
      <c r="AR122" s="357">
        <v>2385032</v>
      </c>
      <c r="AS122" s="357">
        <v>0</v>
      </c>
      <c r="AT122" s="357">
        <v>0</v>
      </c>
      <c r="AU122" s="357">
        <v>0</v>
      </c>
      <c r="AV122" s="357">
        <v>0</v>
      </c>
      <c r="AW122" s="357">
        <v>555960</v>
      </c>
      <c r="AX122" s="357">
        <v>0</v>
      </c>
      <c r="AY122" s="357">
        <v>0</v>
      </c>
      <c r="AZ122" s="357">
        <v>555960</v>
      </c>
      <c r="BA122" s="357">
        <v>1829072</v>
      </c>
      <c r="BB122" s="357">
        <v>0</v>
      </c>
      <c r="BC122" s="357">
        <v>0</v>
      </c>
      <c r="BD122" s="357">
        <v>1829072</v>
      </c>
      <c r="BE122" s="357">
        <v>778840</v>
      </c>
      <c r="BF122" s="357">
        <v>0</v>
      </c>
      <c r="BG122" s="357">
        <v>0</v>
      </c>
      <c r="BH122" s="357">
        <v>778840</v>
      </c>
      <c r="BI122" s="357">
        <v>96878</v>
      </c>
      <c r="BJ122" s="357">
        <v>0</v>
      </c>
      <c r="BK122" s="357">
        <v>0</v>
      </c>
      <c r="BL122" s="357">
        <v>96878</v>
      </c>
      <c r="BM122" s="357">
        <v>62111</v>
      </c>
      <c r="BN122" s="357">
        <v>0</v>
      </c>
      <c r="BO122" s="357">
        <v>0</v>
      </c>
      <c r="BP122" s="357">
        <v>62111</v>
      </c>
      <c r="BQ122" s="357">
        <v>2766901</v>
      </c>
      <c r="BR122" s="357">
        <v>0</v>
      </c>
      <c r="BS122" s="357">
        <v>0</v>
      </c>
      <c r="BT122" s="357">
        <v>0</v>
      </c>
      <c r="BU122" s="357">
        <v>0</v>
      </c>
      <c r="BV122" s="357">
        <v>0</v>
      </c>
      <c r="BW122" s="357">
        <v>2766901</v>
      </c>
      <c r="BX122" s="357">
        <v>0</v>
      </c>
      <c r="BY122" s="357">
        <v>0</v>
      </c>
      <c r="BZ122" s="357">
        <v>2766901</v>
      </c>
      <c r="CA122" s="357">
        <v>2000</v>
      </c>
      <c r="CB122" s="357">
        <v>0</v>
      </c>
      <c r="CC122" s="357">
        <v>0</v>
      </c>
      <c r="CD122" s="357">
        <v>2000</v>
      </c>
      <c r="CE122" s="357">
        <v>464508</v>
      </c>
      <c r="CF122" s="357">
        <v>0</v>
      </c>
      <c r="CG122" s="357">
        <v>0</v>
      </c>
      <c r="CH122" s="357">
        <v>464508</v>
      </c>
      <c r="CI122" s="357">
        <v>466508</v>
      </c>
      <c r="CJ122" s="357">
        <v>0</v>
      </c>
      <c r="CK122" s="357">
        <v>0</v>
      </c>
      <c r="CL122" s="357">
        <v>0</v>
      </c>
      <c r="CM122" s="357">
        <v>0</v>
      </c>
      <c r="CN122" s="357">
        <v>0</v>
      </c>
      <c r="CO122" s="357">
        <v>466508</v>
      </c>
      <c r="CP122" s="357">
        <v>0</v>
      </c>
      <c r="CQ122" s="357">
        <v>0</v>
      </c>
      <c r="CR122" s="357">
        <v>466508</v>
      </c>
      <c r="CS122" s="357">
        <v>69529</v>
      </c>
      <c r="CT122" s="357">
        <v>0</v>
      </c>
      <c r="CU122" s="357">
        <v>0</v>
      </c>
      <c r="CV122" s="357">
        <v>69529</v>
      </c>
      <c r="CW122" s="357">
        <v>26096</v>
      </c>
      <c r="CX122" s="357">
        <v>0</v>
      </c>
      <c r="CY122" s="357">
        <v>0</v>
      </c>
      <c r="CZ122" s="357">
        <v>26096</v>
      </c>
      <c r="DA122" s="357">
        <v>1316</v>
      </c>
      <c r="DB122" s="357">
        <v>0</v>
      </c>
      <c r="DC122" s="357">
        <v>0</v>
      </c>
      <c r="DD122" s="357">
        <v>1316</v>
      </c>
      <c r="DE122" s="357">
        <v>15458</v>
      </c>
      <c r="DF122" s="357">
        <v>0</v>
      </c>
      <c r="DG122" s="357">
        <v>0</v>
      </c>
      <c r="DH122" s="357">
        <v>15458</v>
      </c>
      <c r="DI122" s="357">
        <v>363</v>
      </c>
      <c r="DJ122" s="357">
        <v>0</v>
      </c>
      <c r="DK122" s="357">
        <v>0</v>
      </c>
      <c r="DL122" s="357">
        <v>363</v>
      </c>
      <c r="DM122" s="357">
        <v>0</v>
      </c>
      <c r="DN122" s="357">
        <v>0</v>
      </c>
      <c r="DO122" s="357">
        <v>0</v>
      </c>
      <c r="DP122" s="357">
        <v>0</v>
      </c>
      <c r="DQ122" s="357">
        <v>112762</v>
      </c>
      <c r="DR122" s="357">
        <v>0</v>
      </c>
      <c r="DS122" s="357">
        <v>0</v>
      </c>
      <c r="DT122" s="357">
        <v>0</v>
      </c>
      <c r="DU122" s="357">
        <v>0</v>
      </c>
      <c r="DV122" s="357">
        <v>0</v>
      </c>
      <c r="DW122" s="357">
        <v>112762</v>
      </c>
      <c r="DX122" s="357">
        <v>0</v>
      </c>
      <c r="DY122" s="357">
        <v>0</v>
      </c>
      <c r="DZ122" s="357">
        <v>112762</v>
      </c>
      <c r="EA122" s="357">
        <v>0</v>
      </c>
      <c r="EB122" s="357">
        <v>0</v>
      </c>
      <c r="EC122" s="357">
        <v>20000</v>
      </c>
      <c r="ED122" s="357">
        <v>0</v>
      </c>
      <c r="EE122" s="357">
        <v>0</v>
      </c>
      <c r="EF122" s="357">
        <v>20000</v>
      </c>
      <c r="EG122" s="357">
        <v>20000</v>
      </c>
      <c r="EH122" s="357">
        <v>0</v>
      </c>
      <c r="EI122" s="357">
        <v>0</v>
      </c>
      <c r="EJ122" s="357">
        <v>20000</v>
      </c>
      <c r="EK122" s="357">
        <v>500000</v>
      </c>
      <c r="EL122" s="357">
        <v>0</v>
      </c>
      <c r="EM122" s="357">
        <v>0</v>
      </c>
      <c r="EN122" s="357">
        <v>500000</v>
      </c>
      <c r="EO122" s="357">
        <v>540000</v>
      </c>
      <c r="EP122" s="357">
        <v>0</v>
      </c>
      <c r="EQ122" s="357">
        <v>0</v>
      </c>
      <c r="ER122" s="357">
        <v>0</v>
      </c>
      <c r="ES122" s="357">
        <v>0</v>
      </c>
      <c r="ET122" s="357">
        <v>0</v>
      </c>
      <c r="EU122" s="357">
        <v>540000</v>
      </c>
      <c r="EV122" s="357">
        <v>0</v>
      </c>
      <c r="EW122" s="357">
        <v>0</v>
      </c>
      <c r="EX122" s="357">
        <v>540000</v>
      </c>
      <c r="EY122" s="357">
        <v>27295537</v>
      </c>
      <c r="EZ122" s="357">
        <v>0</v>
      </c>
      <c r="FA122" s="357">
        <v>0</v>
      </c>
      <c r="FB122" s="357">
        <v>27295537</v>
      </c>
      <c r="FC122" s="277">
        <v>0</v>
      </c>
      <c r="FD122" s="205"/>
    </row>
    <row r="123" spans="1:160" ht="12.75">
      <c r="A123" s="169">
        <v>116</v>
      </c>
      <c r="B123" s="172" t="s">
        <v>139</v>
      </c>
      <c r="C123" s="258" t="s">
        <v>140</v>
      </c>
      <c r="D123" s="235">
        <v>41639</v>
      </c>
      <c r="E123" s="357">
        <v>446794017</v>
      </c>
      <c r="F123" s="357">
        <v>0</v>
      </c>
      <c r="G123" s="357">
        <v>0</v>
      </c>
      <c r="H123" s="357">
        <v>446794017</v>
      </c>
      <c r="I123" s="357">
        <v>210439982</v>
      </c>
      <c r="J123" s="357">
        <v>0</v>
      </c>
      <c r="K123" s="357">
        <v>0</v>
      </c>
      <c r="L123" s="357">
        <v>0</v>
      </c>
      <c r="M123" s="357">
        <v>0</v>
      </c>
      <c r="N123" s="357">
        <v>0</v>
      </c>
      <c r="O123" s="357">
        <v>210439982</v>
      </c>
      <c r="P123" s="357">
        <v>0</v>
      </c>
      <c r="Q123" s="357">
        <v>0</v>
      </c>
      <c r="R123" s="357">
        <v>210439982</v>
      </c>
      <c r="S123" s="357">
        <v>162525</v>
      </c>
      <c r="T123" s="357">
        <v>0</v>
      </c>
      <c r="U123" s="357">
        <v>0</v>
      </c>
      <c r="V123" s="357">
        <v>162525</v>
      </c>
      <c r="W123" s="357">
        <v>108191</v>
      </c>
      <c r="X123" s="357">
        <v>0</v>
      </c>
      <c r="Y123" s="357">
        <v>0</v>
      </c>
      <c r="Z123" s="357">
        <v>108191</v>
      </c>
      <c r="AA123" s="357">
        <v>54334</v>
      </c>
      <c r="AB123" s="357">
        <v>0</v>
      </c>
      <c r="AC123" s="357">
        <v>0</v>
      </c>
      <c r="AD123" s="357">
        <v>-762455</v>
      </c>
      <c r="AE123" s="357">
        <v>0</v>
      </c>
      <c r="AF123" s="357">
        <v>0</v>
      </c>
      <c r="AG123" s="357">
        <v>-708121</v>
      </c>
      <c r="AH123" s="357">
        <v>0</v>
      </c>
      <c r="AI123" s="357">
        <v>0</v>
      </c>
      <c r="AJ123" s="357">
        <v>-708121</v>
      </c>
      <c r="AK123" s="357">
        <v>-708121</v>
      </c>
      <c r="AL123" s="357">
        <v>0</v>
      </c>
      <c r="AM123" s="357">
        <v>0</v>
      </c>
      <c r="AN123" s="357">
        <v>-708121</v>
      </c>
      <c r="AO123" s="357">
        <v>2077593</v>
      </c>
      <c r="AP123" s="357">
        <v>0</v>
      </c>
      <c r="AQ123" s="357">
        <v>0</v>
      </c>
      <c r="AR123" s="357">
        <v>2077593</v>
      </c>
      <c r="AS123" s="357">
        <v>103880</v>
      </c>
      <c r="AT123" s="357">
        <v>0</v>
      </c>
      <c r="AU123" s="357">
        <v>0</v>
      </c>
      <c r="AV123" s="357">
        <v>103880</v>
      </c>
      <c r="AW123" s="357">
        <v>4344886</v>
      </c>
      <c r="AX123" s="357">
        <v>0</v>
      </c>
      <c r="AY123" s="357">
        <v>0</v>
      </c>
      <c r="AZ123" s="357">
        <v>4344886</v>
      </c>
      <c r="BA123" s="357">
        <v>-2267293</v>
      </c>
      <c r="BB123" s="357">
        <v>0</v>
      </c>
      <c r="BC123" s="357">
        <v>0</v>
      </c>
      <c r="BD123" s="357">
        <v>-2267293</v>
      </c>
      <c r="BE123" s="357">
        <v>8035659</v>
      </c>
      <c r="BF123" s="357">
        <v>0</v>
      </c>
      <c r="BG123" s="357">
        <v>0</v>
      </c>
      <c r="BH123" s="357">
        <v>8035659</v>
      </c>
      <c r="BI123" s="357">
        <v>0</v>
      </c>
      <c r="BJ123" s="357">
        <v>0</v>
      </c>
      <c r="BK123" s="357">
        <v>0</v>
      </c>
      <c r="BL123" s="357">
        <v>0</v>
      </c>
      <c r="BM123" s="357">
        <v>0</v>
      </c>
      <c r="BN123" s="357">
        <v>0</v>
      </c>
      <c r="BO123" s="357">
        <v>0</v>
      </c>
      <c r="BP123" s="357">
        <v>0</v>
      </c>
      <c r="BQ123" s="357">
        <v>5768366</v>
      </c>
      <c r="BR123" s="357">
        <v>0</v>
      </c>
      <c r="BS123" s="357">
        <v>0</v>
      </c>
      <c r="BT123" s="357">
        <v>288418</v>
      </c>
      <c r="BU123" s="357">
        <v>0</v>
      </c>
      <c r="BV123" s="357">
        <v>0</v>
      </c>
      <c r="BW123" s="357">
        <v>6056784</v>
      </c>
      <c r="BX123" s="357">
        <v>0</v>
      </c>
      <c r="BY123" s="357">
        <v>0</v>
      </c>
      <c r="BZ123" s="357">
        <v>6056784</v>
      </c>
      <c r="CA123" s="357">
        <v>1274408</v>
      </c>
      <c r="CB123" s="357">
        <v>0</v>
      </c>
      <c r="CC123" s="357">
        <v>0</v>
      </c>
      <c r="CD123" s="357">
        <v>1274408</v>
      </c>
      <c r="CE123" s="357">
        <v>4183628</v>
      </c>
      <c r="CF123" s="357">
        <v>0</v>
      </c>
      <c r="CG123" s="357">
        <v>0</v>
      </c>
      <c r="CH123" s="357">
        <v>4183628</v>
      </c>
      <c r="CI123" s="357">
        <v>5458036</v>
      </c>
      <c r="CJ123" s="357">
        <v>0</v>
      </c>
      <c r="CK123" s="357">
        <v>0</v>
      </c>
      <c r="CL123" s="357">
        <v>0</v>
      </c>
      <c r="CM123" s="357">
        <v>0</v>
      </c>
      <c r="CN123" s="357">
        <v>0</v>
      </c>
      <c r="CO123" s="357">
        <v>5458036</v>
      </c>
      <c r="CP123" s="357">
        <v>0</v>
      </c>
      <c r="CQ123" s="357">
        <v>0</v>
      </c>
      <c r="CR123" s="357">
        <v>5458036</v>
      </c>
      <c r="CS123" s="357">
        <v>47894</v>
      </c>
      <c r="CT123" s="357">
        <v>0</v>
      </c>
      <c r="CU123" s="357">
        <v>0</v>
      </c>
      <c r="CV123" s="357">
        <v>47894</v>
      </c>
      <c r="CW123" s="357">
        <v>80310</v>
      </c>
      <c r="CX123" s="357">
        <v>0</v>
      </c>
      <c r="CY123" s="357">
        <v>0</v>
      </c>
      <c r="CZ123" s="357">
        <v>80310</v>
      </c>
      <c r="DA123" s="357">
        <v>0</v>
      </c>
      <c r="DB123" s="357">
        <v>0</v>
      </c>
      <c r="DC123" s="357">
        <v>0</v>
      </c>
      <c r="DD123" s="357">
        <v>0</v>
      </c>
      <c r="DE123" s="357">
        <v>0</v>
      </c>
      <c r="DF123" s="357">
        <v>0</v>
      </c>
      <c r="DG123" s="357">
        <v>0</v>
      </c>
      <c r="DH123" s="357">
        <v>0</v>
      </c>
      <c r="DI123" s="357">
        <v>0</v>
      </c>
      <c r="DJ123" s="357">
        <v>0</v>
      </c>
      <c r="DK123" s="357">
        <v>0</v>
      </c>
      <c r="DL123" s="357">
        <v>0</v>
      </c>
      <c r="DM123" s="357">
        <v>0</v>
      </c>
      <c r="DN123" s="357">
        <v>0</v>
      </c>
      <c r="DO123" s="357">
        <v>0</v>
      </c>
      <c r="DP123" s="357">
        <v>0</v>
      </c>
      <c r="DQ123" s="357">
        <v>128204</v>
      </c>
      <c r="DR123" s="357">
        <v>0</v>
      </c>
      <c r="DS123" s="357">
        <v>0</v>
      </c>
      <c r="DT123" s="357">
        <v>0</v>
      </c>
      <c r="DU123" s="357">
        <v>0</v>
      </c>
      <c r="DV123" s="357">
        <v>0</v>
      </c>
      <c r="DW123" s="357">
        <v>128204</v>
      </c>
      <c r="DX123" s="357">
        <v>0</v>
      </c>
      <c r="DY123" s="357">
        <v>0</v>
      </c>
      <c r="DZ123" s="357">
        <v>128204</v>
      </c>
      <c r="EA123" s="357">
        <v>0</v>
      </c>
      <c r="EB123" s="357">
        <v>0</v>
      </c>
      <c r="EC123" s="357">
        <v>418362</v>
      </c>
      <c r="ED123" s="357">
        <v>0</v>
      </c>
      <c r="EE123" s="357">
        <v>0</v>
      </c>
      <c r="EF123" s="357">
        <v>418362</v>
      </c>
      <c r="EG123" s="357">
        <v>304136</v>
      </c>
      <c r="EH123" s="357">
        <v>0</v>
      </c>
      <c r="EI123" s="357">
        <v>0</v>
      </c>
      <c r="EJ123" s="357">
        <v>304136</v>
      </c>
      <c r="EK123" s="357">
        <v>2165190</v>
      </c>
      <c r="EL123" s="357">
        <v>0</v>
      </c>
      <c r="EM123" s="357">
        <v>0</v>
      </c>
      <c r="EN123" s="357">
        <v>2165190</v>
      </c>
      <c r="EO123" s="357">
        <v>2887688</v>
      </c>
      <c r="EP123" s="357">
        <v>0</v>
      </c>
      <c r="EQ123" s="357">
        <v>0</v>
      </c>
      <c r="ER123" s="357">
        <v>0</v>
      </c>
      <c r="ES123" s="357">
        <v>0</v>
      </c>
      <c r="ET123" s="357">
        <v>0</v>
      </c>
      <c r="EU123" s="357">
        <v>2887688</v>
      </c>
      <c r="EV123" s="357">
        <v>0</v>
      </c>
      <c r="EW123" s="357">
        <v>0</v>
      </c>
      <c r="EX123" s="357">
        <v>2887688</v>
      </c>
      <c r="EY123" s="357">
        <v>196617391</v>
      </c>
      <c r="EZ123" s="357">
        <v>0</v>
      </c>
      <c r="FA123" s="357">
        <v>0</v>
      </c>
      <c r="FB123" s="357">
        <v>196617391</v>
      </c>
      <c r="FC123" s="277">
        <v>0</v>
      </c>
      <c r="FD123" s="205"/>
    </row>
    <row r="124" spans="1:160" ht="12.75">
      <c r="A124" s="169">
        <v>117</v>
      </c>
      <c r="B124" s="172" t="s">
        <v>141</v>
      </c>
      <c r="C124" s="258" t="s">
        <v>142</v>
      </c>
      <c r="D124" s="235">
        <v>41654</v>
      </c>
      <c r="E124" s="357">
        <v>88607054</v>
      </c>
      <c r="F124" s="357">
        <v>0</v>
      </c>
      <c r="G124" s="357">
        <v>0</v>
      </c>
      <c r="H124" s="357">
        <v>88607054</v>
      </c>
      <c r="I124" s="357">
        <v>41733922</v>
      </c>
      <c r="J124" s="357">
        <v>0</v>
      </c>
      <c r="K124" s="357">
        <v>0</v>
      </c>
      <c r="L124" s="357">
        <v>85000</v>
      </c>
      <c r="M124" s="357">
        <v>0</v>
      </c>
      <c r="N124" s="357">
        <v>0</v>
      </c>
      <c r="O124" s="357">
        <v>41818922</v>
      </c>
      <c r="P124" s="357">
        <v>0</v>
      </c>
      <c r="Q124" s="357">
        <v>0</v>
      </c>
      <c r="R124" s="357">
        <v>41818922</v>
      </c>
      <c r="S124" s="357">
        <v>19164.13</v>
      </c>
      <c r="T124" s="357">
        <v>0</v>
      </c>
      <c r="U124" s="357">
        <v>0</v>
      </c>
      <c r="V124" s="357">
        <v>19164.13</v>
      </c>
      <c r="W124" s="357">
        <v>5033.29</v>
      </c>
      <c r="X124" s="357">
        <v>0</v>
      </c>
      <c r="Y124" s="357">
        <v>0</v>
      </c>
      <c r="Z124" s="357">
        <v>5033.29</v>
      </c>
      <c r="AA124" s="357">
        <v>14130.84</v>
      </c>
      <c r="AB124" s="357">
        <v>0</v>
      </c>
      <c r="AC124" s="357">
        <v>0</v>
      </c>
      <c r="AD124" s="357">
        <v>0</v>
      </c>
      <c r="AE124" s="357">
        <v>0</v>
      </c>
      <c r="AF124" s="357">
        <v>0</v>
      </c>
      <c r="AG124" s="357">
        <v>14130.84</v>
      </c>
      <c r="AH124" s="357">
        <v>0</v>
      </c>
      <c r="AI124" s="357">
        <v>0</v>
      </c>
      <c r="AJ124" s="357">
        <v>14130.84</v>
      </c>
      <c r="AK124" s="357">
        <v>14130.84</v>
      </c>
      <c r="AL124" s="357">
        <v>0</v>
      </c>
      <c r="AM124" s="357">
        <v>0</v>
      </c>
      <c r="AN124" s="357">
        <v>14130.84</v>
      </c>
      <c r="AO124" s="357">
        <v>1560158.11</v>
      </c>
      <c r="AP124" s="357">
        <v>0</v>
      </c>
      <c r="AQ124" s="357">
        <v>0</v>
      </c>
      <c r="AR124" s="357">
        <v>1560158.11</v>
      </c>
      <c r="AS124" s="357">
        <v>0</v>
      </c>
      <c r="AT124" s="357">
        <v>0</v>
      </c>
      <c r="AU124" s="357">
        <v>0</v>
      </c>
      <c r="AV124" s="357">
        <v>0</v>
      </c>
      <c r="AW124" s="357">
        <v>848529.9</v>
      </c>
      <c r="AX124" s="357">
        <v>0</v>
      </c>
      <c r="AY124" s="357">
        <v>0</v>
      </c>
      <c r="AZ124" s="357">
        <v>848529.9</v>
      </c>
      <c r="BA124" s="357">
        <v>711628.21</v>
      </c>
      <c r="BB124" s="357">
        <v>0</v>
      </c>
      <c r="BC124" s="357">
        <v>0</v>
      </c>
      <c r="BD124" s="357">
        <v>711628.21</v>
      </c>
      <c r="BE124" s="357">
        <v>1532533.78</v>
      </c>
      <c r="BF124" s="357">
        <v>0</v>
      </c>
      <c r="BG124" s="357">
        <v>0</v>
      </c>
      <c r="BH124" s="357">
        <v>1532533.78</v>
      </c>
      <c r="BI124" s="357">
        <v>39510.75</v>
      </c>
      <c r="BJ124" s="357">
        <v>0</v>
      </c>
      <c r="BK124" s="357">
        <v>0</v>
      </c>
      <c r="BL124" s="357">
        <v>39510.75</v>
      </c>
      <c r="BM124" s="357">
        <v>32228.96</v>
      </c>
      <c r="BN124" s="357">
        <v>0</v>
      </c>
      <c r="BO124" s="357">
        <v>0</v>
      </c>
      <c r="BP124" s="357">
        <v>32228.96</v>
      </c>
      <c r="BQ124" s="357">
        <v>2315901.7</v>
      </c>
      <c r="BR124" s="357">
        <v>0</v>
      </c>
      <c r="BS124" s="357">
        <v>0</v>
      </c>
      <c r="BT124" s="357">
        <v>0</v>
      </c>
      <c r="BU124" s="357">
        <v>0</v>
      </c>
      <c r="BV124" s="357">
        <v>0</v>
      </c>
      <c r="BW124" s="357">
        <v>2315901.7</v>
      </c>
      <c r="BX124" s="357">
        <v>0</v>
      </c>
      <c r="BY124" s="357">
        <v>0</v>
      </c>
      <c r="BZ124" s="357">
        <v>2315901.7</v>
      </c>
      <c r="CA124" s="357">
        <v>500000</v>
      </c>
      <c r="CB124" s="357">
        <v>0</v>
      </c>
      <c r="CC124" s="357">
        <v>0</v>
      </c>
      <c r="CD124" s="357">
        <v>500000</v>
      </c>
      <c r="CE124" s="357">
        <v>843584</v>
      </c>
      <c r="CF124" s="357">
        <v>0</v>
      </c>
      <c r="CG124" s="357">
        <v>0</v>
      </c>
      <c r="CH124" s="357">
        <v>843584</v>
      </c>
      <c r="CI124" s="357">
        <v>1343584</v>
      </c>
      <c r="CJ124" s="357">
        <v>0</v>
      </c>
      <c r="CK124" s="357">
        <v>0</v>
      </c>
      <c r="CL124" s="357">
        <v>0</v>
      </c>
      <c r="CM124" s="357">
        <v>0</v>
      </c>
      <c r="CN124" s="357">
        <v>0</v>
      </c>
      <c r="CO124" s="357">
        <v>1343584</v>
      </c>
      <c r="CP124" s="357">
        <v>0</v>
      </c>
      <c r="CQ124" s="357">
        <v>0</v>
      </c>
      <c r="CR124" s="357">
        <v>1343584</v>
      </c>
      <c r="CS124" s="357">
        <v>21780.62</v>
      </c>
      <c r="CT124" s="357">
        <v>0</v>
      </c>
      <c r="CU124" s="357">
        <v>0</v>
      </c>
      <c r="CV124" s="357">
        <v>21780.62</v>
      </c>
      <c r="CW124" s="357">
        <v>33504.88</v>
      </c>
      <c r="CX124" s="357">
        <v>0</v>
      </c>
      <c r="CY124" s="357">
        <v>0</v>
      </c>
      <c r="CZ124" s="357">
        <v>33504.88</v>
      </c>
      <c r="DA124" s="357">
        <v>9877.69</v>
      </c>
      <c r="DB124" s="357">
        <v>0</v>
      </c>
      <c r="DC124" s="357">
        <v>0</v>
      </c>
      <c r="DD124" s="357">
        <v>9877.69</v>
      </c>
      <c r="DE124" s="357">
        <v>32228.9</v>
      </c>
      <c r="DF124" s="357">
        <v>0</v>
      </c>
      <c r="DG124" s="357">
        <v>0</v>
      </c>
      <c r="DH124" s="357">
        <v>32228.9</v>
      </c>
      <c r="DI124" s="357">
        <v>0</v>
      </c>
      <c r="DJ124" s="357">
        <v>0</v>
      </c>
      <c r="DK124" s="357">
        <v>0</v>
      </c>
      <c r="DL124" s="357">
        <v>0</v>
      </c>
      <c r="DM124" s="357">
        <v>0</v>
      </c>
      <c r="DN124" s="357">
        <v>0</v>
      </c>
      <c r="DO124" s="357">
        <v>0</v>
      </c>
      <c r="DP124" s="357">
        <v>0</v>
      </c>
      <c r="DQ124" s="357">
        <v>97392.09</v>
      </c>
      <c r="DR124" s="357">
        <v>0</v>
      </c>
      <c r="DS124" s="357">
        <v>0</v>
      </c>
      <c r="DT124" s="357">
        <v>0</v>
      </c>
      <c r="DU124" s="357">
        <v>0</v>
      </c>
      <c r="DV124" s="357">
        <v>0</v>
      </c>
      <c r="DW124" s="357">
        <v>97392.09</v>
      </c>
      <c r="DX124" s="357">
        <v>0</v>
      </c>
      <c r="DY124" s="357">
        <v>0</v>
      </c>
      <c r="DZ124" s="357">
        <v>97392.09</v>
      </c>
      <c r="EA124" s="357">
        <v>0</v>
      </c>
      <c r="EB124" s="357">
        <v>0</v>
      </c>
      <c r="EC124" s="357">
        <v>4482.6</v>
      </c>
      <c r="ED124" s="357">
        <v>0</v>
      </c>
      <c r="EE124" s="357">
        <v>0</v>
      </c>
      <c r="EF124" s="357">
        <v>4482.6</v>
      </c>
      <c r="EG124" s="357">
        <v>5000</v>
      </c>
      <c r="EH124" s="357">
        <v>0</v>
      </c>
      <c r="EI124" s="357">
        <v>0</v>
      </c>
      <c r="EJ124" s="357">
        <v>5000</v>
      </c>
      <c r="EK124" s="357">
        <v>405861</v>
      </c>
      <c r="EL124" s="357">
        <v>0</v>
      </c>
      <c r="EM124" s="357">
        <v>0</v>
      </c>
      <c r="EN124" s="357">
        <v>405861</v>
      </c>
      <c r="EO124" s="357">
        <v>415343.6</v>
      </c>
      <c r="EP124" s="357">
        <v>0</v>
      </c>
      <c r="EQ124" s="357">
        <v>0</v>
      </c>
      <c r="ER124" s="357">
        <v>0</v>
      </c>
      <c r="ES124" s="357">
        <v>0</v>
      </c>
      <c r="ET124" s="357">
        <v>0</v>
      </c>
      <c r="EU124" s="357">
        <v>415343.6</v>
      </c>
      <c r="EV124" s="357">
        <v>0</v>
      </c>
      <c r="EW124" s="357">
        <v>0</v>
      </c>
      <c r="EX124" s="357">
        <v>415343.6</v>
      </c>
      <c r="EY124" s="357">
        <v>37632569.8</v>
      </c>
      <c r="EZ124" s="357">
        <v>0</v>
      </c>
      <c r="FA124" s="357">
        <v>0</v>
      </c>
      <c r="FB124" s="357">
        <v>37632569.8</v>
      </c>
      <c r="FC124" s="277">
        <v>0</v>
      </c>
      <c r="FD124" s="205"/>
    </row>
    <row r="125" spans="1:160" ht="12.75">
      <c r="A125" s="169">
        <v>118</v>
      </c>
      <c r="B125" s="172" t="s">
        <v>143</v>
      </c>
      <c r="C125" s="258" t="s">
        <v>144</v>
      </c>
      <c r="D125" s="235">
        <v>41646</v>
      </c>
      <c r="E125" s="357">
        <v>167263626</v>
      </c>
      <c r="F125" s="357">
        <v>0</v>
      </c>
      <c r="G125" s="357">
        <v>0</v>
      </c>
      <c r="H125" s="357">
        <v>167263626</v>
      </c>
      <c r="I125" s="357">
        <v>78781168</v>
      </c>
      <c r="J125" s="357">
        <v>0</v>
      </c>
      <c r="K125" s="357">
        <v>0</v>
      </c>
      <c r="L125" s="357">
        <v>0</v>
      </c>
      <c r="M125" s="357">
        <v>0</v>
      </c>
      <c r="N125" s="357">
        <v>0</v>
      </c>
      <c r="O125" s="357">
        <v>78781168</v>
      </c>
      <c r="P125" s="357">
        <v>0</v>
      </c>
      <c r="Q125" s="357">
        <v>0</v>
      </c>
      <c r="R125" s="357">
        <v>78781168</v>
      </c>
      <c r="S125" s="357">
        <v>108368</v>
      </c>
      <c r="T125" s="357">
        <v>0</v>
      </c>
      <c r="U125" s="357">
        <v>0</v>
      </c>
      <c r="V125" s="357">
        <v>108368</v>
      </c>
      <c r="W125" s="357">
        <v>23382</v>
      </c>
      <c r="X125" s="357">
        <v>0</v>
      </c>
      <c r="Y125" s="357">
        <v>0</v>
      </c>
      <c r="Z125" s="357">
        <v>23382</v>
      </c>
      <c r="AA125" s="357">
        <v>84986</v>
      </c>
      <c r="AB125" s="357">
        <v>0</v>
      </c>
      <c r="AC125" s="357">
        <v>0</v>
      </c>
      <c r="AD125" s="357">
        <v>0</v>
      </c>
      <c r="AE125" s="357">
        <v>0</v>
      </c>
      <c r="AF125" s="357">
        <v>0</v>
      </c>
      <c r="AG125" s="357">
        <v>84986</v>
      </c>
      <c r="AH125" s="357">
        <v>0</v>
      </c>
      <c r="AI125" s="357">
        <v>0</v>
      </c>
      <c r="AJ125" s="357">
        <v>84986</v>
      </c>
      <c r="AK125" s="357">
        <v>84986</v>
      </c>
      <c r="AL125" s="357">
        <v>0</v>
      </c>
      <c r="AM125" s="357">
        <v>0</v>
      </c>
      <c r="AN125" s="357">
        <v>84986</v>
      </c>
      <c r="AO125" s="357">
        <v>3954702</v>
      </c>
      <c r="AP125" s="357">
        <v>0</v>
      </c>
      <c r="AQ125" s="357">
        <v>0</v>
      </c>
      <c r="AR125" s="357">
        <v>3954702</v>
      </c>
      <c r="AS125" s="357">
        <v>0</v>
      </c>
      <c r="AT125" s="357">
        <v>0</v>
      </c>
      <c r="AU125" s="357">
        <v>0</v>
      </c>
      <c r="AV125" s="357">
        <v>0</v>
      </c>
      <c r="AW125" s="357">
        <v>1355400</v>
      </c>
      <c r="AX125" s="357">
        <v>0</v>
      </c>
      <c r="AY125" s="357">
        <v>0</v>
      </c>
      <c r="AZ125" s="357">
        <v>1355400</v>
      </c>
      <c r="BA125" s="357">
        <v>2599302</v>
      </c>
      <c r="BB125" s="357">
        <v>0</v>
      </c>
      <c r="BC125" s="357">
        <v>0</v>
      </c>
      <c r="BD125" s="357">
        <v>2599302</v>
      </c>
      <c r="BE125" s="357">
        <v>4922344</v>
      </c>
      <c r="BF125" s="357">
        <v>0</v>
      </c>
      <c r="BG125" s="357">
        <v>0</v>
      </c>
      <c r="BH125" s="357">
        <v>4922344</v>
      </c>
      <c r="BI125" s="357">
        <v>23695</v>
      </c>
      <c r="BJ125" s="357">
        <v>0</v>
      </c>
      <c r="BK125" s="357">
        <v>0</v>
      </c>
      <c r="BL125" s="357">
        <v>23695</v>
      </c>
      <c r="BM125" s="357">
        <v>0</v>
      </c>
      <c r="BN125" s="357">
        <v>0</v>
      </c>
      <c r="BO125" s="357">
        <v>0</v>
      </c>
      <c r="BP125" s="357">
        <v>0</v>
      </c>
      <c r="BQ125" s="357">
        <v>7545341</v>
      </c>
      <c r="BR125" s="357">
        <v>0</v>
      </c>
      <c r="BS125" s="357">
        <v>0</v>
      </c>
      <c r="BT125" s="357">
        <v>0</v>
      </c>
      <c r="BU125" s="357">
        <v>0</v>
      </c>
      <c r="BV125" s="357">
        <v>0</v>
      </c>
      <c r="BW125" s="357">
        <v>7545341</v>
      </c>
      <c r="BX125" s="357">
        <v>0</v>
      </c>
      <c r="BY125" s="357">
        <v>0</v>
      </c>
      <c r="BZ125" s="357">
        <v>7545341</v>
      </c>
      <c r="CA125" s="357">
        <v>25000</v>
      </c>
      <c r="CB125" s="357">
        <v>0</v>
      </c>
      <c r="CC125" s="357">
        <v>0</v>
      </c>
      <c r="CD125" s="357">
        <v>25000</v>
      </c>
      <c r="CE125" s="357">
        <v>1408220</v>
      </c>
      <c r="CF125" s="357">
        <v>0</v>
      </c>
      <c r="CG125" s="357">
        <v>0</v>
      </c>
      <c r="CH125" s="357">
        <v>1408220</v>
      </c>
      <c r="CI125" s="357">
        <v>1433220</v>
      </c>
      <c r="CJ125" s="357">
        <v>0</v>
      </c>
      <c r="CK125" s="357">
        <v>0</v>
      </c>
      <c r="CL125" s="357">
        <v>0</v>
      </c>
      <c r="CM125" s="357">
        <v>0</v>
      </c>
      <c r="CN125" s="357">
        <v>0</v>
      </c>
      <c r="CO125" s="357">
        <v>1433220</v>
      </c>
      <c r="CP125" s="357">
        <v>0</v>
      </c>
      <c r="CQ125" s="357">
        <v>0</v>
      </c>
      <c r="CR125" s="357">
        <v>1433220</v>
      </c>
      <c r="CS125" s="357">
        <v>450224</v>
      </c>
      <c r="CT125" s="357">
        <v>0</v>
      </c>
      <c r="CU125" s="357">
        <v>0</v>
      </c>
      <c r="CV125" s="357">
        <v>450224</v>
      </c>
      <c r="CW125" s="357">
        <v>164249</v>
      </c>
      <c r="CX125" s="357">
        <v>0</v>
      </c>
      <c r="CY125" s="357">
        <v>0</v>
      </c>
      <c r="CZ125" s="357">
        <v>164249</v>
      </c>
      <c r="DA125" s="357">
        <v>0</v>
      </c>
      <c r="DB125" s="357">
        <v>0</v>
      </c>
      <c r="DC125" s="357">
        <v>0</v>
      </c>
      <c r="DD125" s="357">
        <v>0</v>
      </c>
      <c r="DE125" s="357">
        <v>0</v>
      </c>
      <c r="DF125" s="357">
        <v>0</v>
      </c>
      <c r="DG125" s="357">
        <v>0</v>
      </c>
      <c r="DH125" s="357">
        <v>0</v>
      </c>
      <c r="DI125" s="357">
        <v>0</v>
      </c>
      <c r="DJ125" s="357">
        <v>0</v>
      </c>
      <c r="DK125" s="357">
        <v>0</v>
      </c>
      <c r="DL125" s="357">
        <v>0</v>
      </c>
      <c r="DM125" s="357">
        <v>0</v>
      </c>
      <c r="DN125" s="357">
        <v>0</v>
      </c>
      <c r="DO125" s="357">
        <v>0</v>
      </c>
      <c r="DP125" s="357">
        <v>0</v>
      </c>
      <c r="DQ125" s="357">
        <v>614473</v>
      </c>
      <c r="DR125" s="357">
        <v>0</v>
      </c>
      <c r="DS125" s="357">
        <v>0</v>
      </c>
      <c r="DT125" s="357">
        <v>0</v>
      </c>
      <c r="DU125" s="357">
        <v>0</v>
      </c>
      <c r="DV125" s="357">
        <v>0</v>
      </c>
      <c r="DW125" s="357">
        <v>614473</v>
      </c>
      <c r="DX125" s="357">
        <v>0</v>
      </c>
      <c r="DY125" s="357">
        <v>0</v>
      </c>
      <c r="DZ125" s="357">
        <v>614473</v>
      </c>
      <c r="EA125" s="357">
        <v>0</v>
      </c>
      <c r="EB125" s="357">
        <v>0</v>
      </c>
      <c r="EC125" s="357">
        <v>0</v>
      </c>
      <c r="ED125" s="357">
        <v>0</v>
      </c>
      <c r="EE125" s="357">
        <v>0</v>
      </c>
      <c r="EF125" s="357">
        <v>0</v>
      </c>
      <c r="EG125" s="357">
        <v>0</v>
      </c>
      <c r="EH125" s="357">
        <v>0</v>
      </c>
      <c r="EI125" s="357">
        <v>0</v>
      </c>
      <c r="EJ125" s="357">
        <v>0</v>
      </c>
      <c r="EK125" s="357">
        <v>2142315</v>
      </c>
      <c r="EL125" s="357">
        <v>0</v>
      </c>
      <c r="EM125" s="357">
        <v>0</v>
      </c>
      <c r="EN125" s="357">
        <v>2142315</v>
      </c>
      <c r="EO125" s="357">
        <v>2142315</v>
      </c>
      <c r="EP125" s="357">
        <v>0</v>
      </c>
      <c r="EQ125" s="357">
        <v>0</v>
      </c>
      <c r="ER125" s="357">
        <v>0</v>
      </c>
      <c r="ES125" s="357">
        <v>0</v>
      </c>
      <c r="ET125" s="357">
        <v>0</v>
      </c>
      <c r="EU125" s="357">
        <v>2142315</v>
      </c>
      <c r="EV125" s="357">
        <v>0</v>
      </c>
      <c r="EW125" s="357">
        <v>0</v>
      </c>
      <c r="EX125" s="357">
        <v>2142315</v>
      </c>
      <c r="EY125" s="357">
        <v>66960833</v>
      </c>
      <c r="EZ125" s="357">
        <v>0</v>
      </c>
      <c r="FA125" s="357">
        <v>0</v>
      </c>
      <c r="FB125" s="357">
        <v>66960833</v>
      </c>
      <c r="FC125" s="277">
        <v>0</v>
      </c>
      <c r="FD125" s="205"/>
    </row>
    <row r="126" spans="1:160" ht="12.75">
      <c r="A126" s="169">
        <v>119</v>
      </c>
      <c r="B126" s="172" t="s">
        <v>145</v>
      </c>
      <c r="C126" s="258" t="s">
        <v>146</v>
      </c>
      <c r="D126" s="235">
        <v>41639</v>
      </c>
      <c r="E126" s="357">
        <v>102232856</v>
      </c>
      <c r="F126" s="357">
        <v>0</v>
      </c>
      <c r="G126" s="357">
        <v>8330050</v>
      </c>
      <c r="H126" s="357">
        <v>110562906</v>
      </c>
      <c r="I126" s="357">
        <v>48151675</v>
      </c>
      <c r="J126" s="357">
        <v>0</v>
      </c>
      <c r="K126" s="357">
        <v>3923454</v>
      </c>
      <c r="L126" s="357">
        <v>-343830</v>
      </c>
      <c r="M126" s="357">
        <v>0</v>
      </c>
      <c r="N126" s="357">
        <v>0</v>
      </c>
      <c r="O126" s="357">
        <v>47807845</v>
      </c>
      <c r="P126" s="357">
        <v>0</v>
      </c>
      <c r="Q126" s="357">
        <v>3923454</v>
      </c>
      <c r="R126" s="357">
        <v>51731299</v>
      </c>
      <c r="S126" s="357">
        <v>43211</v>
      </c>
      <c r="T126" s="357">
        <v>0</v>
      </c>
      <c r="U126" s="357">
        <v>0</v>
      </c>
      <c r="V126" s="357">
        <v>43211</v>
      </c>
      <c r="W126" s="357">
        <v>53903</v>
      </c>
      <c r="X126" s="357">
        <v>0</v>
      </c>
      <c r="Y126" s="357">
        <v>0</v>
      </c>
      <c r="Z126" s="357">
        <v>53903</v>
      </c>
      <c r="AA126" s="357">
        <v>-10692</v>
      </c>
      <c r="AB126" s="357">
        <v>0</v>
      </c>
      <c r="AC126" s="357">
        <v>0</v>
      </c>
      <c r="AD126" s="357">
        <v>0</v>
      </c>
      <c r="AE126" s="357">
        <v>0</v>
      </c>
      <c r="AF126" s="357">
        <v>0</v>
      </c>
      <c r="AG126" s="357">
        <v>-10692</v>
      </c>
      <c r="AH126" s="357">
        <v>0</v>
      </c>
      <c r="AI126" s="357">
        <v>0</v>
      </c>
      <c r="AJ126" s="357">
        <v>-10692</v>
      </c>
      <c r="AK126" s="357">
        <v>-10692</v>
      </c>
      <c r="AL126" s="357">
        <v>0</v>
      </c>
      <c r="AM126" s="357">
        <v>0</v>
      </c>
      <c r="AN126" s="357">
        <v>-10692</v>
      </c>
      <c r="AO126" s="357">
        <v>773285</v>
      </c>
      <c r="AP126" s="357">
        <v>0</v>
      </c>
      <c r="AQ126" s="357">
        <v>27009</v>
      </c>
      <c r="AR126" s="357">
        <v>800294</v>
      </c>
      <c r="AS126" s="357">
        <v>0</v>
      </c>
      <c r="AT126" s="357">
        <v>0</v>
      </c>
      <c r="AU126" s="357">
        <v>0</v>
      </c>
      <c r="AV126" s="357">
        <v>0</v>
      </c>
      <c r="AW126" s="357">
        <v>1131818</v>
      </c>
      <c r="AX126" s="357">
        <v>0</v>
      </c>
      <c r="AY126" s="357">
        <v>80720</v>
      </c>
      <c r="AZ126" s="357">
        <v>1212538</v>
      </c>
      <c r="BA126" s="357">
        <v>-358533</v>
      </c>
      <c r="BB126" s="357">
        <v>0</v>
      </c>
      <c r="BC126" s="357">
        <v>-53711</v>
      </c>
      <c r="BD126" s="357">
        <v>-412244</v>
      </c>
      <c r="BE126" s="357">
        <v>2422921</v>
      </c>
      <c r="BF126" s="357">
        <v>0</v>
      </c>
      <c r="BG126" s="357">
        <v>0</v>
      </c>
      <c r="BH126" s="357">
        <v>2422921</v>
      </c>
      <c r="BI126" s="357">
        <v>62660</v>
      </c>
      <c r="BJ126" s="357">
        <v>0</v>
      </c>
      <c r="BK126" s="357">
        <v>0</v>
      </c>
      <c r="BL126" s="357">
        <v>62660</v>
      </c>
      <c r="BM126" s="357">
        <v>0</v>
      </c>
      <c r="BN126" s="357">
        <v>0</v>
      </c>
      <c r="BO126" s="357">
        <v>0</v>
      </c>
      <c r="BP126" s="357">
        <v>0</v>
      </c>
      <c r="BQ126" s="357">
        <v>2127048</v>
      </c>
      <c r="BR126" s="357">
        <v>0</v>
      </c>
      <c r="BS126" s="357">
        <v>-53711</v>
      </c>
      <c r="BT126" s="357">
        <v>0</v>
      </c>
      <c r="BU126" s="357">
        <v>0</v>
      </c>
      <c r="BV126" s="357">
        <v>0</v>
      </c>
      <c r="BW126" s="357">
        <v>2127048</v>
      </c>
      <c r="BX126" s="357">
        <v>0</v>
      </c>
      <c r="BY126" s="357">
        <v>-53711</v>
      </c>
      <c r="BZ126" s="357">
        <v>2073337</v>
      </c>
      <c r="CA126" s="357">
        <v>0</v>
      </c>
      <c r="CB126" s="357">
        <v>0</v>
      </c>
      <c r="CC126" s="357">
        <v>0</v>
      </c>
      <c r="CD126" s="357">
        <v>0</v>
      </c>
      <c r="CE126" s="357">
        <v>3525283</v>
      </c>
      <c r="CF126" s="357">
        <v>0</v>
      </c>
      <c r="CG126" s="357">
        <v>1273203</v>
      </c>
      <c r="CH126" s="357">
        <v>4798486</v>
      </c>
      <c r="CI126" s="357">
        <v>3525283</v>
      </c>
      <c r="CJ126" s="357">
        <v>0</v>
      </c>
      <c r="CK126" s="357">
        <v>1273203</v>
      </c>
      <c r="CL126" s="357">
        <v>0</v>
      </c>
      <c r="CM126" s="357">
        <v>0</v>
      </c>
      <c r="CN126" s="357">
        <v>0</v>
      </c>
      <c r="CO126" s="357">
        <v>3525283</v>
      </c>
      <c r="CP126" s="357">
        <v>0</v>
      </c>
      <c r="CQ126" s="357">
        <v>1273203</v>
      </c>
      <c r="CR126" s="357">
        <v>4798486</v>
      </c>
      <c r="CS126" s="357">
        <v>29915</v>
      </c>
      <c r="CT126" s="357">
        <v>0</v>
      </c>
      <c r="CU126" s="357">
        <v>0</v>
      </c>
      <c r="CV126" s="357">
        <v>29915</v>
      </c>
      <c r="CW126" s="357">
        <v>3485</v>
      </c>
      <c r="CX126" s="357">
        <v>0</v>
      </c>
      <c r="CY126" s="357">
        <v>0</v>
      </c>
      <c r="CZ126" s="357">
        <v>3485</v>
      </c>
      <c r="DA126" s="357">
        <v>0</v>
      </c>
      <c r="DB126" s="357">
        <v>0</v>
      </c>
      <c r="DC126" s="357">
        <v>0</v>
      </c>
      <c r="DD126" s="357">
        <v>0</v>
      </c>
      <c r="DE126" s="357">
        <v>0</v>
      </c>
      <c r="DF126" s="357">
        <v>0</v>
      </c>
      <c r="DG126" s="357">
        <v>0</v>
      </c>
      <c r="DH126" s="357">
        <v>0</v>
      </c>
      <c r="DI126" s="357">
        <v>0</v>
      </c>
      <c r="DJ126" s="357">
        <v>0</v>
      </c>
      <c r="DK126" s="357">
        <v>0</v>
      </c>
      <c r="DL126" s="357">
        <v>0</v>
      </c>
      <c r="DM126" s="357">
        <v>0</v>
      </c>
      <c r="DN126" s="357">
        <v>0</v>
      </c>
      <c r="DO126" s="357">
        <v>385000</v>
      </c>
      <c r="DP126" s="357">
        <v>385000</v>
      </c>
      <c r="DQ126" s="357">
        <v>33400</v>
      </c>
      <c r="DR126" s="357">
        <v>0</v>
      </c>
      <c r="DS126" s="357">
        <v>385000</v>
      </c>
      <c r="DT126" s="357">
        <v>0</v>
      </c>
      <c r="DU126" s="357">
        <v>0</v>
      </c>
      <c r="DV126" s="357">
        <v>0</v>
      </c>
      <c r="DW126" s="357">
        <v>33400</v>
      </c>
      <c r="DX126" s="357">
        <v>0</v>
      </c>
      <c r="DY126" s="357">
        <v>385000</v>
      </c>
      <c r="DZ126" s="357">
        <v>418400</v>
      </c>
      <c r="EA126" s="357">
        <v>0</v>
      </c>
      <c r="EB126" s="357">
        <v>0</v>
      </c>
      <c r="EC126" s="357">
        <v>0</v>
      </c>
      <c r="ED126" s="357">
        <v>0</v>
      </c>
      <c r="EE126" s="357">
        <v>0</v>
      </c>
      <c r="EF126" s="357">
        <v>0</v>
      </c>
      <c r="EG126" s="357">
        <v>0</v>
      </c>
      <c r="EH126" s="357">
        <v>0</v>
      </c>
      <c r="EI126" s="357">
        <v>0</v>
      </c>
      <c r="EJ126" s="357">
        <v>0</v>
      </c>
      <c r="EK126" s="357">
        <v>357000</v>
      </c>
      <c r="EL126" s="357">
        <v>0</v>
      </c>
      <c r="EM126" s="357">
        <v>0</v>
      </c>
      <c r="EN126" s="357">
        <v>357000</v>
      </c>
      <c r="EO126" s="357">
        <v>357000</v>
      </c>
      <c r="EP126" s="357">
        <v>0</v>
      </c>
      <c r="EQ126" s="357">
        <v>0</v>
      </c>
      <c r="ER126" s="357">
        <v>0</v>
      </c>
      <c r="ES126" s="357">
        <v>0</v>
      </c>
      <c r="ET126" s="357">
        <v>0</v>
      </c>
      <c r="EU126" s="357">
        <v>357000</v>
      </c>
      <c r="EV126" s="357">
        <v>0</v>
      </c>
      <c r="EW126" s="357">
        <v>0</v>
      </c>
      <c r="EX126" s="357">
        <v>357000</v>
      </c>
      <c r="EY126" s="357">
        <v>41775806</v>
      </c>
      <c r="EZ126" s="357">
        <v>0</v>
      </c>
      <c r="FA126" s="357">
        <v>2318962</v>
      </c>
      <c r="FB126" s="357">
        <v>44094768</v>
      </c>
      <c r="FC126" s="277">
        <v>0</v>
      </c>
      <c r="FD126" s="205"/>
    </row>
    <row r="127" spans="1:160" ht="12.75">
      <c r="A127" s="169">
        <v>120</v>
      </c>
      <c r="B127" s="172" t="s">
        <v>147</v>
      </c>
      <c r="C127" s="258" t="s">
        <v>148</v>
      </c>
      <c r="D127" s="235">
        <v>41661</v>
      </c>
      <c r="E127" s="357">
        <v>150835643</v>
      </c>
      <c r="F127" s="357">
        <v>0</v>
      </c>
      <c r="G127" s="357">
        <v>0</v>
      </c>
      <c r="H127" s="357">
        <v>150835643</v>
      </c>
      <c r="I127" s="357">
        <v>71043588</v>
      </c>
      <c r="J127" s="357">
        <v>0</v>
      </c>
      <c r="K127" s="357">
        <v>0</v>
      </c>
      <c r="L127" s="357">
        <v>0</v>
      </c>
      <c r="M127" s="357">
        <v>0</v>
      </c>
      <c r="N127" s="357">
        <v>0</v>
      </c>
      <c r="O127" s="357">
        <v>71043588</v>
      </c>
      <c r="P127" s="357">
        <v>0</v>
      </c>
      <c r="Q127" s="357">
        <v>0</v>
      </c>
      <c r="R127" s="357">
        <v>71043588</v>
      </c>
      <c r="S127" s="357">
        <v>36735</v>
      </c>
      <c r="T127" s="357">
        <v>0</v>
      </c>
      <c r="U127" s="357">
        <v>0</v>
      </c>
      <c r="V127" s="357">
        <v>36735</v>
      </c>
      <c r="W127" s="357">
        <v>0</v>
      </c>
      <c r="X127" s="357">
        <v>0</v>
      </c>
      <c r="Y127" s="357">
        <v>0</v>
      </c>
      <c r="Z127" s="357">
        <v>0</v>
      </c>
      <c r="AA127" s="357">
        <v>36735</v>
      </c>
      <c r="AB127" s="357">
        <v>0</v>
      </c>
      <c r="AC127" s="357">
        <v>0</v>
      </c>
      <c r="AD127" s="357">
        <v>0</v>
      </c>
      <c r="AE127" s="357">
        <v>0</v>
      </c>
      <c r="AF127" s="357">
        <v>0</v>
      </c>
      <c r="AG127" s="357">
        <v>36735</v>
      </c>
      <c r="AH127" s="357">
        <v>0</v>
      </c>
      <c r="AI127" s="357">
        <v>0</v>
      </c>
      <c r="AJ127" s="357">
        <v>36735</v>
      </c>
      <c r="AK127" s="357">
        <v>36735</v>
      </c>
      <c r="AL127" s="357">
        <v>0</v>
      </c>
      <c r="AM127" s="357">
        <v>0</v>
      </c>
      <c r="AN127" s="357">
        <v>36735</v>
      </c>
      <c r="AO127" s="357">
        <v>4341704</v>
      </c>
      <c r="AP127" s="357">
        <v>0</v>
      </c>
      <c r="AQ127" s="357">
        <v>0</v>
      </c>
      <c r="AR127" s="357">
        <v>4341704</v>
      </c>
      <c r="AS127" s="357">
        <v>14072</v>
      </c>
      <c r="AT127" s="357">
        <v>0</v>
      </c>
      <c r="AU127" s="357">
        <v>0</v>
      </c>
      <c r="AV127" s="357">
        <v>14072</v>
      </c>
      <c r="AW127" s="357">
        <v>1501390</v>
      </c>
      <c r="AX127" s="357">
        <v>0</v>
      </c>
      <c r="AY127" s="357">
        <v>0</v>
      </c>
      <c r="AZ127" s="357">
        <v>1501390</v>
      </c>
      <c r="BA127" s="357">
        <v>2840314</v>
      </c>
      <c r="BB127" s="357">
        <v>0</v>
      </c>
      <c r="BC127" s="357">
        <v>0</v>
      </c>
      <c r="BD127" s="357">
        <v>2840314</v>
      </c>
      <c r="BE127" s="357">
        <v>2980361</v>
      </c>
      <c r="BF127" s="357">
        <v>0</v>
      </c>
      <c r="BG127" s="357">
        <v>0</v>
      </c>
      <c r="BH127" s="357">
        <v>2980361</v>
      </c>
      <c r="BI127" s="357">
        <v>118753</v>
      </c>
      <c r="BJ127" s="357">
        <v>0</v>
      </c>
      <c r="BK127" s="357">
        <v>0</v>
      </c>
      <c r="BL127" s="357">
        <v>118753</v>
      </c>
      <c r="BM127" s="357">
        <v>54871</v>
      </c>
      <c r="BN127" s="357">
        <v>0</v>
      </c>
      <c r="BO127" s="357">
        <v>0</v>
      </c>
      <c r="BP127" s="357">
        <v>54871</v>
      </c>
      <c r="BQ127" s="357">
        <v>5994299</v>
      </c>
      <c r="BR127" s="357">
        <v>0</v>
      </c>
      <c r="BS127" s="357">
        <v>0</v>
      </c>
      <c r="BT127" s="357">
        <v>0</v>
      </c>
      <c r="BU127" s="357">
        <v>0</v>
      </c>
      <c r="BV127" s="357">
        <v>0</v>
      </c>
      <c r="BW127" s="357">
        <v>5994299</v>
      </c>
      <c r="BX127" s="357">
        <v>0</v>
      </c>
      <c r="BY127" s="357">
        <v>0</v>
      </c>
      <c r="BZ127" s="357">
        <v>5994299</v>
      </c>
      <c r="CA127" s="357">
        <v>30000</v>
      </c>
      <c r="CB127" s="357">
        <v>0</v>
      </c>
      <c r="CC127" s="357">
        <v>0</v>
      </c>
      <c r="CD127" s="357">
        <v>30000</v>
      </c>
      <c r="CE127" s="357">
        <v>1700000</v>
      </c>
      <c r="CF127" s="357">
        <v>0</v>
      </c>
      <c r="CG127" s="357">
        <v>0</v>
      </c>
      <c r="CH127" s="357">
        <v>1700000</v>
      </c>
      <c r="CI127" s="357">
        <v>1730000</v>
      </c>
      <c r="CJ127" s="357">
        <v>0</v>
      </c>
      <c r="CK127" s="357">
        <v>0</v>
      </c>
      <c r="CL127" s="357">
        <v>0</v>
      </c>
      <c r="CM127" s="357">
        <v>0</v>
      </c>
      <c r="CN127" s="357">
        <v>0</v>
      </c>
      <c r="CO127" s="357">
        <v>1730000</v>
      </c>
      <c r="CP127" s="357">
        <v>0</v>
      </c>
      <c r="CQ127" s="357">
        <v>0</v>
      </c>
      <c r="CR127" s="357">
        <v>1730000</v>
      </c>
      <c r="CS127" s="357">
        <v>28524</v>
      </c>
      <c r="CT127" s="357">
        <v>0</v>
      </c>
      <c r="CU127" s="357">
        <v>0</v>
      </c>
      <c r="CV127" s="357">
        <v>28524</v>
      </c>
      <c r="CW127" s="357">
        <v>169346</v>
      </c>
      <c r="CX127" s="357">
        <v>0</v>
      </c>
      <c r="CY127" s="357">
        <v>0</v>
      </c>
      <c r="CZ127" s="357">
        <v>169346</v>
      </c>
      <c r="DA127" s="357">
        <v>0</v>
      </c>
      <c r="DB127" s="357">
        <v>0</v>
      </c>
      <c r="DC127" s="357">
        <v>0</v>
      </c>
      <c r="DD127" s="357">
        <v>0</v>
      </c>
      <c r="DE127" s="357">
        <v>13989</v>
      </c>
      <c r="DF127" s="357">
        <v>0</v>
      </c>
      <c r="DG127" s="357">
        <v>0</v>
      </c>
      <c r="DH127" s="357">
        <v>13989</v>
      </c>
      <c r="DI127" s="357">
        <v>40665</v>
      </c>
      <c r="DJ127" s="357">
        <v>0</v>
      </c>
      <c r="DK127" s="357">
        <v>0</v>
      </c>
      <c r="DL127" s="357">
        <v>40665</v>
      </c>
      <c r="DM127" s="357">
        <v>0</v>
      </c>
      <c r="DN127" s="357">
        <v>0</v>
      </c>
      <c r="DO127" s="357">
        <v>0</v>
      </c>
      <c r="DP127" s="357">
        <v>0</v>
      </c>
      <c r="DQ127" s="357">
        <v>252524</v>
      </c>
      <c r="DR127" s="357">
        <v>0</v>
      </c>
      <c r="DS127" s="357">
        <v>0</v>
      </c>
      <c r="DT127" s="357">
        <v>0</v>
      </c>
      <c r="DU127" s="357">
        <v>0</v>
      </c>
      <c r="DV127" s="357">
        <v>0</v>
      </c>
      <c r="DW127" s="357">
        <v>252524</v>
      </c>
      <c r="DX127" s="357">
        <v>0</v>
      </c>
      <c r="DY127" s="357">
        <v>0</v>
      </c>
      <c r="DZ127" s="357">
        <v>252524</v>
      </c>
      <c r="EA127" s="357">
        <v>0</v>
      </c>
      <c r="EB127" s="357">
        <v>0</v>
      </c>
      <c r="EC127" s="357">
        <v>19280</v>
      </c>
      <c r="ED127" s="357">
        <v>0</v>
      </c>
      <c r="EE127" s="357">
        <v>0</v>
      </c>
      <c r="EF127" s="357">
        <v>19280</v>
      </c>
      <c r="EG127" s="357">
        <v>56629</v>
      </c>
      <c r="EH127" s="357">
        <v>0</v>
      </c>
      <c r="EI127" s="357">
        <v>0</v>
      </c>
      <c r="EJ127" s="357">
        <v>56629</v>
      </c>
      <c r="EK127" s="357">
        <v>13500</v>
      </c>
      <c r="EL127" s="357">
        <v>0</v>
      </c>
      <c r="EM127" s="357">
        <v>0</v>
      </c>
      <c r="EN127" s="357">
        <v>13500</v>
      </c>
      <c r="EO127" s="357">
        <v>89409</v>
      </c>
      <c r="EP127" s="357">
        <v>0</v>
      </c>
      <c r="EQ127" s="357">
        <v>0</v>
      </c>
      <c r="ER127" s="357">
        <v>0</v>
      </c>
      <c r="ES127" s="357">
        <v>0</v>
      </c>
      <c r="ET127" s="357">
        <v>0</v>
      </c>
      <c r="EU127" s="357">
        <v>89409</v>
      </c>
      <c r="EV127" s="357">
        <v>0</v>
      </c>
      <c r="EW127" s="357">
        <v>0</v>
      </c>
      <c r="EX127" s="357">
        <v>89409</v>
      </c>
      <c r="EY127" s="357">
        <v>62940621</v>
      </c>
      <c r="EZ127" s="357">
        <v>0</v>
      </c>
      <c r="FA127" s="357">
        <v>0</v>
      </c>
      <c r="FB127" s="357">
        <v>62940621</v>
      </c>
      <c r="FC127" s="277">
        <v>0</v>
      </c>
      <c r="FD127" s="205"/>
    </row>
    <row r="128" spans="1:160" ht="12.75">
      <c r="A128" s="169">
        <v>121</v>
      </c>
      <c r="B128" s="172" t="s">
        <v>149</v>
      </c>
      <c r="C128" s="258" t="s">
        <v>150</v>
      </c>
      <c r="D128" s="235">
        <v>41639</v>
      </c>
      <c r="E128" s="357">
        <v>129055288</v>
      </c>
      <c r="F128" s="357">
        <v>0</v>
      </c>
      <c r="G128" s="357">
        <v>0</v>
      </c>
      <c r="H128" s="357">
        <v>129055288</v>
      </c>
      <c r="I128" s="357">
        <v>60785041</v>
      </c>
      <c r="J128" s="357">
        <v>0</v>
      </c>
      <c r="K128" s="357">
        <v>0</v>
      </c>
      <c r="L128" s="357">
        <v>-902000</v>
      </c>
      <c r="M128" s="357">
        <v>0</v>
      </c>
      <c r="N128" s="357">
        <v>0</v>
      </c>
      <c r="O128" s="357">
        <v>59883041</v>
      </c>
      <c r="P128" s="357">
        <v>0</v>
      </c>
      <c r="Q128" s="357">
        <v>0</v>
      </c>
      <c r="R128" s="357">
        <v>59883041</v>
      </c>
      <c r="S128" s="357">
        <v>42173</v>
      </c>
      <c r="T128" s="357">
        <v>0</v>
      </c>
      <c r="U128" s="357">
        <v>0</v>
      </c>
      <c r="V128" s="357">
        <v>42173</v>
      </c>
      <c r="W128" s="357">
        <v>194662</v>
      </c>
      <c r="X128" s="357">
        <v>0</v>
      </c>
      <c r="Y128" s="357">
        <v>0</v>
      </c>
      <c r="Z128" s="357">
        <v>194662</v>
      </c>
      <c r="AA128" s="357">
        <v>-152489</v>
      </c>
      <c r="AB128" s="357">
        <v>0</v>
      </c>
      <c r="AC128" s="357">
        <v>0</v>
      </c>
      <c r="AD128" s="357">
        <v>0</v>
      </c>
      <c r="AE128" s="357">
        <v>0</v>
      </c>
      <c r="AF128" s="357">
        <v>0</v>
      </c>
      <c r="AG128" s="357">
        <v>-152489</v>
      </c>
      <c r="AH128" s="357">
        <v>0</v>
      </c>
      <c r="AI128" s="357">
        <v>0</v>
      </c>
      <c r="AJ128" s="357">
        <v>-152489</v>
      </c>
      <c r="AK128" s="357">
        <v>-152489</v>
      </c>
      <c r="AL128" s="357">
        <v>0</v>
      </c>
      <c r="AM128" s="357">
        <v>0</v>
      </c>
      <c r="AN128" s="357">
        <v>-152489</v>
      </c>
      <c r="AO128" s="357">
        <v>2876000</v>
      </c>
      <c r="AP128" s="357">
        <v>0</v>
      </c>
      <c r="AQ128" s="357">
        <v>0</v>
      </c>
      <c r="AR128" s="357">
        <v>2876000</v>
      </c>
      <c r="AS128" s="357">
        <v>0</v>
      </c>
      <c r="AT128" s="357">
        <v>0</v>
      </c>
      <c r="AU128" s="357">
        <v>0</v>
      </c>
      <c r="AV128" s="357">
        <v>0</v>
      </c>
      <c r="AW128" s="357">
        <v>700000</v>
      </c>
      <c r="AX128" s="357">
        <v>0</v>
      </c>
      <c r="AY128" s="357">
        <v>0</v>
      </c>
      <c r="AZ128" s="357">
        <v>700000</v>
      </c>
      <c r="BA128" s="357">
        <v>2176000</v>
      </c>
      <c r="BB128" s="357">
        <v>0</v>
      </c>
      <c r="BC128" s="357">
        <v>0</v>
      </c>
      <c r="BD128" s="357">
        <v>2176000</v>
      </c>
      <c r="BE128" s="357">
        <v>4672496</v>
      </c>
      <c r="BF128" s="357">
        <v>0</v>
      </c>
      <c r="BG128" s="357">
        <v>0</v>
      </c>
      <c r="BH128" s="357">
        <v>4672496</v>
      </c>
      <c r="BI128" s="357">
        <v>172504</v>
      </c>
      <c r="BJ128" s="357">
        <v>0</v>
      </c>
      <c r="BK128" s="357">
        <v>0</v>
      </c>
      <c r="BL128" s="357">
        <v>172504</v>
      </c>
      <c r="BM128" s="357">
        <v>0</v>
      </c>
      <c r="BN128" s="357">
        <v>0</v>
      </c>
      <c r="BO128" s="357">
        <v>0</v>
      </c>
      <c r="BP128" s="357">
        <v>0</v>
      </c>
      <c r="BQ128" s="357">
        <v>7021000</v>
      </c>
      <c r="BR128" s="357">
        <v>0</v>
      </c>
      <c r="BS128" s="357">
        <v>0</v>
      </c>
      <c r="BT128" s="357">
        <v>0</v>
      </c>
      <c r="BU128" s="357">
        <v>0</v>
      </c>
      <c r="BV128" s="357">
        <v>0</v>
      </c>
      <c r="BW128" s="357">
        <v>7021000</v>
      </c>
      <c r="BX128" s="357">
        <v>0</v>
      </c>
      <c r="BY128" s="357">
        <v>0</v>
      </c>
      <c r="BZ128" s="357">
        <v>7021000</v>
      </c>
      <c r="CA128" s="357">
        <v>325000</v>
      </c>
      <c r="CB128" s="357">
        <v>0</v>
      </c>
      <c r="CC128" s="357">
        <v>0</v>
      </c>
      <c r="CD128" s="357">
        <v>325000</v>
      </c>
      <c r="CE128" s="357">
        <v>1638000</v>
      </c>
      <c r="CF128" s="357">
        <v>0</v>
      </c>
      <c r="CG128" s="357">
        <v>0</v>
      </c>
      <c r="CH128" s="357">
        <v>1638000</v>
      </c>
      <c r="CI128" s="357">
        <v>1963000</v>
      </c>
      <c r="CJ128" s="357">
        <v>0</v>
      </c>
      <c r="CK128" s="357">
        <v>0</v>
      </c>
      <c r="CL128" s="357">
        <v>0</v>
      </c>
      <c r="CM128" s="357">
        <v>0</v>
      </c>
      <c r="CN128" s="357">
        <v>0</v>
      </c>
      <c r="CO128" s="357">
        <v>1963000</v>
      </c>
      <c r="CP128" s="357">
        <v>0</v>
      </c>
      <c r="CQ128" s="357">
        <v>0</v>
      </c>
      <c r="CR128" s="357">
        <v>1963000</v>
      </c>
      <c r="CS128" s="357">
        <v>0</v>
      </c>
      <c r="CT128" s="357">
        <v>0</v>
      </c>
      <c r="CU128" s="357">
        <v>0</v>
      </c>
      <c r="CV128" s="357">
        <v>0</v>
      </c>
      <c r="CW128" s="357">
        <v>49000</v>
      </c>
      <c r="CX128" s="357">
        <v>0</v>
      </c>
      <c r="CY128" s="357">
        <v>0</v>
      </c>
      <c r="CZ128" s="357">
        <v>49000</v>
      </c>
      <c r="DA128" s="357">
        <v>0</v>
      </c>
      <c r="DB128" s="357">
        <v>0</v>
      </c>
      <c r="DC128" s="357">
        <v>0</v>
      </c>
      <c r="DD128" s="357">
        <v>0</v>
      </c>
      <c r="DE128" s="357">
        <v>0</v>
      </c>
      <c r="DF128" s="357">
        <v>0</v>
      </c>
      <c r="DG128" s="357">
        <v>0</v>
      </c>
      <c r="DH128" s="357">
        <v>0</v>
      </c>
      <c r="DI128" s="357">
        <v>0</v>
      </c>
      <c r="DJ128" s="357">
        <v>0</v>
      </c>
      <c r="DK128" s="357">
        <v>0</v>
      </c>
      <c r="DL128" s="357">
        <v>0</v>
      </c>
      <c r="DM128" s="357">
        <v>0</v>
      </c>
      <c r="DN128" s="357">
        <v>0</v>
      </c>
      <c r="DO128" s="357">
        <v>0</v>
      </c>
      <c r="DP128" s="357">
        <v>0</v>
      </c>
      <c r="DQ128" s="357">
        <v>49000</v>
      </c>
      <c r="DR128" s="357">
        <v>0</v>
      </c>
      <c r="DS128" s="357">
        <v>0</v>
      </c>
      <c r="DT128" s="357">
        <v>0</v>
      </c>
      <c r="DU128" s="357">
        <v>0</v>
      </c>
      <c r="DV128" s="357">
        <v>0</v>
      </c>
      <c r="DW128" s="357">
        <v>49000</v>
      </c>
      <c r="DX128" s="357">
        <v>0</v>
      </c>
      <c r="DY128" s="357">
        <v>0</v>
      </c>
      <c r="DZ128" s="357">
        <v>49000</v>
      </c>
      <c r="EA128" s="357">
        <v>0</v>
      </c>
      <c r="EB128" s="357">
        <v>0</v>
      </c>
      <c r="EC128" s="357">
        <v>250000</v>
      </c>
      <c r="ED128" s="357">
        <v>0</v>
      </c>
      <c r="EE128" s="357">
        <v>0</v>
      </c>
      <c r="EF128" s="357">
        <v>250000</v>
      </c>
      <c r="EG128" s="357">
        <v>250000</v>
      </c>
      <c r="EH128" s="357">
        <v>0</v>
      </c>
      <c r="EI128" s="357">
        <v>0</v>
      </c>
      <c r="EJ128" s="357">
        <v>250000</v>
      </c>
      <c r="EK128" s="357">
        <v>750000</v>
      </c>
      <c r="EL128" s="357">
        <v>0</v>
      </c>
      <c r="EM128" s="357">
        <v>0</v>
      </c>
      <c r="EN128" s="357">
        <v>750000</v>
      </c>
      <c r="EO128" s="357">
        <v>1250000</v>
      </c>
      <c r="EP128" s="357">
        <v>0</v>
      </c>
      <c r="EQ128" s="357">
        <v>0</v>
      </c>
      <c r="ER128" s="357">
        <v>0</v>
      </c>
      <c r="ES128" s="357">
        <v>0</v>
      </c>
      <c r="ET128" s="357">
        <v>0</v>
      </c>
      <c r="EU128" s="357">
        <v>1250000</v>
      </c>
      <c r="EV128" s="357">
        <v>0</v>
      </c>
      <c r="EW128" s="357">
        <v>0</v>
      </c>
      <c r="EX128" s="357">
        <v>1250000</v>
      </c>
      <c r="EY128" s="357">
        <v>49752530</v>
      </c>
      <c r="EZ128" s="357">
        <v>0</v>
      </c>
      <c r="FA128" s="357">
        <v>0</v>
      </c>
      <c r="FB128" s="357">
        <v>49752530</v>
      </c>
      <c r="FC128" s="277">
        <v>0</v>
      </c>
      <c r="FD128" s="205"/>
    </row>
    <row r="129" spans="1:160" ht="12.75">
      <c r="A129" s="169">
        <v>122</v>
      </c>
      <c r="B129" s="172" t="s">
        <v>151</v>
      </c>
      <c r="C129" s="258" t="s">
        <v>152</v>
      </c>
      <c r="D129" s="235">
        <v>41639</v>
      </c>
      <c r="E129" s="357">
        <v>71071115</v>
      </c>
      <c r="F129" s="357">
        <v>0</v>
      </c>
      <c r="G129" s="357">
        <v>0</v>
      </c>
      <c r="H129" s="357">
        <v>71071115</v>
      </c>
      <c r="I129" s="357">
        <v>33474495</v>
      </c>
      <c r="J129" s="357">
        <v>0</v>
      </c>
      <c r="K129" s="357">
        <v>0</v>
      </c>
      <c r="L129" s="357">
        <v>0</v>
      </c>
      <c r="M129" s="357">
        <v>0</v>
      </c>
      <c r="N129" s="357">
        <v>0</v>
      </c>
      <c r="O129" s="357">
        <v>33474495</v>
      </c>
      <c r="P129" s="357">
        <v>0</v>
      </c>
      <c r="Q129" s="357">
        <v>0</v>
      </c>
      <c r="R129" s="357">
        <v>33474495</v>
      </c>
      <c r="S129" s="357">
        <v>30541</v>
      </c>
      <c r="T129" s="357">
        <v>0</v>
      </c>
      <c r="U129" s="357">
        <v>0</v>
      </c>
      <c r="V129" s="357">
        <v>30541</v>
      </c>
      <c r="W129" s="357">
        <v>2646</v>
      </c>
      <c r="X129" s="357">
        <v>0</v>
      </c>
      <c r="Y129" s="357">
        <v>0</v>
      </c>
      <c r="Z129" s="357">
        <v>2646</v>
      </c>
      <c r="AA129" s="357">
        <v>27895</v>
      </c>
      <c r="AB129" s="357">
        <v>0</v>
      </c>
      <c r="AC129" s="357">
        <v>0</v>
      </c>
      <c r="AD129" s="357">
        <v>0</v>
      </c>
      <c r="AE129" s="357">
        <v>0</v>
      </c>
      <c r="AF129" s="357">
        <v>0</v>
      </c>
      <c r="AG129" s="357">
        <v>27895</v>
      </c>
      <c r="AH129" s="357">
        <v>0</v>
      </c>
      <c r="AI129" s="357">
        <v>0</v>
      </c>
      <c r="AJ129" s="357">
        <v>27895</v>
      </c>
      <c r="AK129" s="357">
        <v>27895</v>
      </c>
      <c r="AL129" s="357">
        <v>0</v>
      </c>
      <c r="AM129" s="357">
        <v>0</v>
      </c>
      <c r="AN129" s="357">
        <v>27895</v>
      </c>
      <c r="AO129" s="357">
        <v>998444</v>
      </c>
      <c r="AP129" s="357">
        <v>0</v>
      </c>
      <c r="AQ129" s="357">
        <v>0</v>
      </c>
      <c r="AR129" s="357">
        <v>998444</v>
      </c>
      <c r="AS129" s="357">
        <v>13391</v>
      </c>
      <c r="AT129" s="357">
        <v>0</v>
      </c>
      <c r="AU129" s="357">
        <v>0</v>
      </c>
      <c r="AV129" s="357">
        <v>13391</v>
      </c>
      <c r="AW129" s="357">
        <v>685299</v>
      </c>
      <c r="AX129" s="357">
        <v>0</v>
      </c>
      <c r="AY129" s="357">
        <v>0</v>
      </c>
      <c r="AZ129" s="357">
        <v>685299</v>
      </c>
      <c r="BA129" s="357">
        <v>313145</v>
      </c>
      <c r="BB129" s="357">
        <v>0</v>
      </c>
      <c r="BC129" s="357">
        <v>0</v>
      </c>
      <c r="BD129" s="357">
        <v>313145</v>
      </c>
      <c r="BE129" s="357">
        <v>1323948</v>
      </c>
      <c r="BF129" s="357">
        <v>0</v>
      </c>
      <c r="BG129" s="357">
        <v>0</v>
      </c>
      <c r="BH129" s="357">
        <v>1323948</v>
      </c>
      <c r="BI129" s="357">
        <v>32024</v>
      </c>
      <c r="BJ129" s="357">
        <v>0</v>
      </c>
      <c r="BK129" s="357">
        <v>0</v>
      </c>
      <c r="BL129" s="357">
        <v>32024</v>
      </c>
      <c r="BM129" s="357">
        <v>2808</v>
      </c>
      <c r="BN129" s="357">
        <v>0</v>
      </c>
      <c r="BO129" s="357">
        <v>0</v>
      </c>
      <c r="BP129" s="357">
        <v>2808</v>
      </c>
      <c r="BQ129" s="357">
        <v>1671925</v>
      </c>
      <c r="BR129" s="357">
        <v>0</v>
      </c>
      <c r="BS129" s="357">
        <v>0</v>
      </c>
      <c r="BT129" s="357">
        <v>0</v>
      </c>
      <c r="BU129" s="357">
        <v>0</v>
      </c>
      <c r="BV129" s="357">
        <v>0</v>
      </c>
      <c r="BW129" s="357">
        <v>1671925</v>
      </c>
      <c r="BX129" s="357">
        <v>0</v>
      </c>
      <c r="BY129" s="357">
        <v>0</v>
      </c>
      <c r="BZ129" s="357">
        <v>1671925</v>
      </c>
      <c r="CA129" s="357">
        <v>0</v>
      </c>
      <c r="CB129" s="357">
        <v>0</v>
      </c>
      <c r="CC129" s="357">
        <v>0</v>
      </c>
      <c r="CD129" s="357">
        <v>0</v>
      </c>
      <c r="CE129" s="357">
        <v>989093</v>
      </c>
      <c r="CF129" s="357">
        <v>0</v>
      </c>
      <c r="CG129" s="357">
        <v>0</v>
      </c>
      <c r="CH129" s="357">
        <v>989093</v>
      </c>
      <c r="CI129" s="357">
        <v>989093</v>
      </c>
      <c r="CJ129" s="357">
        <v>0</v>
      </c>
      <c r="CK129" s="357">
        <v>0</v>
      </c>
      <c r="CL129" s="357">
        <v>0</v>
      </c>
      <c r="CM129" s="357">
        <v>0</v>
      </c>
      <c r="CN129" s="357">
        <v>0</v>
      </c>
      <c r="CO129" s="357">
        <v>989093</v>
      </c>
      <c r="CP129" s="357">
        <v>0</v>
      </c>
      <c r="CQ129" s="357">
        <v>0</v>
      </c>
      <c r="CR129" s="357">
        <v>989093</v>
      </c>
      <c r="CS129" s="357">
        <v>70117</v>
      </c>
      <c r="CT129" s="357">
        <v>0</v>
      </c>
      <c r="CU129" s="357">
        <v>0</v>
      </c>
      <c r="CV129" s="357">
        <v>70117</v>
      </c>
      <c r="CW129" s="357">
        <v>23670</v>
      </c>
      <c r="CX129" s="357">
        <v>0</v>
      </c>
      <c r="CY129" s="357">
        <v>0</v>
      </c>
      <c r="CZ129" s="357">
        <v>23670</v>
      </c>
      <c r="DA129" s="357">
        <v>0</v>
      </c>
      <c r="DB129" s="357">
        <v>0</v>
      </c>
      <c r="DC129" s="357">
        <v>0</v>
      </c>
      <c r="DD129" s="357">
        <v>0</v>
      </c>
      <c r="DE129" s="357">
        <v>2808</v>
      </c>
      <c r="DF129" s="357">
        <v>0</v>
      </c>
      <c r="DG129" s="357">
        <v>0</v>
      </c>
      <c r="DH129" s="357">
        <v>2808</v>
      </c>
      <c r="DI129" s="357">
        <v>0</v>
      </c>
      <c r="DJ129" s="357">
        <v>0</v>
      </c>
      <c r="DK129" s="357">
        <v>0</v>
      </c>
      <c r="DL129" s="357">
        <v>0</v>
      </c>
      <c r="DM129" s="357">
        <v>0</v>
      </c>
      <c r="DN129" s="357">
        <v>0</v>
      </c>
      <c r="DO129" s="357">
        <v>0</v>
      </c>
      <c r="DP129" s="357">
        <v>0</v>
      </c>
      <c r="DQ129" s="357">
        <v>96595</v>
      </c>
      <c r="DR129" s="357">
        <v>0</v>
      </c>
      <c r="DS129" s="357">
        <v>0</v>
      </c>
      <c r="DT129" s="357">
        <v>0</v>
      </c>
      <c r="DU129" s="357">
        <v>0</v>
      </c>
      <c r="DV129" s="357">
        <v>0</v>
      </c>
      <c r="DW129" s="357">
        <v>96595</v>
      </c>
      <c r="DX129" s="357">
        <v>0</v>
      </c>
      <c r="DY129" s="357">
        <v>0</v>
      </c>
      <c r="DZ129" s="357">
        <v>96595</v>
      </c>
      <c r="EA129" s="357">
        <v>0</v>
      </c>
      <c r="EB129" s="357">
        <v>0</v>
      </c>
      <c r="EC129" s="357">
        <v>10000</v>
      </c>
      <c r="ED129" s="357">
        <v>0</v>
      </c>
      <c r="EE129" s="357">
        <v>0</v>
      </c>
      <c r="EF129" s="357">
        <v>10000</v>
      </c>
      <c r="EG129" s="357">
        <v>11000</v>
      </c>
      <c r="EH129" s="357">
        <v>0</v>
      </c>
      <c r="EI129" s="357">
        <v>0</v>
      </c>
      <c r="EJ129" s="357">
        <v>11000</v>
      </c>
      <c r="EK129" s="357">
        <v>469000</v>
      </c>
      <c r="EL129" s="357">
        <v>0</v>
      </c>
      <c r="EM129" s="357">
        <v>0</v>
      </c>
      <c r="EN129" s="357">
        <v>469000</v>
      </c>
      <c r="EO129" s="357">
        <v>490000</v>
      </c>
      <c r="EP129" s="357">
        <v>0</v>
      </c>
      <c r="EQ129" s="357">
        <v>0</v>
      </c>
      <c r="ER129" s="357">
        <v>0</v>
      </c>
      <c r="ES129" s="357">
        <v>0</v>
      </c>
      <c r="ET129" s="357">
        <v>0</v>
      </c>
      <c r="EU129" s="357">
        <v>490000</v>
      </c>
      <c r="EV129" s="357">
        <v>0</v>
      </c>
      <c r="EW129" s="357">
        <v>0</v>
      </c>
      <c r="EX129" s="357">
        <v>490000</v>
      </c>
      <c r="EY129" s="357">
        <v>30198987</v>
      </c>
      <c r="EZ129" s="357">
        <v>0</v>
      </c>
      <c r="FA129" s="357">
        <v>0</v>
      </c>
      <c r="FB129" s="357">
        <v>30198987</v>
      </c>
      <c r="FC129" s="277">
        <v>0</v>
      </c>
      <c r="FD129" s="205"/>
    </row>
    <row r="130" spans="1:160" ht="12.75">
      <c r="A130" s="169">
        <v>123</v>
      </c>
      <c r="B130" s="172" t="s">
        <v>153</v>
      </c>
      <c r="C130" s="258" t="s">
        <v>154</v>
      </c>
      <c r="D130" s="235">
        <v>0</v>
      </c>
      <c r="E130" s="357">
        <v>96917588</v>
      </c>
      <c r="F130" s="357">
        <v>0</v>
      </c>
      <c r="G130" s="357">
        <v>151250</v>
      </c>
      <c r="H130" s="357">
        <v>97068838</v>
      </c>
      <c r="I130" s="357">
        <v>45648184</v>
      </c>
      <c r="J130" s="357">
        <v>0</v>
      </c>
      <c r="K130" s="357">
        <v>71239</v>
      </c>
      <c r="L130" s="357">
        <v>0</v>
      </c>
      <c r="M130" s="357">
        <v>0</v>
      </c>
      <c r="N130" s="357">
        <v>0</v>
      </c>
      <c r="O130" s="357">
        <v>45648184</v>
      </c>
      <c r="P130" s="357">
        <v>0</v>
      </c>
      <c r="Q130" s="357">
        <v>71239</v>
      </c>
      <c r="R130" s="357">
        <v>45719423</v>
      </c>
      <c r="S130" s="357">
        <v>8082872</v>
      </c>
      <c r="T130" s="357">
        <v>0</v>
      </c>
      <c r="U130" s="357">
        <v>0</v>
      </c>
      <c r="V130" s="357">
        <v>8082872</v>
      </c>
      <c r="W130" s="357">
        <v>9745</v>
      </c>
      <c r="X130" s="357">
        <v>0</v>
      </c>
      <c r="Y130" s="357">
        <v>0</v>
      </c>
      <c r="Z130" s="357">
        <v>9745</v>
      </c>
      <c r="AA130" s="357">
        <v>8073127</v>
      </c>
      <c r="AB130" s="357">
        <v>0</v>
      </c>
      <c r="AC130" s="357">
        <v>0</v>
      </c>
      <c r="AD130" s="357">
        <v>0</v>
      </c>
      <c r="AE130" s="357">
        <v>0</v>
      </c>
      <c r="AF130" s="357">
        <v>0</v>
      </c>
      <c r="AG130" s="357">
        <v>8073127</v>
      </c>
      <c r="AH130" s="357">
        <v>0</v>
      </c>
      <c r="AI130" s="357">
        <v>0</v>
      </c>
      <c r="AJ130" s="357">
        <v>8073127</v>
      </c>
      <c r="AK130" s="357">
        <v>8073127</v>
      </c>
      <c r="AL130" s="357">
        <v>0</v>
      </c>
      <c r="AM130" s="357">
        <v>0</v>
      </c>
      <c r="AN130" s="357">
        <v>8073127</v>
      </c>
      <c r="AO130" s="357">
        <v>1831081</v>
      </c>
      <c r="AP130" s="357">
        <v>0</v>
      </c>
      <c r="AQ130" s="357">
        <v>0</v>
      </c>
      <c r="AR130" s="357">
        <v>1831081</v>
      </c>
      <c r="AS130" s="357">
        <v>0</v>
      </c>
      <c r="AT130" s="357">
        <v>0</v>
      </c>
      <c r="AU130" s="357">
        <v>0</v>
      </c>
      <c r="AV130" s="357">
        <v>0</v>
      </c>
      <c r="AW130" s="357">
        <v>964658</v>
      </c>
      <c r="AX130" s="357">
        <v>0</v>
      </c>
      <c r="AY130" s="357">
        <v>1559</v>
      </c>
      <c r="AZ130" s="357">
        <v>966217</v>
      </c>
      <c r="BA130" s="357">
        <v>866423</v>
      </c>
      <c r="BB130" s="357">
        <v>0</v>
      </c>
      <c r="BC130" s="357">
        <v>-1559</v>
      </c>
      <c r="BD130" s="357">
        <v>864864</v>
      </c>
      <c r="BE130" s="357">
        <v>1827208</v>
      </c>
      <c r="BF130" s="357">
        <v>0</v>
      </c>
      <c r="BG130" s="357">
        <v>0</v>
      </c>
      <c r="BH130" s="357">
        <v>1827208</v>
      </c>
      <c r="BI130" s="357">
        <v>47207</v>
      </c>
      <c r="BJ130" s="357">
        <v>0</v>
      </c>
      <c r="BK130" s="357">
        <v>0</v>
      </c>
      <c r="BL130" s="357">
        <v>47207</v>
      </c>
      <c r="BM130" s="357">
        <v>0</v>
      </c>
      <c r="BN130" s="357">
        <v>0</v>
      </c>
      <c r="BO130" s="357">
        <v>0</v>
      </c>
      <c r="BP130" s="357">
        <v>0</v>
      </c>
      <c r="BQ130" s="357">
        <v>2740838</v>
      </c>
      <c r="BR130" s="357">
        <v>0</v>
      </c>
      <c r="BS130" s="357">
        <v>-1559</v>
      </c>
      <c r="BT130" s="357">
        <v>0</v>
      </c>
      <c r="BU130" s="357">
        <v>0</v>
      </c>
      <c r="BV130" s="357">
        <v>0</v>
      </c>
      <c r="BW130" s="357">
        <v>2740838</v>
      </c>
      <c r="BX130" s="357">
        <v>0</v>
      </c>
      <c r="BY130" s="357">
        <v>-1559</v>
      </c>
      <c r="BZ130" s="357">
        <v>2739279</v>
      </c>
      <c r="CA130" s="357">
        <v>44582</v>
      </c>
      <c r="CB130" s="357">
        <v>0</v>
      </c>
      <c r="CC130" s="357">
        <v>0</v>
      </c>
      <c r="CD130" s="357">
        <v>44582</v>
      </c>
      <c r="CE130" s="357">
        <v>1662050</v>
      </c>
      <c r="CF130" s="357">
        <v>0</v>
      </c>
      <c r="CG130" s="357">
        <v>0</v>
      </c>
      <c r="CH130" s="357">
        <v>1662050</v>
      </c>
      <c r="CI130" s="357">
        <v>1706632</v>
      </c>
      <c r="CJ130" s="357">
        <v>0</v>
      </c>
      <c r="CK130" s="357">
        <v>0</v>
      </c>
      <c r="CL130" s="357">
        <v>0</v>
      </c>
      <c r="CM130" s="357">
        <v>0</v>
      </c>
      <c r="CN130" s="357">
        <v>0</v>
      </c>
      <c r="CO130" s="357">
        <v>1706632</v>
      </c>
      <c r="CP130" s="357">
        <v>0</v>
      </c>
      <c r="CQ130" s="357">
        <v>0</v>
      </c>
      <c r="CR130" s="357">
        <v>1706632</v>
      </c>
      <c r="CS130" s="357">
        <v>157523</v>
      </c>
      <c r="CT130" s="357">
        <v>0</v>
      </c>
      <c r="CU130" s="357">
        <v>0</v>
      </c>
      <c r="CV130" s="357">
        <v>157523</v>
      </c>
      <c r="CW130" s="357">
        <v>39105</v>
      </c>
      <c r="CX130" s="357">
        <v>0</v>
      </c>
      <c r="CY130" s="357">
        <v>0</v>
      </c>
      <c r="CZ130" s="357">
        <v>39105</v>
      </c>
      <c r="DA130" s="357">
        <v>2964</v>
      </c>
      <c r="DB130" s="357">
        <v>0</v>
      </c>
      <c r="DC130" s="357">
        <v>0</v>
      </c>
      <c r="DD130" s="357">
        <v>2964</v>
      </c>
      <c r="DE130" s="357">
        <v>559</v>
      </c>
      <c r="DF130" s="357">
        <v>0</v>
      </c>
      <c r="DG130" s="357">
        <v>0</v>
      </c>
      <c r="DH130" s="357">
        <v>559</v>
      </c>
      <c r="DI130" s="357">
        <v>0</v>
      </c>
      <c r="DJ130" s="357">
        <v>0</v>
      </c>
      <c r="DK130" s="357">
        <v>0</v>
      </c>
      <c r="DL130" s="357">
        <v>0</v>
      </c>
      <c r="DM130" s="357">
        <v>0</v>
      </c>
      <c r="DN130" s="357">
        <v>0</v>
      </c>
      <c r="DO130" s="357">
        <v>72798</v>
      </c>
      <c r="DP130" s="357">
        <v>72798</v>
      </c>
      <c r="DQ130" s="357">
        <v>200151</v>
      </c>
      <c r="DR130" s="357">
        <v>0</v>
      </c>
      <c r="DS130" s="357">
        <v>72798</v>
      </c>
      <c r="DT130" s="357">
        <v>0</v>
      </c>
      <c r="DU130" s="357">
        <v>0</v>
      </c>
      <c r="DV130" s="357">
        <v>0</v>
      </c>
      <c r="DW130" s="357">
        <v>200151</v>
      </c>
      <c r="DX130" s="357">
        <v>0</v>
      </c>
      <c r="DY130" s="357">
        <v>72798</v>
      </c>
      <c r="DZ130" s="357">
        <v>272949</v>
      </c>
      <c r="EA130" s="357">
        <v>72798</v>
      </c>
      <c r="EB130" s="357">
        <v>0</v>
      </c>
      <c r="EC130" s="357">
        <v>50000</v>
      </c>
      <c r="ED130" s="357">
        <v>0</v>
      </c>
      <c r="EE130" s="357">
        <v>0</v>
      </c>
      <c r="EF130" s="357">
        <v>50000</v>
      </c>
      <c r="EG130" s="357">
        <v>128292</v>
      </c>
      <c r="EH130" s="357">
        <v>0</v>
      </c>
      <c r="EI130" s="357">
        <v>0</v>
      </c>
      <c r="EJ130" s="357">
        <v>128292</v>
      </c>
      <c r="EK130" s="357">
        <v>420027</v>
      </c>
      <c r="EL130" s="357">
        <v>0</v>
      </c>
      <c r="EM130" s="357">
        <v>0</v>
      </c>
      <c r="EN130" s="357">
        <v>420027</v>
      </c>
      <c r="EO130" s="357">
        <v>598319</v>
      </c>
      <c r="EP130" s="357">
        <v>0</v>
      </c>
      <c r="EQ130" s="357">
        <v>0</v>
      </c>
      <c r="ER130" s="357">
        <v>0</v>
      </c>
      <c r="ES130" s="357">
        <v>0</v>
      </c>
      <c r="ET130" s="357">
        <v>0</v>
      </c>
      <c r="EU130" s="357">
        <v>598319</v>
      </c>
      <c r="EV130" s="357">
        <v>0</v>
      </c>
      <c r="EW130" s="357">
        <v>0</v>
      </c>
      <c r="EX130" s="357">
        <v>598319</v>
      </c>
      <c r="EY130" s="357">
        <v>32329117</v>
      </c>
      <c r="EZ130" s="357">
        <v>0</v>
      </c>
      <c r="FA130" s="357">
        <v>0</v>
      </c>
      <c r="FB130" s="357">
        <v>32329117</v>
      </c>
      <c r="FC130" s="277">
        <v>0</v>
      </c>
      <c r="FD130" s="205"/>
    </row>
    <row r="131" spans="1:160" ht="12.75">
      <c r="A131" s="169">
        <v>124</v>
      </c>
      <c r="B131" s="172" t="s">
        <v>155</v>
      </c>
      <c r="C131" s="258" t="s">
        <v>156</v>
      </c>
      <c r="D131" s="235">
        <v>311213</v>
      </c>
      <c r="E131" s="357">
        <v>57621763</v>
      </c>
      <c r="F131" s="357">
        <v>0</v>
      </c>
      <c r="G131" s="357">
        <v>0</v>
      </c>
      <c r="H131" s="357">
        <v>57621763</v>
      </c>
      <c r="I131" s="357">
        <v>27139850</v>
      </c>
      <c r="J131" s="357">
        <v>0</v>
      </c>
      <c r="K131" s="357">
        <v>0</v>
      </c>
      <c r="L131" s="357">
        <v>-245745</v>
      </c>
      <c r="M131" s="357">
        <v>0</v>
      </c>
      <c r="N131" s="357">
        <v>0</v>
      </c>
      <c r="O131" s="357">
        <v>26894105</v>
      </c>
      <c r="P131" s="357">
        <v>0</v>
      </c>
      <c r="Q131" s="357">
        <v>0</v>
      </c>
      <c r="R131" s="357">
        <v>26894105</v>
      </c>
      <c r="S131" s="357">
        <v>96000</v>
      </c>
      <c r="T131" s="357">
        <v>0</v>
      </c>
      <c r="U131" s="357">
        <v>0</v>
      </c>
      <c r="V131" s="357">
        <v>96000</v>
      </c>
      <c r="W131" s="357">
        <v>0</v>
      </c>
      <c r="X131" s="357">
        <v>0</v>
      </c>
      <c r="Y131" s="357">
        <v>0</v>
      </c>
      <c r="Z131" s="357">
        <v>0</v>
      </c>
      <c r="AA131" s="357">
        <v>96000</v>
      </c>
      <c r="AB131" s="357">
        <v>0</v>
      </c>
      <c r="AC131" s="357">
        <v>0</v>
      </c>
      <c r="AD131" s="357">
        <v>0</v>
      </c>
      <c r="AE131" s="357">
        <v>0</v>
      </c>
      <c r="AF131" s="357">
        <v>0</v>
      </c>
      <c r="AG131" s="357">
        <v>96000</v>
      </c>
      <c r="AH131" s="357">
        <v>0</v>
      </c>
      <c r="AI131" s="357">
        <v>0</v>
      </c>
      <c r="AJ131" s="357">
        <v>96000</v>
      </c>
      <c r="AK131" s="357">
        <v>96000</v>
      </c>
      <c r="AL131" s="357">
        <v>0</v>
      </c>
      <c r="AM131" s="357">
        <v>0</v>
      </c>
      <c r="AN131" s="357">
        <v>96000</v>
      </c>
      <c r="AO131" s="357">
        <v>2442203</v>
      </c>
      <c r="AP131" s="357">
        <v>0</v>
      </c>
      <c r="AQ131" s="357">
        <v>0</v>
      </c>
      <c r="AR131" s="357">
        <v>2442203</v>
      </c>
      <c r="AS131" s="357">
        <v>0</v>
      </c>
      <c r="AT131" s="357">
        <v>0</v>
      </c>
      <c r="AU131" s="357">
        <v>0</v>
      </c>
      <c r="AV131" s="357">
        <v>0</v>
      </c>
      <c r="AW131" s="357">
        <v>380357</v>
      </c>
      <c r="AX131" s="357">
        <v>0</v>
      </c>
      <c r="AY131" s="357">
        <v>0</v>
      </c>
      <c r="AZ131" s="357">
        <v>380357</v>
      </c>
      <c r="BA131" s="357">
        <v>2061846</v>
      </c>
      <c r="BB131" s="357">
        <v>0</v>
      </c>
      <c r="BC131" s="357">
        <v>0</v>
      </c>
      <c r="BD131" s="357">
        <v>2061846</v>
      </c>
      <c r="BE131" s="357">
        <v>2300000</v>
      </c>
      <c r="BF131" s="357">
        <v>0</v>
      </c>
      <c r="BG131" s="357">
        <v>0</v>
      </c>
      <c r="BH131" s="357">
        <v>2300000</v>
      </c>
      <c r="BI131" s="357">
        <v>35967</v>
      </c>
      <c r="BJ131" s="357">
        <v>0</v>
      </c>
      <c r="BK131" s="357">
        <v>0</v>
      </c>
      <c r="BL131" s="357">
        <v>35967</v>
      </c>
      <c r="BM131" s="357">
        <v>0</v>
      </c>
      <c r="BN131" s="357">
        <v>0</v>
      </c>
      <c r="BO131" s="357">
        <v>0</v>
      </c>
      <c r="BP131" s="357">
        <v>0</v>
      </c>
      <c r="BQ131" s="357">
        <v>4397813</v>
      </c>
      <c r="BR131" s="357">
        <v>0</v>
      </c>
      <c r="BS131" s="357">
        <v>0</v>
      </c>
      <c r="BT131" s="357">
        <v>0</v>
      </c>
      <c r="BU131" s="357">
        <v>0</v>
      </c>
      <c r="BV131" s="357">
        <v>0</v>
      </c>
      <c r="BW131" s="357">
        <v>4397813</v>
      </c>
      <c r="BX131" s="357">
        <v>0</v>
      </c>
      <c r="BY131" s="357">
        <v>0</v>
      </c>
      <c r="BZ131" s="357">
        <v>4397813</v>
      </c>
      <c r="CA131" s="357">
        <v>0</v>
      </c>
      <c r="CB131" s="357">
        <v>0</v>
      </c>
      <c r="CC131" s="357">
        <v>0</v>
      </c>
      <c r="CD131" s="357">
        <v>0</v>
      </c>
      <c r="CE131" s="357">
        <v>712289</v>
      </c>
      <c r="CF131" s="357">
        <v>0</v>
      </c>
      <c r="CG131" s="357">
        <v>0</v>
      </c>
      <c r="CH131" s="357">
        <v>712289</v>
      </c>
      <c r="CI131" s="357">
        <v>712289</v>
      </c>
      <c r="CJ131" s="357">
        <v>0</v>
      </c>
      <c r="CK131" s="357">
        <v>0</v>
      </c>
      <c r="CL131" s="357">
        <v>0</v>
      </c>
      <c r="CM131" s="357">
        <v>0</v>
      </c>
      <c r="CN131" s="357">
        <v>0</v>
      </c>
      <c r="CO131" s="357">
        <v>712289</v>
      </c>
      <c r="CP131" s="357">
        <v>0</v>
      </c>
      <c r="CQ131" s="357">
        <v>0</v>
      </c>
      <c r="CR131" s="357">
        <v>712289</v>
      </c>
      <c r="CS131" s="357">
        <v>188638</v>
      </c>
      <c r="CT131" s="357">
        <v>0</v>
      </c>
      <c r="CU131" s="357">
        <v>0</v>
      </c>
      <c r="CV131" s="357">
        <v>188638</v>
      </c>
      <c r="CW131" s="357">
        <v>128176</v>
      </c>
      <c r="CX131" s="357">
        <v>0</v>
      </c>
      <c r="CY131" s="357">
        <v>0</v>
      </c>
      <c r="CZ131" s="357">
        <v>128176</v>
      </c>
      <c r="DA131" s="357">
        <v>2500</v>
      </c>
      <c r="DB131" s="357">
        <v>0</v>
      </c>
      <c r="DC131" s="357">
        <v>0</v>
      </c>
      <c r="DD131" s="357">
        <v>2500</v>
      </c>
      <c r="DE131" s="357">
        <v>0</v>
      </c>
      <c r="DF131" s="357">
        <v>0</v>
      </c>
      <c r="DG131" s="357">
        <v>0</v>
      </c>
      <c r="DH131" s="357">
        <v>0</v>
      </c>
      <c r="DI131" s="357">
        <v>0</v>
      </c>
      <c r="DJ131" s="357">
        <v>0</v>
      </c>
      <c r="DK131" s="357">
        <v>0</v>
      </c>
      <c r="DL131" s="357">
        <v>0</v>
      </c>
      <c r="DM131" s="357">
        <v>0</v>
      </c>
      <c r="DN131" s="357">
        <v>0</v>
      </c>
      <c r="DO131" s="357">
        <v>0</v>
      </c>
      <c r="DP131" s="357">
        <v>0</v>
      </c>
      <c r="DQ131" s="357">
        <v>319314</v>
      </c>
      <c r="DR131" s="357">
        <v>0</v>
      </c>
      <c r="DS131" s="357">
        <v>0</v>
      </c>
      <c r="DT131" s="357">
        <v>0</v>
      </c>
      <c r="DU131" s="357">
        <v>0</v>
      </c>
      <c r="DV131" s="357">
        <v>0</v>
      </c>
      <c r="DW131" s="357">
        <v>319314</v>
      </c>
      <c r="DX131" s="357">
        <v>0</v>
      </c>
      <c r="DY131" s="357">
        <v>0</v>
      </c>
      <c r="DZ131" s="357">
        <v>319314</v>
      </c>
      <c r="EA131" s="357">
        <v>0</v>
      </c>
      <c r="EB131" s="357">
        <v>0</v>
      </c>
      <c r="EC131" s="357">
        <v>0</v>
      </c>
      <c r="ED131" s="357">
        <v>0</v>
      </c>
      <c r="EE131" s="357">
        <v>0</v>
      </c>
      <c r="EF131" s="357">
        <v>0</v>
      </c>
      <c r="EG131" s="357">
        <v>0</v>
      </c>
      <c r="EH131" s="357">
        <v>0</v>
      </c>
      <c r="EI131" s="357">
        <v>0</v>
      </c>
      <c r="EJ131" s="357">
        <v>0</v>
      </c>
      <c r="EK131" s="357">
        <v>0</v>
      </c>
      <c r="EL131" s="357">
        <v>0</v>
      </c>
      <c r="EM131" s="357">
        <v>0</v>
      </c>
      <c r="EN131" s="357">
        <v>0</v>
      </c>
      <c r="EO131" s="357">
        <v>0</v>
      </c>
      <c r="EP131" s="357">
        <v>0</v>
      </c>
      <c r="EQ131" s="357">
        <v>0</v>
      </c>
      <c r="ER131" s="357">
        <v>0</v>
      </c>
      <c r="ES131" s="357">
        <v>0</v>
      </c>
      <c r="ET131" s="357">
        <v>0</v>
      </c>
      <c r="EU131" s="357">
        <v>0</v>
      </c>
      <c r="EV131" s="357">
        <v>0</v>
      </c>
      <c r="EW131" s="357">
        <v>0</v>
      </c>
      <c r="EX131" s="357">
        <v>0</v>
      </c>
      <c r="EY131" s="357">
        <v>21368689</v>
      </c>
      <c r="EZ131" s="357">
        <v>0</v>
      </c>
      <c r="FA131" s="357">
        <v>0</v>
      </c>
      <c r="FB131" s="357">
        <v>21368689</v>
      </c>
      <c r="FC131" s="277">
        <v>0</v>
      </c>
      <c r="FD131" s="205"/>
    </row>
    <row r="132" spans="1:160" ht="12.75">
      <c r="A132" s="169">
        <v>125</v>
      </c>
      <c r="B132" s="172" t="s">
        <v>157</v>
      </c>
      <c r="C132" s="258" t="s">
        <v>158</v>
      </c>
      <c r="D132" s="235">
        <v>41652</v>
      </c>
      <c r="E132" s="357">
        <v>79464315</v>
      </c>
      <c r="F132" s="357">
        <v>0</v>
      </c>
      <c r="G132" s="357">
        <v>0</v>
      </c>
      <c r="H132" s="357">
        <v>79464315</v>
      </c>
      <c r="I132" s="357">
        <v>37427692</v>
      </c>
      <c r="J132" s="357">
        <v>0</v>
      </c>
      <c r="K132" s="357">
        <v>0</v>
      </c>
      <c r="L132" s="357">
        <v>-1725000</v>
      </c>
      <c r="M132" s="357">
        <v>0</v>
      </c>
      <c r="N132" s="357">
        <v>0</v>
      </c>
      <c r="O132" s="357">
        <v>35702692</v>
      </c>
      <c r="P132" s="357">
        <v>0</v>
      </c>
      <c r="Q132" s="357">
        <v>0</v>
      </c>
      <c r="R132" s="357">
        <v>35702692</v>
      </c>
      <c r="S132" s="357">
        <v>32387.35</v>
      </c>
      <c r="T132" s="357">
        <v>0</v>
      </c>
      <c r="U132" s="357">
        <v>0</v>
      </c>
      <c r="V132" s="357">
        <v>32387.35</v>
      </c>
      <c r="W132" s="357">
        <v>5909.01</v>
      </c>
      <c r="X132" s="357">
        <v>0</v>
      </c>
      <c r="Y132" s="357">
        <v>0</v>
      </c>
      <c r="Z132" s="357">
        <v>5909.01</v>
      </c>
      <c r="AA132" s="357">
        <v>26478.34</v>
      </c>
      <c r="AB132" s="357">
        <v>0</v>
      </c>
      <c r="AC132" s="357">
        <v>0</v>
      </c>
      <c r="AD132" s="357">
        <v>0</v>
      </c>
      <c r="AE132" s="357">
        <v>0</v>
      </c>
      <c r="AF132" s="357">
        <v>0</v>
      </c>
      <c r="AG132" s="357">
        <v>26478.34</v>
      </c>
      <c r="AH132" s="357">
        <v>0</v>
      </c>
      <c r="AI132" s="357">
        <v>0</v>
      </c>
      <c r="AJ132" s="357">
        <v>26478.34</v>
      </c>
      <c r="AK132" s="357">
        <v>26478.34</v>
      </c>
      <c r="AL132" s="357">
        <v>0</v>
      </c>
      <c r="AM132" s="357">
        <v>0</v>
      </c>
      <c r="AN132" s="357">
        <v>26478.34</v>
      </c>
      <c r="AO132" s="357">
        <v>1924895.44</v>
      </c>
      <c r="AP132" s="357">
        <v>0</v>
      </c>
      <c r="AQ132" s="357">
        <v>0</v>
      </c>
      <c r="AR132" s="357">
        <v>1924895.44</v>
      </c>
      <c r="AS132" s="357">
        <v>0</v>
      </c>
      <c r="AT132" s="357">
        <v>0</v>
      </c>
      <c r="AU132" s="357">
        <v>0</v>
      </c>
      <c r="AV132" s="357">
        <v>0</v>
      </c>
      <c r="AW132" s="357">
        <v>743554.89</v>
      </c>
      <c r="AX132" s="357">
        <v>0</v>
      </c>
      <c r="AY132" s="357">
        <v>0</v>
      </c>
      <c r="AZ132" s="357">
        <v>743554.89</v>
      </c>
      <c r="BA132" s="357">
        <v>1181340.55</v>
      </c>
      <c r="BB132" s="357">
        <v>0</v>
      </c>
      <c r="BC132" s="357">
        <v>0</v>
      </c>
      <c r="BD132" s="357">
        <v>1181340.55</v>
      </c>
      <c r="BE132" s="357">
        <v>1840599.77</v>
      </c>
      <c r="BF132" s="357">
        <v>0</v>
      </c>
      <c r="BG132" s="357">
        <v>0</v>
      </c>
      <c r="BH132" s="357">
        <v>1840599.77</v>
      </c>
      <c r="BI132" s="357">
        <v>684.44</v>
      </c>
      <c r="BJ132" s="357">
        <v>0</v>
      </c>
      <c r="BK132" s="357">
        <v>0</v>
      </c>
      <c r="BL132" s="357">
        <v>684.44</v>
      </c>
      <c r="BM132" s="357">
        <v>1928</v>
      </c>
      <c r="BN132" s="357">
        <v>0</v>
      </c>
      <c r="BO132" s="357">
        <v>0</v>
      </c>
      <c r="BP132" s="357">
        <v>1928</v>
      </c>
      <c r="BQ132" s="357">
        <v>3024552.76</v>
      </c>
      <c r="BR132" s="357">
        <v>0</v>
      </c>
      <c r="BS132" s="357">
        <v>0</v>
      </c>
      <c r="BT132" s="357">
        <v>0</v>
      </c>
      <c r="BU132" s="357">
        <v>0</v>
      </c>
      <c r="BV132" s="357">
        <v>0</v>
      </c>
      <c r="BW132" s="357">
        <v>3024552.76</v>
      </c>
      <c r="BX132" s="357">
        <v>0</v>
      </c>
      <c r="BY132" s="357">
        <v>0</v>
      </c>
      <c r="BZ132" s="357">
        <v>3024552.76</v>
      </c>
      <c r="CA132" s="357">
        <v>0</v>
      </c>
      <c r="CB132" s="357">
        <v>0</v>
      </c>
      <c r="CC132" s="357">
        <v>0</v>
      </c>
      <c r="CD132" s="357">
        <v>0</v>
      </c>
      <c r="CE132" s="357">
        <v>732825.57</v>
      </c>
      <c r="CF132" s="357">
        <v>0</v>
      </c>
      <c r="CG132" s="357">
        <v>0</v>
      </c>
      <c r="CH132" s="357">
        <v>732825.57</v>
      </c>
      <c r="CI132" s="357">
        <v>732825.57</v>
      </c>
      <c r="CJ132" s="357">
        <v>0</v>
      </c>
      <c r="CK132" s="357">
        <v>0</v>
      </c>
      <c r="CL132" s="357">
        <v>980374.52</v>
      </c>
      <c r="CM132" s="357">
        <v>0</v>
      </c>
      <c r="CN132" s="357">
        <v>0</v>
      </c>
      <c r="CO132" s="357">
        <v>1713200.09</v>
      </c>
      <c r="CP132" s="357">
        <v>0</v>
      </c>
      <c r="CQ132" s="357">
        <v>0</v>
      </c>
      <c r="CR132" s="357">
        <v>1713200.09</v>
      </c>
      <c r="CS132" s="357">
        <v>95236.71</v>
      </c>
      <c r="CT132" s="357">
        <v>0</v>
      </c>
      <c r="CU132" s="357">
        <v>0</v>
      </c>
      <c r="CV132" s="357">
        <v>95236.71</v>
      </c>
      <c r="CW132" s="357">
        <v>89119.98</v>
      </c>
      <c r="CX132" s="357">
        <v>0</v>
      </c>
      <c r="CY132" s="357">
        <v>0</v>
      </c>
      <c r="CZ132" s="357">
        <v>89119.98</v>
      </c>
      <c r="DA132" s="357">
        <v>0</v>
      </c>
      <c r="DB132" s="357">
        <v>0</v>
      </c>
      <c r="DC132" s="357">
        <v>0</v>
      </c>
      <c r="DD132" s="357">
        <v>0</v>
      </c>
      <c r="DE132" s="357">
        <v>1928</v>
      </c>
      <c r="DF132" s="357">
        <v>0</v>
      </c>
      <c r="DG132" s="357">
        <v>0</v>
      </c>
      <c r="DH132" s="357">
        <v>1928</v>
      </c>
      <c r="DI132" s="357">
        <v>0</v>
      </c>
      <c r="DJ132" s="357">
        <v>0</v>
      </c>
      <c r="DK132" s="357">
        <v>0</v>
      </c>
      <c r="DL132" s="357">
        <v>0</v>
      </c>
      <c r="DM132" s="357">
        <v>0</v>
      </c>
      <c r="DN132" s="357">
        <v>0</v>
      </c>
      <c r="DO132" s="357">
        <v>0</v>
      </c>
      <c r="DP132" s="357">
        <v>0</v>
      </c>
      <c r="DQ132" s="357">
        <v>186284.69</v>
      </c>
      <c r="DR132" s="357">
        <v>0</v>
      </c>
      <c r="DS132" s="357">
        <v>0</v>
      </c>
      <c r="DT132" s="357">
        <v>0</v>
      </c>
      <c r="DU132" s="357">
        <v>0</v>
      </c>
      <c r="DV132" s="357">
        <v>0</v>
      </c>
      <c r="DW132" s="357">
        <v>186284.69</v>
      </c>
      <c r="DX132" s="357">
        <v>0</v>
      </c>
      <c r="DY132" s="357">
        <v>0</v>
      </c>
      <c r="DZ132" s="357">
        <v>186284.69</v>
      </c>
      <c r="EA132" s="357">
        <v>0</v>
      </c>
      <c r="EB132" s="357">
        <v>0</v>
      </c>
      <c r="EC132" s="357">
        <v>50000</v>
      </c>
      <c r="ED132" s="357">
        <v>0</v>
      </c>
      <c r="EE132" s="357">
        <v>0</v>
      </c>
      <c r="EF132" s="357">
        <v>50000</v>
      </c>
      <c r="EG132" s="357">
        <v>21000</v>
      </c>
      <c r="EH132" s="357">
        <v>0</v>
      </c>
      <c r="EI132" s="357">
        <v>0</v>
      </c>
      <c r="EJ132" s="357">
        <v>21000</v>
      </c>
      <c r="EK132" s="357">
        <v>530000</v>
      </c>
      <c r="EL132" s="357">
        <v>0</v>
      </c>
      <c r="EM132" s="357">
        <v>0</v>
      </c>
      <c r="EN132" s="357">
        <v>530000</v>
      </c>
      <c r="EO132" s="357">
        <v>601000</v>
      </c>
      <c r="EP132" s="357">
        <v>0</v>
      </c>
      <c r="EQ132" s="357">
        <v>0</v>
      </c>
      <c r="ER132" s="357">
        <v>0</v>
      </c>
      <c r="ES132" s="357">
        <v>0</v>
      </c>
      <c r="ET132" s="357">
        <v>0</v>
      </c>
      <c r="EU132" s="357">
        <v>601000</v>
      </c>
      <c r="EV132" s="357">
        <v>0</v>
      </c>
      <c r="EW132" s="357">
        <v>0</v>
      </c>
      <c r="EX132" s="357">
        <v>601000</v>
      </c>
      <c r="EY132" s="357">
        <v>30151176.1</v>
      </c>
      <c r="EZ132" s="357">
        <v>0</v>
      </c>
      <c r="FA132" s="357">
        <v>0</v>
      </c>
      <c r="FB132" s="357">
        <v>30151176.1</v>
      </c>
      <c r="FC132" s="277">
        <v>0</v>
      </c>
      <c r="FD132" s="205"/>
    </row>
    <row r="133" spans="1:160" ht="12.75">
      <c r="A133" s="169">
        <v>126</v>
      </c>
      <c r="B133" s="172" t="s">
        <v>159</v>
      </c>
      <c r="C133" s="258" t="s">
        <v>160</v>
      </c>
      <c r="D133" s="235">
        <v>181213</v>
      </c>
      <c r="E133" s="357">
        <v>185635174</v>
      </c>
      <c r="F133" s="357">
        <v>0</v>
      </c>
      <c r="G133" s="357">
        <v>0</v>
      </c>
      <c r="H133" s="357">
        <v>185635174</v>
      </c>
      <c r="I133" s="357">
        <v>87434167</v>
      </c>
      <c r="J133" s="357">
        <v>0</v>
      </c>
      <c r="K133" s="357">
        <v>0</v>
      </c>
      <c r="L133" s="357">
        <v>-761476.69</v>
      </c>
      <c r="M133" s="357">
        <v>0</v>
      </c>
      <c r="N133" s="357">
        <v>0</v>
      </c>
      <c r="O133" s="357">
        <v>86672690.3</v>
      </c>
      <c r="P133" s="357">
        <v>0</v>
      </c>
      <c r="Q133" s="357">
        <v>0</v>
      </c>
      <c r="R133" s="357">
        <v>86672690.3</v>
      </c>
      <c r="S133" s="357">
        <v>55876.13</v>
      </c>
      <c r="T133" s="357">
        <v>0</v>
      </c>
      <c r="U133" s="357">
        <v>0</v>
      </c>
      <c r="V133" s="357">
        <v>55876.13</v>
      </c>
      <c r="W133" s="357">
        <v>2112.38</v>
      </c>
      <c r="X133" s="357">
        <v>0</v>
      </c>
      <c r="Y133" s="357">
        <v>0</v>
      </c>
      <c r="Z133" s="357">
        <v>2112.38</v>
      </c>
      <c r="AA133" s="357">
        <v>53763.75</v>
      </c>
      <c r="AB133" s="357">
        <v>0</v>
      </c>
      <c r="AC133" s="357">
        <v>0</v>
      </c>
      <c r="AD133" s="357">
        <v>0</v>
      </c>
      <c r="AE133" s="357">
        <v>0</v>
      </c>
      <c r="AF133" s="357">
        <v>0</v>
      </c>
      <c r="AG133" s="357">
        <v>53763.75</v>
      </c>
      <c r="AH133" s="357">
        <v>0</v>
      </c>
      <c r="AI133" s="357">
        <v>0</v>
      </c>
      <c r="AJ133" s="357">
        <v>53763.75</v>
      </c>
      <c r="AK133" s="357">
        <v>53763.75</v>
      </c>
      <c r="AL133" s="357">
        <v>0</v>
      </c>
      <c r="AM133" s="357">
        <v>0</v>
      </c>
      <c r="AN133" s="357">
        <v>53763.75</v>
      </c>
      <c r="AO133" s="357">
        <v>3244358.74</v>
      </c>
      <c r="AP133" s="357">
        <v>0</v>
      </c>
      <c r="AQ133" s="357">
        <v>0</v>
      </c>
      <c r="AR133" s="357">
        <v>3244358.74</v>
      </c>
      <c r="AS133" s="357">
        <v>19645.41</v>
      </c>
      <c r="AT133" s="357">
        <v>0</v>
      </c>
      <c r="AU133" s="357">
        <v>0</v>
      </c>
      <c r="AV133" s="357">
        <v>19645.41</v>
      </c>
      <c r="AW133" s="357">
        <v>1340271.54</v>
      </c>
      <c r="AX133" s="357">
        <v>0</v>
      </c>
      <c r="AY133" s="357">
        <v>0</v>
      </c>
      <c r="AZ133" s="357">
        <v>1340271.54</v>
      </c>
      <c r="BA133" s="357">
        <v>1904087.2</v>
      </c>
      <c r="BB133" s="357">
        <v>0</v>
      </c>
      <c r="BC133" s="357">
        <v>0</v>
      </c>
      <c r="BD133" s="357">
        <v>1904087.2</v>
      </c>
      <c r="BE133" s="357">
        <v>4030154.31</v>
      </c>
      <c r="BF133" s="357">
        <v>0</v>
      </c>
      <c r="BG133" s="357">
        <v>0</v>
      </c>
      <c r="BH133" s="357">
        <v>4030154.31</v>
      </c>
      <c r="BI133" s="357">
        <v>323017.12</v>
      </c>
      <c r="BJ133" s="357">
        <v>0</v>
      </c>
      <c r="BK133" s="357">
        <v>0</v>
      </c>
      <c r="BL133" s="357">
        <v>323017.12</v>
      </c>
      <c r="BM133" s="357">
        <v>0</v>
      </c>
      <c r="BN133" s="357">
        <v>0</v>
      </c>
      <c r="BO133" s="357">
        <v>0</v>
      </c>
      <c r="BP133" s="357">
        <v>0</v>
      </c>
      <c r="BQ133" s="357">
        <v>6257258.63</v>
      </c>
      <c r="BR133" s="357">
        <v>0</v>
      </c>
      <c r="BS133" s="357">
        <v>0</v>
      </c>
      <c r="BT133" s="357">
        <v>20436.8</v>
      </c>
      <c r="BU133" s="357">
        <v>0</v>
      </c>
      <c r="BV133" s="357">
        <v>0</v>
      </c>
      <c r="BW133" s="357">
        <v>6277695.43</v>
      </c>
      <c r="BX133" s="357">
        <v>0</v>
      </c>
      <c r="BY133" s="357">
        <v>0</v>
      </c>
      <c r="BZ133" s="357">
        <v>6277695.43</v>
      </c>
      <c r="CA133" s="357">
        <v>0</v>
      </c>
      <c r="CB133" s="357">
        <v>0</v>
      </c>
      <c r="CC133" s="357">
        <v>0</v>
      </c>
      <c r="CD133" s="357">
        <v>0</v>
      </c>
      <c r="CE133" s="357">
        <v>3242644.68</v>
      </c>
      <c r="CF133" s="357">
        <v>0</v>
      </c>
      <c r="CG133" s="357">
        <v>0</v>
      </c>
      <c r="CH133" s="357">
        <v>3242644.68</v>
      </c>
      <c r="CI133" s="357">
        <v>3242644.68</v>
      </c>
      <c r="CJ133" s="357">
        <v>0</v>
      </c>
      <c r="CK133" s="357">
        <v>0</v>
      </c>
      <c r="CL133" s="357">
        <v>-23485</v>
      </c>
      <c r="CM133" s="357">
        <v>0</v>
      </c>
      <c r="CN133" s="357">
        <v>0</v>
      </c>
      <c r="CO133" s="357">
        <v>3219159.68</v>
      </c>
      <c r="CP133" s="357">
        <v>0</v>
      </c>
      <c r="CQ133" s="357">
        <v>0</v>
      </c>
      <c r="CR133" s="357">
        <v>3219159.68</v>
      </c>
      <c r="CS133" s="357">
        <v>136422.39</v>
      </c>
      <c r="CT133" s="357">
        <v>0</v>
      </c>
      <c r="CU133" s="357">
        <v>0</v>
      </c>
      <c r="CV133" s="357">
        <v>136422.39</v>
      </c>
      <c r="CW133" s="357">
        <v>574.62</v>
      </c>
      <c r="CX133" s="357">
        <v>0</v>
      </c>
      <c r="CY133" s="357">
        <v>0</v>
      </c>
      <c r="CZ133" s="357">
        <v>574.62</v>
      </c>
      <c r="DA133" s="357">
        <v>72251.8</v>
      </c>
      <c r="DB133" s="357">
        <v>0</v>
      </c>
      <c r="DC133" s="357">
        <v>0</v>
      </c>
      <c r="DD133" s="357">
        <v>72251.8</v>
      </c>
      <c r="DE133" s="357">
        <v>0</v>
      </c>
      <c r="DF133" s="357">
        <v>0</v>
      </c>
      <c r="DG133" s="357">
        <v>0</v>
      </c>
      <c r="DH133" s="357">
        <v>0</v>
      </c>
      <c r="DI133" s="357">
        <v>0</v>
      </c>
      <c r="DJ133" s="357">
        <v>0</v>
      </c>
      <c r="DK133" s="357">
        <v>0</v>
      </c>
      <c r="DL133" s="357">
        <v>0</v>
      </c>
      <c r="DM133" s="357">
        <v>0</v>
      </c>
      <c r="DN133" s="357">
        <v>0</v>
      </c>
      <c r="DO133" s="357">
        <v>0</v>
      </c>
      <c r="DP133" s="357">
        <v>0</v>
      </c>
      <c r="DQ133" s="357">
        <v>209248.81</v>
      </c>
      <c r="DR133" s="357">
        <v>0</v>
      </c>
      <c r="DS133" s="357">
        <v>0</v>
      </c>
      <c r="DT133" s="357">
        <v>0</v>
      </c>
      <c r="DU133" s="357">
        <v>0</v>
      </c>
      <c r="DV133" s="357">
        <v>0</v>
      </c>
      <c r="DW133" s="357">
        <v>209248.81</v>
      </c>
      <c r="DX133" s="357">
        <v>0</v>
      </c>
      <c r="DY133" s="357">
        <v>0</v>
      </c>
      <c r="DZ133" s="357">
        <v>209248.81</v>
      </c>
      <c r="EA133" s="357">
        <v>0</v>
      </c>
      <c r="EB133" s="357">
        <v>0</v>
      </c>
      <c r="EC133" s="357">
        <v>0</v>
      </c>
      <c r="ED133" s="357">
        <v>0</v>
      </c>
      <c r="EE133" s="357">
        <v>0</v>
      </c>
      <c r="EF133" s="357">
        <v>0</v>
      </c>
      <c r="EG133" s="357">
        <v>23485</v>
      </c>
      <c r="EH133" s="357">
        <v>0</v>
      </c>
      <c r="EI133" s="357">
        <v>0</v>
      </c>
      <c r="EJ133" s="357">
        <v>23485</v>
      </c>
      <c r="EK133" s="357">
        <v>1480448.24</v>
      </c>
      <c r="EL133" s="357">
        <v>0</v>
      </c>
      <c r="EM133" s="357">
        <v>0</v>
      </c>
      <c r="EN133" s="357">
        <v>1480448.24</v>
      </c>
      <c r="EO133" s="357">
        <v>1503933.24</v>
      </c>
      <c r="EP133" s="357">
        <v>0</v>
      </c>
      <c r="EQ133" s="357">
        <v>0</v>
      </c>
      <c r="ER133" s="357">
        <v>0</v>
      </c>
      <c r="ES133" s="357">
        <v>0</v>
      </c>
      <c r="ET133" s="357">
        <v>0</v>
      </c>
      <c r="EU133" s="357">
        <v>1503933.24</v>
      </c>
      <c r="EV133" s="357">
        <v>0</v>
      </c>
      <c r="EW133" s="357">
        <v>0</v>
      </c>
      <c r="EX133" s="357">
        <v>1503933.24</v>
      </c>
      <c r="EY133" s="357">
        <v>75408889.4</v>
      </c>
      <c r="EZ133" s="357">
        <v>0</v>
      </c>
      <c r="FA133" s="357">
        <v>0</v>
      </c>
      <c r="FB133" s="357">
        <v>75408889.4</v>
      </c>
      <c r="FC133" s="277">
        <v>0</v>
      </c>
      <c r="FD133" s="205"/>
    </row>
    <row r="134" spans="1:160" ht="12.75">
      <c r="A134" s="169">
        <v>127</v>
      </c>
      <c r="B134" s="172" t="s">
        <v>161</v>
      </c>
      <c r="C134" s="258" t="s">
        <v>162</v>
      </c>
      <c r="D134" s="235">
        <v>41670</v>
      </c>
      <c r="E134" s="357">
        <v>123878265</v>
      </c>
      <c r="F134" s="357">
        <v>0</v>
      </c>
      <c r="G134" s="357">
        <v>206775</v>
      </c>
      <c r="H134" s="357">
        <v>124085040</v>
      </c>
      <c r="I134" s="357">
        <v>58346663</v>
      </c>
      <c r="J134" s="357">
        <v>0</v>
      </c>
      <c r="K134" s="357">
        <v>97391</v>
      </c>
      <c r="L134" s="357">
        <v>2310993</v>
      </c>
      <c r="M134" s="357">
        <v>0</v>
      </c>
      <c r="N134" s="357">
        <v>116788</v>
      </c>
      <c r="O134" s="357">
        <v>60657656</v>
      </c>
      <c r="P134" s="357">
        <v>0</v>
      </c>
      <c r="Q134" s="357">
        <v>214179</v>
      </c>
      <c r="R134" s="357">
        <v>60871835</v>
      </c>
      <c r="S134" s="357">
        <v>103339</v>
      </c>
      <c r="T134" s="357">
        <v>0</v>
      </c>
      <c r="U134" s="357">
        <v>0</v>
      </c>
      <c r="V134" s="357">
        <v>103339</v>
      </c>
      <c r="W134" s="357">
        <v>31919</v>
      </c>
      <c r="X134" s="357">
        <v>0</v>
      </c>
      <c r="Y134" s="357">
        <v>0</v>
      </c>
      <c r="Z134" s="357">
        <v>31919</v>
      </c>
      <c r="AA134" s="357">
        <v>71420</v>
      </c>
      <c r="AB134" s="357">
        <v>0</v>
      </c>
      <c r="AC134" s="357">
        <v>0</v>
      </c>
      <c r="AD134" s="357">
        <v>0</v>
      </c>
      <c r="AE134" s="357">
        <v>0</v>
      </c>
      <c r="AF134" s="357">
        <v>0</v>
      </c>
      <c r="AG134" s="357">
        <v>71420</v>
      </c>
      <c r="AH134" s="357">
        <v>0</v>
      </c>
      <c r="AI134" s="357">
        <v>0</v>
      </c>
      <c r="AJ134" s="357">
        <v>71420</v>
      </c>
      <c r="AK134" s="357">
        <v>71420</v>
      </c>
      <c r="AL134" s="357">
        <v>0</v>
      </c>
      <c r="AM134" s="357">
        <v>0</v>
      </c>
      <c r="AN134" s="357">
        <v>71420</v>
      </c>
      <c r="AO134" s="357">
        <v>4990006</v>
      </c>
      <c r="AP134" s="357">
        <v>0</v>
      </c>
      <c r="AQ134" s="357">
        <v>27582</v>
      </c>
      <c r="AR134" s="357">
        <v>5017588</v>
      </c>
      <c r="AS134" s="357">
        <v>0</v>
      </c>
      <c r="AT134" s="357">
        <v>0</v>
      </c>
      <c r="AU134" s="357">
        <v>0</v>
      </c>
      <c r="AV134" s="357">
        <v>0</v>
      </c>
      <c r="AW134" s="357">
        <v>874433</v>
      </c>
      <c r="AX134" s="357">
        <v>0</v>
      </c>
      <c r="AY134" s="357">
        <v>0</v>
      </c>
      <c r="AZ134" s="357">
        <v>874433</v>
      </c>
      <c r="BA134" s="357">
        <v>4115573</v>
      </c>
      <c r="BB134" s="357">
        <v>0</v>
      </c>
      <c r="BC134" s="357">
        <v>27582</v>
      </c>
      <c r="BD134" s="357">
        <v>4143155</v>
      </c>
      <c r="BE134" s="357">
        <v>4084214</v>
      </c>
      <c r="BF134" s="357">
        <v>0</v>
      </c>
      <c r="BG134" s="357">
        <v>0</v>
      </c>
      <c r="BH134" s="357">
        <v>4084214</v>
      </c>
      <c r="BI134" s="357">
        <v>93578</v>
      </c>
      <c r="BJ134" s="357">
        <v>0</v>
      </c>
      <c r="BK134" s="357">
        <v>0</v>
      </c>
      <c r="BL134" s="357">
        <v>93578</v>
      </c>
      <c r="BM134" s="357">
        <v>90682</v>
      </c>
      <c r="BN134" s="357">
        <v>0</v>
      </c>
      <c r="BO134" s="357">
        <v>0</v>
      </c>
      <c r="BP134" s="357">
        <v>90682</v>
      </c>
      <c r="BQ134" s="357">
        <v>8384047</v>
      </c>
      <c r="BR134" s="357">
        <v>0</v>
      </c>
      <c r="BS134" s="357">
        <v>27582</v>
      </c>
      <c r="BT134" s="357">
        <v>0</v>
      </c>
      <c r="BU134" s="357">
        <v>0</v>
      </c>
      <c r="BV134" s="357">
        <v>0</v>
      </c>
      <c r="BW134" s="357">
        <v>8384047</v>
      </c>
      <c r="BX134" s="357">
        <v>0</v>
      </c>
      <c r="BY134" s="357">
        <v>27582</v>
      </c>
      <c r="BZ134" s="357">
        <v>8411629</v>
      </c>
      <c r="CA134" s="357">
        <v>4247</v>
      </c>
      <c r="CB134" s="357">
        <v>0</v>
      </c>
      <c r="CC134" s="357">
        <v>0</v>
      </c>
      <c r="CD134" s="357">
        <v>4247</v>
      </c>
      <c r="CE134" s="357">
        <v>1849198</v>
      </c>
      <c r="CF134" s="357">
        <v>0</v>
      </c>
      <c r="CG134" s="357">
        <v>1497</v>
      </c>
      <c r="CH134" s="357">
        <v>1850695</v>
      </c>
      <c r="CI134" s="357">
        <v>1853445</v>
      </c>
      <c r="CJ134" s="357">
        <v>0</v>
      </c>
      <c r="CK134" s="357">
        <v>1497</v>
      </c>
      <c r="CL134" s="357">
        <v>0</v>
      </c>
      <c r="CM134" s="357">
        <v>0</v>
      </c>
      <c r="CN134" s="357">
        <v>0</v>
      </c>
      <c r="CO134" s="357">
        <v>1853445</v>
      </c>
      <c r="CP134" s="357">
        <v>0</v>
      </c>
      <c r="CQ134" s="357">
        <v>1497</v>
      </c>
      <c r="CR134" s="357">
        <v>1854942</v>
      </c>
      <c r="CS134" s="357">
        <v>291969</v>
      </c>
      <c r="CT134" s="357">
        <v>0</v>
      </c>
      <c r="CU134" s="357">
        <v>0</v>
      </c>
      <c r="CV134" s="357">
        <v>291969</v>
      </c>
      <c r="CW134" s="357">
        <v>126418</v>
      </c>
      <c r="CX134" s="357">
        <v>0</v>
      </c>
      <c r="CY134" s="357">
        <v>0</v>
      </c>
      <c r="CZ134" s="357">
        <v>126418</v>
      </c>
      <c r="DA134" s="357">
        <v>17484</v>
      </c>
      <c r="DB134" s="357">
        <v>0</v>
      </c>
      <c r="DC134" s="357">
        <v>0</v>
      </c>
      <c r="DD134" s="357">
        <v>17484</v>
      </c>
      <c r="DE134" s="357">
        <v>57330</v>
      </c>
      <c r="DF134" s="357">
        <v>0</v>
      </c>
      <c r="DG134" s="357">
        <v>0</v>
      </c>
      <c r="DH134" s="357">
        <v>57330</v>
      </c>
      <c r="DI134" s="357">
        <v>0</v>
      </c>
      <c r="DJ134" s="357">
        <v>0</v>
      </c>
      <c r="DK134" s="357">
        <v>0</v>
      </c>
      <c r="DL134" s="357">
        <v>0</v>
      </c>
      <c r="DM134" s="357">
        <v>0</v>
      </c>
      <c r="DN134" s="357">
        <v>0</v>
      </c>
      <c r="DO134" s="357">
        <v>185100</v>
      </c>
      <c r="DP134" s="357">
        <v>185100</v>
      </c>
      <c r="DQ134" s="357">
        <v>493201</v>
      </c>
      <c r="DR134" s="357">
        <v>0</v>
      </c>
      <c r="DS134" s="357">
        <v>185100</v>
      </c>
      <c r="DT134" s="357">
        <v>0</v>
      </c>
      <c r="DU134" s="357">
        <v>0</v>
      </c>
      <c r="DV134" s="357">
        <v>0</v>
      </c>
      <c r="DW134" s="357">
        <v>493201</v>
      </c>
      <c r="DX134" s="357">
        <v>0</v>
      </c>
      <c r="DY134" s="357">
        <v>185100</v>
      </c>
      <c r="DZ134" s="357">
        <v>678301</v>
      </c>
      <c r="EA134" s="357">
        <v>185100</v>
      </c>
      <c r="EB134" s="357">
        <v>0</v>
      </c>
      <c r="EC134" s="357">
        <v>302000</v>
      </c>
      <c r="ED134" s="357">
        <v>0</v>
      </c>
      <c r="EE134" s="357">
        <v>0</v>
      </c>
      <c r="EF134" s="357">
        <v>302000</v>
      </c>
      <c r="EG134" s="357">
        <v>38258</v>
      </c>
      <c r="EH134" s="357">
        <v>0</v>
      </c>
      <c r="EI134" s="357">
        <v>0</v>
      </c>
      <c r="EJ134" s="357">
        <v>38258</v>
      </c>
      <c r="EK134" s="357">
        <v>1032616</v>
      </c>
      <c r="EL134" s="357">
        <v>0</v>
      </c>
      <c r="EM134" s="357">
        <v>0</v>
      </c>
      <c r="EN134" s="357">
        <v>1032616</v>
      </c>
      <c r="EO134" s="357">
        <v>1372874</v>
      </c>
      <c r="EP134" s="357">
        <v>0</v>
      </c>
      <c r="EQ134" s="357">
        <v>0</v>
      </c>
      <c r="ER134" s="357">
        <v>0</v>
      </c>
      <c r="ES134" s="357">
        <v>0</v>
      </c>
      <c r="ET134" s="357">
        <v>0</v>
      </c>
      <c r="EU134" s="357">
        <v>1372874</v>
      </c>
      <c r="EV134" s="357">
        <v>0</v>
      </c>
      <c r="EW134" s="357">
        <v>0</v>
      </c>
      <c r="EX134" s="357">
        <v>1372874</v>
      </c>
      <c r="EY134" s="357">
        <v>48482669</v>
      </c>
      <c r="EZ134" s="357">
        <v>0</v>
      </c>
      <c r="FA134" s="357">
        <v>0</v>
      </c>
      <c r="FB134" s="357">
        <v>48482669</v>
      </c>
      <c r="FC134" s="277">
        <v>0</v>
      </c>
      <c r="FD134" s="205"/>
    </row>
    <row r="135" spans="1:160" ht="12.75">
      <c r="A135" s="169">
        <v>128</v>
      </c>
      <c r="B135" s="172" t="s">
        <v>163</v>
      </c>
      <c r="C135" s="258" t="s">
        <v>164</v>
      </c>
      <c r="D135" s="235">
        <v>41661</v>
      </c>
      <c r="E135" s="357">
        <v>113405446</v>
      </c>
      <c r="F135" s="357">
        <v>0</v>
      </c>
      <c r="G135" s="357">
        <v>0</v>
      </c>
      <c r="H135" s="357">
        <v>113405446</v>
      </c>
      <c r="I135" s="357">
        <v>53413965</v>
      </c>
      <c r="J135" s="357">
        <v>0</v>
      </c>
      <c r="K135" s="357">
        <v>0</v>
      </c>
      <c r="L135" s="357">
        <v>-2602433</v>
      </c>
      <c r="M135" s="357">
        <v>0</v>
      </c>
      <c r="N135" s="357">
        <v>0</v>
      </c>
      <c r="O135" s="357">
        <v>50811532</v>
      </c>
      <c r="P135" s="357">
        <v>0</v>
      </c>
      <c r="Q135" s="357">
        <v>0</v>
      </c>
      <c r="R135" s="357">
        <v>50811532</v>
      </c>
      <c r="S135" s="357">
        <v>12554.96</v>
      </c>
      <c r="T135" s="357">
        <v>0</v>
      </c>
      <c r="U135" s="357">
        <v>0</v>
      </c>
      <c r="V135" s="357">
        <v>12554.96</v>
      </c>
      <c r="W135" s="357">
        <v>16380.53</v>
      </c>
      <c r="X135" s="357">
        <v>0</v>
      </c>
      <c r="Y135" s="357">
        <v>0</v>
      </c>
      <c r="Z135" s="357">
        <v>16380.53</v>
      </c>
      <c r="AA135" s="357">
        <v>-3825.57</v>
      </c>
      <c r="AB135" s="357">
        <v>0</v>
      </c>
      <c r="AC135" s="357">
        <v>0</v>
      </c>
      <c r="AD135" s="357">
        <v>0</v>
      </c>
      <c r="AE135" s="357">
        <v>0</v>
      </c>
      <c r="AF135" s="357">
        <v>0</v>
      </c>
      <c r="AG135" s="357">
        <v>-3825.57</v>
      </c>
      <c r="AH135" s="357">
        <v>0</v>
      </c>
      <c r="AI135" s="357">
        <v>0</v>
      </c>
      <c r="AJ135" s="357">
        <v>-3825.57</v>
      </c>
      <c r="AK135" s="357">
        <v>-3825.57</v>
      </c>
      <c r="AL135" s="357">
        <v>0</v>
      </c>
      <c r="AM135" s="357">
        <v>0</v>
      </c>
      <c r="AN135" s="357">
        <v>-3825.57</v>
      </c>
      <c r="AO135" s="357">
        <v>1454374.09</v>
      </c>
      <c r="AP135" s="357">
        <v>0</v>
      </c>
      <c r="AQ135" s="357">
        <v>0</v>
      </c>
      <c r="AR135" s="357">
        <v>1454374.09</v>
      </c>
      <c r="AS135" s="357">
        <v>0</v>
      </c>
      <c r="AT135" s="357">
        <v>0</v>
      </c>
      <c r="AU135" s="357">
        <v>0</v>
      </c>
      <c r="AV135" s="357">
        <v>0</v>
      </c>
      <c r="AW135" s="357">
        <v>1105570.11</v>
      </c>
      <c r="AX135" s="357">
        <v>0</v>
      </c>
      <c r="AY135" s="357">
        <v>0</v>
      </c>
      <c r="AZ135" s="357">
        <v>1105570.11</v>
      </c>
      <c r="BA135" s="357">
        <v>348803.98</v>
      </c>
      <c r="BB135" s="357">
        <v>0</v>
      </c>
      <c r="BC135" s="357">
        <v>0</v>
      </c>
      <c r="BD135" s="357">
        <v>348803.98</v>
      </c>
      <c r="BE135" s="357">
        <v>4360906.31</v>
      </c>
      <c r="BF135" s="357">
        <v>0</v>
      </c>
      <c r="BG135" s="357">
        <v>0</v>
      </c>
      <c r="BH135" s="357">
        <v>4360906.31</v>
      </c>
      <c r="BI135" s="357">
        <v>59247.44</v>
      </c>
      <c r="BJ135" s="357">
        <v>0</v>
      </c>
      <c r="BK135" s="357">
        <v>0</v>
      </c>
      <c r="BL135" s="357">
        <v>59247.44</v>
      </c>
      <c r="BM135" s="357">
        <v>0</v>
      </c>
      <c r="BN135" s="357">
        <v>0</v>
      </c>
      <c r="BO135" s="357">
        <v>0</v>
      </c>
      <c r="BP135" s="357">
        <v>0</v>
      </c>
      <c r="BQ135" s="357">
        <v>4768957.73</v>
      </c>
      <c r="BR135" s="357">
        <v>0</v>
      </c>
      <c r="BS135" s="357">
        <v>0</v>
      </c>
      <c r="BT135" s="357">
        <v>442000</v>
      </c>
      <c r="BU135" s="357">
        <v>0</v>
      </c>
      <c r="BV135" s="357">
        <v>0</v>
      </c>
      <c r="BW135" s="357">
        <v>5210957.73</v>
      </c>
      <c r="BX135" s="357">
        <v>0</v>
      </c>
      <c r="BY135" s="357">
        <v>0</v>
      </c>
      <c r="BZ135" s="357">
        <v>5210957.73</v>
      </c>
      <c r="CA135" s="357">
        <v>0</v>
      </c>
      <c r="CB135" s="357">
        <v>0</v>
      </c>
      <c r="CC135" s="357">
        <v>0</v>
      </c>
      <c r="CD135" s="357">
        <v>0</v>
      </c>
      <c r="CE135" s="357">
        <v>869327.47</v>
      </c>
      <c r="CF135" s="357">
        <v>0</v>
      </c>
      <c r="CG135" s="357">
        <v>0</v>
      </c>
      <c r="CH135" s="357">
        <v>869327.47</v>
      </c>
      <c r="CI135" s="357">
        <v>869327.47</v>
      </c>
      <c r="CJ135" s="357">
        <v>0</v>
      </c>
      <c r="CK135" s="357">
        <v>0</v>
      </c>
      <c r="CL135" s="357">
        <v>552298.89</v>
      </c>
      <c r="CM135" s="357">
        <v>0</v>
      </c>
      <c r="CN135" s="357">
        <v>0</v>
      </c>
      <c r="CO135" s="357">
        <v>1421626.36</v>
      </c>
      <c r="CP135" s="357">
        <v>0</v>
      </c>
      <c r="CQ135" s="357">
        <v>0</v>
      </c>
      <c r="CR135" s="357">
        <v>1421626.36</v>
      </c>
      <c r="CS135" s="357">
        <v>105914.77</v>
      </c>
      <c r="CT135" s="357">
        <v>0</v>
      </c>
      <c r="CU135" s="357">
        <v>0</v>
      </c>
      <c r="CV135" s="357">
        <v>105914.77</v>
      </c>
      <c r="CW135" s="357">
        <v>39932.25</v>
      </c>
      <c r="CX135" s="357">
        <v>0</v>
      </c>
      <c r="CY135" s="357">
        <v>0</v>
      </c>
      <c r="CZ135" s="357">
        <v>39932.25</v>
      </c>
      <c r="DA135" s="357">
        <v>0</v>
      </c>
      <c r="DB135" s="357">
        <v>0</v>
      </c>
      <c r="DC135" s="357">
        <v>0</v>
      </c>
      <c r="DD135" s="357">
        <v>0</v>
      </c>
      <c r="DE135" s="357">
        <v>0</v>
      </c>
      <c r="DF135" s="357">
        <v>0</v>
      </c>
      <c r="DG135" s="357">
        <v>0</v>
      </c>
      <c r="DH135" s="357">
        <v>0</v>
      </c>
      <c r="DI135" s="357">
        <v>0</v>
      </c>
      <c r="DJ135" s="357">
        <v>0</v>
      </c>
      <c r="DK135" s="357">
        <v>0</v>
      </c>
      <c r="DL135" s="357">
        <v>0</v>
      </c>
      <c r="DM135" s="357">
        <v>0</v>
      </c>
      <c r="DN135" s="357">
        <v>0</v>
      </c>
      <c r="DO135" s="357">
        <v>0</v>
      </c>
      <c r="DP135" s="357">
        <v>0</v>
      </c>
      <c r="DQ135" s="357">
        <v>145847.02</v>
      </c>
      <c r="DR135" s="357">
        <v>0</v>
      </c>
      <c r="DS135" s="357">
        <v>0</v>
      </c>
      <c r="DT135" s="357">
        <v>0</v>
      </c>
      <c r="DU135" s="357">
        <v>0</v>
      </c>
      <c r="DV135" s="357">
        <v>0</v>
      </c>
      <c r="DW135" s="357">
        <v>145847.02</v>
      </c>
      <c r="DX135" s="357">
        <v>0</v>
      </c>
      <c r="DY135" s="357">
        <v>0</v>
      </c>
      <c r="DZ135" s="357">
        <v>145847.02</v>
      </c>
      <c r="EA135" s="357">
        <v>0</v>
      </c>
      <c r="EB135" s="357">
        <v>0</v>
      </c>
      <c r="EC135" s="357">
        <v>112000</v>
      </c>
      <c r="ED135" s="357">
        <v>0</v>
      </c>
      <c r="EE135" s="357">
        <v>0</v>
      </c>
      <c r="EF135" s="357">
        <v>112000</v>
      </c>
      <c r="EG135" s="357">
        <v>80000</v>
      </c>
      <c r="EH135" s="357">
        <v>0</v>
      </c>
      <c r="EI135" s="357">
        <v>0</v>
      </c>
      <c r="EJ135" s="357">
        <v>80000</v>
      </c>
      <c r="EK135" s="357">
        <v>655000</v>
      </c>
      <c r="EL135" s="357">
        <v>0</v>
      </c>
      <c r="EM135" s="357">
        <v>0</v>
      </c>
      <c r="EN135" s="357">
        <v>655000</v>
      </c>
      <c r="EO135" s="357">
        <v>847000</v>
      </c>
      <c r="EP135" s="357">
        <v>0</v>
      </c>
      <c r="EQ135" s="357">
        <v>0</v>
      </c>
      <c r="ER135" s="357">
        <v>0</v>
      </c>
      <c r="ES135" s="357">
        <v>0</v>
      </c>
      <c r="ET135" s="357">
        <v>0</v>
      </c>
      <c r="EU135" s="357">
        <v>847000</v>
      </c>
      <c r="EV135" s="357">
        <v>0</v>
      </c>
      <c r="EW135" s="357">
        <v>0</v>
      </c>
      <c r="EX135" s="357">
        <v>847000</v>
      </c>
      <c r="EY135" s="357">
        <v>43189926.5</v>
      </c>
      <c r="EZ135" s="357">
        <v>0</v>
      </c>
      <c r="FA135" s="357">
        <v>0</v>
      </c>
      <c r="FB135" s="357">
        <v>43189926.5</v>
      </c>
      <c r="FC135" s="277">
        <v>0</v>
      </c>
      <c r="FD135" s="205"/>
    </row>
    <row r="136" spans="1:160" ht="12.75">
      <c r="A136" s="169">
        <v>129</v>
      </c>
      <c r="B136" s="172" t="s">
        <v>165</v>
      </c>
      <c r="C136" s="258" t="s">
        <v>166</v>
      </c>
      <c r="D136" s="235">
        <v>41655</v>
      </c>
      <c r="E136" s="357">
        <v>60479690</v>
      </c>
      <c r="F136" s="357">
        <v>0</v>
      </c>
      <c r="G136" s="357">
        <v>0</v>
      </c>
      <c r="H136" s="357">
        <v>60479690</v>
      </c>
      <c r="I136" s="357">
        <v>28485934</v>
      </c>
      <c r="J136" s="357">
        <v>0</v>
      </c>
      <c r="K136" s="357">
        <v>0</v>
      </c>
      <c r="L136" s="357">
        <v>-17439</v>
      </c>
      <c r="M136" s="357">
        <v>0</v>
      </c>
      <c r="N136" s="357">
        <v>0</v>
      </c>
      <c r="O136" s="357">
        <v>28468495</v>
      </c>
      <c r="P136" s="357">
        <v>0</v>
      </c>
      <c r="Q136" s="357">
        <v>0</v>
      </c>
      <c r="R136" s="357">
        <v>28468495</v>
      </c>
      <c r="S136" s="357">
        <v>79073</v>
      </c>
      <c r="T136" s="357">
        <v>0</v>
      </c>
      <c r="U136" s="357">
        <v>0</v>
      </c>
      <c r="V136" s="357">
        <v>79073</v>
      </c>
      <c r="W136" s="357">
        <v>-4225</v>
      </c>
      <c r="X136" s="357">
        <v>0</v>
      </c>
      <c r="Y136" s="357">
        <v>0</v>
      </c>
      <c r="Z136" s="357">
        <v>-4225</v>
      </c>
      <c r="AA136" s="357">
        <v>83298</v>
      </c>
      <c r="AB136" s="357">
        <v>0</v>
      </c>
      <c r="AC136" s="357">
        <v>0</v>
      </c>
      <c r="AD136" s="357">
        <v>0</v>
      </c>
      <c r="AE136" s="357">
        <v>0</v>
      </c>
      <c r="AF136" s="357">
        <v>0</v>
      </c>
      <c r="AG136" s="357">
        <v>83298</v>
      </c>
      <c r="AH136" s="357">
        <v>0</v>
      </c>
      <c r="AI136" s="357">
        <v>0</v>
      </c>
      <c r="AJ136" s="357">
        <v>83298</v>
      </c>
      <c r="AK136" s="357">
        <v>83298</v>
      </c>
      <c r="AL136" s="357">
        <v>0</v>
      </c>
      <c r="AM136" s="357">
        <v>0</v>
      </c>
      <c r="AN136" s="357">
        <v>83298</v>
      </c>
      <c r="AO136" s="357">
        <v>2418538</v>
      </c>
      <c r="AP136" s="357">
        <v>0</v>
      </c>
      <c r="AQ136" s="357">
        <v>0</v>
      </c>
      <c r="AR136" s="357">
        <v>2418538</v>
      </c>
      <c r="AS136" s="357">
        <v>0</v>
      </c>
      <c r="AT136" s="357">
        <v>0</v>
      </c>
      <c r="AU136" s="357">
        <v>0</v>
      </c>
      <c r="AV136" s="357">
        <v>0</v>
      </c>
      <c r="AW136" s="357">
        <v>519603</v>
      </c>
      <c r="AX136" s="357">
        <v>0</v>
      </c>
      <c r="AY136" s="357">
        <v>0</v>
      </c>
      <c r="AZ136" s="357">
        <v>519603</v>
      </c>
      <c r="BA136" s="357">
        <v>1898935</v>
      </c>
      <c r="BB136" s="357">
        <v>0</v>
      </c>
      <c r="BC136" s="357">
        <v>0</v>
      </c>
      <c r="BD136" s="357">
        <v>1898935</v>
      </c>
      <c r="BE136" s="357">
        <v>897040</v>
      </c>
      <c r="BF136" s="357">
        <v>0</v>
      </c>
      <c r="BG136" s="357">
        <v>0</v>
      </c>
      <c r="BH136" s="357">
        <v>897040</v>
      </c>
      <c r="BI136" s="357">
        <v>68345</v>
      </c>
      <c r="BJ136" s="357">
        <v>0</v>
      </c>
      <c r="BK136" s="357">
        <v>0</v>
      </c>
      <c r="BL136" s="357">
        <v>68345</v>
      </c>
      <c r="BM136" s="357">
        <v>15401</v>
      </c>
      <c r="BN136" s="357">
        <v>0</v>
      </c>
      <c r="BO136" s="357">
        <v>0</v>
      </c>
      <c r="BP136" s="357">
        <v>15401</v>
      </c>
      <c r="BQ136" s="357">
        <v>2879721</v>
      </c>
      <c r="BR136" s="357">
        <v>0</v>
      </c>
      <c r="BS136" s="357">
        <v>0</v>
      </c>
      <c r="BT136" s="357">
        <v>0</v>
      </c>
      <c r="BU136" s="357">
        <v>0</v>
      </c>
      <c r="BV136" s="357">
        <v>0</v>
      </c>
      <c r="BW136" s="357">
        <v>2879721</v>
      </c>
      <c r="BX136" s="357">
        <v>0</v>
      </c>
      <c r="BY136" s="357">
        <v>0</v>
      </c>
      <c r="BZ136" s="357">
        <v>2879721</v>
      </c>
      <c r="CA136" s="357">
        <v>5968</v>
      </c>
      <c r="CB136" s="357">
        <v>0</v>
      </c>
      <c r="CC136" s="357">
        <v>0</v>
      </c>
      <c r="CD136" s="357">
        <v>5968</v>
      </c>
      <c r="CE136" s="357">
        <v>469401</v>
      </c>
      <c r="CF136" s="357">
        <v>0</v>
      </c>
      <c r="CG136" s="357">
        <v>0</v>
      </c>
      <c r="CH136" s="357">
        <v>469401</v>
      </c>
      <c r="CI136" s="357">
        <v>475369</v>
      </c>
      <c r="CJ136" s="357">
        <v>0</v>
      </c>
      <c r="CK136" s="357">
        <v>0</v>
      </c>
      <c r="CL136" s="357">
        <v>0</v>
      </c>
      <c r="CM136" s="357">
        <v>0</v>
      </c>
      <c r="CN136" s="357">
        <v>0</v>
      </c>
      <c r="CO136" s="357">
        <v>475369</v>
      </c>
      <c r="CP136" s="357">
        <v>0</v>
      </c>
      <c r="CQ136" s="357">
        <v>0</v>
      </c>
      <c r="CR136" s="357">
        <v>475369</v>
      </c>
      <c r="CS136" s="357">
        <v>23154</v>
      </c>
      <c r="CT136" s="357">
        <v>0</v>
      </c>
      <c r="CU136" s="357">
        <v>0</v>
      </c>
      <c r="CV136" s="357">
        <v>23154</v>
      </c>
      <c r="CW136" s="357">
        <v>143525</v>
      </c>
      <c r="CX136" s="357">
        <v>0</v>
      </c>
      <c r="CY136" s="357">
        <v>0</v>
      </c>
      <c r="CZ136" s="357">
        <v>143525</v>
      </c>
      <c r="DA136" s="357">
        <v>5002</v>
      </c>
      <c r="DB136" s="357">
        <v>0</v>
      </c>
      <c r="DC136" s="357">
        <v>0</v>
      </c>
      <c r="DD136" s="357">
        <v>5002</v>
      </c>
      <c r="DE136" s="357">
        <v>4331</v>
      </c>
      <c r="DF136" s="357">
        <v>0</v>
      </c>
      <c r="DG136" s="357">
        <v>0</v>
      </c>
      <c r="DH136" s="357">
        <v>4331</v>
      </c>
      <c r="DI136" s="357">
        <v>0</v>
      </c>
      <c r="DJ136" s="357">
        <v>0</v>
      </c>
      <c r="DK136" s="357">
        <v>0</v>
      </c>
      <c r="DL136" s="357">
        <v>0</v>
      </c>
      <c r="DM136" s="357">
        <v>0</v>
      </c>
      <c r="DN136" s="357">
        <v>0</v>
      </c>
      <c r="DO136" s="357">
        <v>0</v>
      </c>
      <c r="DP136" s="357">
        <v>0</v>
      </c>
      <c r="DQ136" s="357">
        <v>176012</v>
      </c>
      <c r="DR136" s="357">
        <v>0</v>
      </c>
      <c r="DS136" s="357">
        <v>0</v>
      </c>
      <c r="DT136" s="357">
        <v>0</v>
      </c>
      <c r="DU136" s="357">
        <v>0</v>
      </c>
      <c r="DV136" s="357">
        <v>0</v>
      </c>
      <c r="DW136" s="357">
        <v>176012</v>
      </c>
      <c r="DX136" s="357">
        <v>0</v>
      </c>
      <c r="DY136" s="357">
        <v>0</v>
      </c>
      <c r="DZ136" s="357">
        <v>176012</v>
      </c>
      <c r="EA136" s="357">
        <v>0</v>
      </c>
      <c r="EB136" s="357">
        <v>0</v>
      </c>
      <c r="EC136" s="357">
        <v>0</v>
      </c>
      <c r="ED136" s="357">
        <v>0</v>
      </c>
      <c r="EE136" s="357">
        <v>0</v>
      </c>
      <c r="EF136" s="357">
        <v>0</v>
      </c>
      <c r="EG136" s="357">
        <v>0</v>
      </c>
      <c r="EH136" s="357">
        <v>0</v>
      </c>
      <c r="EI136" s="357">
        <v>0</v>
      </c>
      <c r="EJ136" s="357">
        <v>0</v>
      </c>
      <c r="EK136" s="357">
        <v>499215</v>
      </c>
      <c r="EL136" s="357">
        <v>0</v>
      </c>
      <c r="EM136" s="357">
        <v>0</v>
      </c>
      <c r="EN136" s="357">
        <v>499215</v>
      </c>
      <c r="EO136" s="357">
        <v>499215</v>
      </c>
      <c r="EP136" s="357">
        <v>0</v>
      </c>
      <c r="EQ136" s="357">
        <v>0</v>
      </c>
      <c r="ER136" s="357">
        <v>1000</v>
      </c>
      <c r="ES136" s="357">
        <v>0</v>
      </c>
      <c r="ET136" s="357">
        <v>0</v>
      </c>
      <c r="EU136" s="357">
        <v>500215</v>
      </c>
      <c r="EV136" s="357">
        <v>0</v>
      </c>
      <c r="EW136" s="357">
        <v>0</v>
      </c>
      <c r="EX136" s="357">
        <v>500215</v>
      </c>
      <c r="EY136" s="357">
        <v>24353880</v>
      </c>
      <c r="EZ136" s="357">
        <v>0</v>
      </c>
      <c r="FA136" s="357">
        <v>0</v>
      </c>
      <c r="FB136" s="357">
        <v>24353880</v>
      </c>
      <c r="FC136" s="277">
        <v>0</v>
      </c>
      <c r="FD136" s="205"/>
    </row>
    <row r="137" spans="1:160" ht="12.75">
      <c r="A137" s="169">
        <v>130</v>
      </c>
      <c r="B137" s="172" t="s">
        <v>167</v>
      </c>
      <c r="C137" s="258" t="s">
        <v>168</v>
      </c>
      <c r="D137" s="235">
        <v>310913</v>
      </c>
      <c r="E137" s="357">
        <v>779265397</v>
      </c>
      <c r="F137" s="357">
        <v>0</v>
      </c>
      <c r="G137" s="357">
        <v>0</v>
      </c>
      <c r="H137" s="357">
        <v>779265397</v>
      </c>
      <c r="I137" s="357">
        <v>367034002</v>
      </c>
      <c r="J137" s="357">
        <v>0</v>
      </c>
      <c r="K137" s="357">
        <v>0</v>
      </c>
      <c r="L137" s="357">
        <v>8163000</v>
      </c>
      <c r="M137" s="357">
        <v>0</v>
      </c>
      <c r="N137" s="357">
        <v>0</v>
      </c>
      <c r="O137" s="357">
        <v>375197002</v>
      </c>
      <c r="P137" s="357">
        <v>0</v>
      </c>
      <c r="Q137" s="357">
        <v>0</v>
      </c>
      <c r="R137" s="357">
        <v>375197002</v>
      </c>
      <c r="S137" s="357">
        <v>0</v>
      </c>
      <c r="T137" s="357">
        <v>0</v>
      </c>
      <c r="U137" s="357">
        <v>0</v>
      </c>
      <c r="V137" s="357">
        <v>0</v>
      </c>
      <c r="W137" s="357">
        <v>0</v>
      </c>
      <c r="X137" s="357">
        <v>0</v>
      </c>
      <c r="Y137" s="357">
        <v>0</v>
      </c>
      <c r="Z137" s="357">
        <v>0</v>
      </c>
      <c r="AA137" s="357">
        <v>0</v>
      </c>
      <c r="AB137" s="357">
        <v>0</v>
      </c>
      <c r="AC137" s="357">
        <v>0</v>
      </c>
      <c r="AD137" s="357">
        <v>0</v>
      </c>
      <c r="AE137" s="357">
        <v>0</v>
      </c>
      <c r="AF137" s="357">
        <v>0</v>
      </c>
      <c r="AG137" s="357">
        <v>0</v>
      </c>
      <c r="AH137" s="357">
        <v>0</v>
      </c>
      <c r="AI137" s="357">
        <v>0</v>
      </c>
      <c r="AJ137" s="357">
        <v>0</v>
      </c>
      <c r="AK137" s="357">
        <v>0</v>
      </c>
      <c r="AL137" s="357">
        <v>0</v>
      </c>
      <c r="AM137" s="357">
        <v>0</v>
      </c>
      <c r="AN137" s="357">
        <v>0</v>
      </c>
      <c r="AO137" s="357">
        <v>2758000</v>
      </c>
      <c r="AP137" s="357">
        <v>0</v>
      </c>
      <c r="AQ137" s="357">
        <v>0</v>
      </c>
      <c r="AR137" s="357">
        <v>2758000</v>
      </c>
      <c r="AS137" s="357">
        <v>158000</v>
      </c>
      <c r="AT137" s="357">
        <v>0</v>
      </c>
      <c r="AU137" s="357">
        <v>0</v>
      </c>
      <c r="AV137" s="357">
        <v>158000</v>
      </c>
      <c r="AW137" s="357">
        <v>6750000</v>
      </c>
      <c r="AX137" s="357">
        <v>0</v>
      </c>
      <c r="AY137" s="357">
        <v>0</v>
      </c>
      <c r="AZ137" s="357">
        <v>6750000</v>
      </c>
      <c r="BA137" s="357">
        <v>-3992000</v>
      </c>
      <c r="BB137" s="357">
        <v>0</v>
      </c>
      <c r="BC137" s="357">
        <v>0</v>
      </c>
      <c r="BD137" s="357">
        <v>-3992000</v>
      </c>
      <c r="BE137" s="357">
        <v>7113681</v>
      </c>
      <c r="BF137" s="357">
        <v>0</v>
      </c>
      <c r="BG137" s="357">
        <v>0</v>
      </c>
      <c r="BH137" s="357">
        <v>7113681</v>
      </c>
      <c r="BI137" s="357">
        <v>45021</v>
      </c>
      <c r="BJ137" s="357">
        <v>0</v>
      </c>
      <c r="BK137" s="357">
        <v>0</v>
      </c>
      <c r="BL137" s="357">
        <v>45021</v>
      </c>
      <c r="BM137" s="357">
        <v>0</v>
      </c>
      <c r="BN137" s="357">
        <v>0</v>
      </c>
      <c r="BO137" s="357">
        <v>0</v>
      </c>
      <c r="BP137" s="357">
        <v>0</v>
      </c>
      <c r="BQ137" s="357">
        <v>3166702</v>
      </c>
      <c r="BR137" s="357">
        <v>0</v>
      </c>
      <c r="BS137" s="357">
        <v>0</v>
      </c>
      <c r="BT137" s="357">
        <v>0</v>
      </c>
      <c r="BU137" s="357">
        <v>0</v>
      </c>
      <c r="BV137" s="357">
        <v>0</v>
      </c>
      <c r="BW137" s="357">
        <v>3166702</v>
      </c>
      <c r="BX137" s="357">
        <v>0</v>
      </c>
      <c r="BY137" s="357">
        <v>0</v>
      </c>
      <c r="BZ137" s="357">
        <v>3166702</v>
      </c>
      <c r="CA137" s="357">
        <v>26000</v>
      </c>
      <c r="CB137" s="357">
        <v>0</v>
      </c>
      <c r="CC137" s="357">
        <v>0</v>
      </c>
      <c r="CD137" s="357">
        <v>26000</v>
      </c>
      <c r="CE137" s="357">
        <v>12827000</v>
      </c>
      <c r="CF137" s="357">
        <v>0</v>
      </c>
      <c r="CG137" s="357">
        <v>0</v>
      </c>
      <c r="CH137" s="357">
        <v>12827000</v>
      </c>
      <c r="CI137" s="357">
        <v>12853000</v>
      </c>
      <c r="CJ137" s="357">
        <v>0</v>
      </c>
      <c r="CK137" s="357">
        <v>0</v>
      </c>
      <c r="CL137" s="357">
        <v>-3400000</v>
      </c>
      <c r="CM137" s="357">
        <v>0</v>
      </c>
      <c r="CN137" s="357">
        <v>0</v>
      </c>
      <c r="CO137" s="357">
        <v>9453000</v>
      </c>
      <c r="CP137" s="357">
        <v>0</v>
      </c>
      <c r="CQ137" s="357">
        <v>0</v>
      </c>
      <c r="CR137" s="357">
        <v>9453000</v>
      </c>
      <c r="CS137" s="357">
        <v>210594</v>
      </c>
      <c r="CT137" s="357">
        <v>0</v>
      </c>
      <c r="CU137" s="357">
        <v>0</v>
      </c>
      <c r="CV137" s="357">
        <v>210594</v>
      </c>
      <c r="CW137" s="357">
        <v>18481</v>
      </c>
      <c r="CX137" s="357">
        <v>0</v>
      </c>
      <c r="CY137" s="357">
        <v>0</v>
      </c>
      <c r="CZ137" s="357">
        <v>18481</v>
      </c>
      <c r="DA137" s="357">
        <v>0</v>
      </c>
      <c r="DB137" s="357">
        <v>0</v>
      </c>
      <c r="DC137" s="357">
        <v>0</v>
      </c>
      <c r="DD137" s="357">
        <v>0</v>
      </c>
      <c r="DE137" s="357">
        <v>0</v>
      </c>
      <c r="DF137" s="357">
        <v>0</v>
      </c>
      <c r="DG137" s="357">
        <v>0</v>
      </c>
      <c r="DH137" s="357">
        <v>0</v>
      </c>
      <c r="DI137" s="357">
        <v>0</v>
      </c>
      <c r="DJ137" s="357">
        <v>0</v>
      </c>
      <c r="DK137" s="357">
        <v>0</v>
      </c>
      <c r="DL137" s="357">
        <v>0</v>
      </c>
      <c r="DM137" s="357">
        <v>0</v>
      </c>
      <c r="DN137" s="357">
        <v>0</v>
      </c>
      <c r="DO137" s="357">
        <v>0</v>
      </c>
      <c r="DP137" s="357">
        <v>0</v>
      </c>
      <c r="DQ137" s="357">
        <v>229075</v>
      </c>
      <c r="DR137" s="357">
        <v>0</v>
      </c>
      <c r="DS137" s="357">
        <v>0</v>
      </c>
      <c r="DT137" s="357">
        <v>122925</v>
      </c>
      <c r="DU137" s="357">
        <v>0</v>
      </c>
      <c r="DV137" s="357">
        <v>0</v>
      </c>
      <c r="DW137" s="357">
        <v>352000</v>
      </c>
      <c r="DX137" s="357">
        <v>0</v>
      </c>
      <c r="DY137" s="357">
        <v>0</v>
      </c>
      <c r="DZ137" s="357">
        <v>352000</v>
      </c>
      <c r="EA137" s="357">
        <v>0</v>
      </c>
      <c r="EB137" s="357">
        <v>0</v>
      </c>
      <c r="EC137" s="357">
        <v>0</v>
      </c>
      <c r="ED137" s="357">
        <v>0</v>
      </c>
      <c r="EE137" s="357">
        <v>0</v>
      </c>
      <c r="EF137" s="357">
        <v>0</v>
      </c>
      <c r="EG137" s="357">
        <v>100000</v>
      </c>
      <c r="EH137" s="357">
        <v>0</v>
      </c>
      <c r="EI137" s="357">
        <v>0</v>
      </c>
      <c r="EJ137" s="357">
        <v>100000</v>
      </c>
      <c r="EK137" s="357">
        <v>1200000</v>
      </c>
      <c r="EL137" s="357">
        <v>0</v>
      </c>
      <c r="EM137" s="357">
        <v>0</v>
      </c>
      <c r="EN137" s="357">
        <v>1200000</v>
      </c>
      <c r="EO137" s="357">
        <v>1300000</v>
      </c>
      <c r="EP137" s="357">
        <v>0</v>
      </c>
      <c r="EQ137" s="357">
        <v>0</v>
      </c>
      <c r="ER137" s="357">
        <v>0</v>
      </c>
      <c r="ES137" s="357">
        <v>0</v>
      </c>
      <c r="ET137" s="357">
        <v>0</v>
      </c>
      <c r="EU137" s="357">
        <v>1300000</v>
      </c>
      <c r="EV137" s="357">
        <v>0</v>
      </c>
      <c r="EW137" s="357">
        <v>0</v>
      </c>
      <c r="EX137" s="357">
        <v>1300000</v>
      </c>
      <c r="EY137" s="357">
        <v>360925300</v>
      </c>
      <c r="EZ137" s="357">
        <v>0</v>
      </c>
      <c r="FA137" s="357">
        <v>0</v>
      </c>
      <c r="FB137" s="357">
        <v>360925300</v>
      </c>
      <c r="FC137" s="277">
        <v>0</v>
      </c>
      <c r="FD137" s="205"/>
    </row>
    <row r="138" spans="1:160" ht="12.75">
      <c r="A138" s="169">
        <v>131</v>
      </c>
      <c r="B138" s="172" t="s">
        <v>169</v>
      </c>
      <c r="C138" s="258" t="s">
        <v>170</v>
      </c>
      <c r="D138" s="235">
        <v>41663</v>
      </c>
      <c r="E138" s="357">
        <v>69555511</v>
      </c>
      <c r="F138" s="357">
        <v>0</v>
      </c>
      <c r="G138" s="357">
        <v>2017500</v>
      </c>
      <c r="H138" s="357">
        <v>71573011</v>
      </c>
      <c r="I138" s="357">
        <v>32760646</v>
      </c>
      <c r="J138" s="357">
        <v>0</v>
      </c>
      <c r="K138" s="357">
        <v>950243</v>
      </c>
      <c r="L138" s="357">
        <v>0</v>
      </c>
      <c r="M138" s="357">
        <v>0</v>
      </c>
      <c r="N138" s="357">
        <v>0</v>
      </c>
      <c r="O138" s="357">
        <v>32760646</v>
      </c>
      <c r="P138" s="357">
        <v>0</v>
      </c>
      <c r="Q138" s="357">
        <v>950243</v>
      </c>
      <c r="R138" s="357">
        <v>33710889</v>
      </c>
      <c r="S138" s="357">
        <v>11586</v>
      </c>
      <c r="T138" s="357">
        <v>0</v>
      </c>
      <c r="U138" s="357">
        <v>0</v>
      </c>
      <c r="V138" s="357">
        <v>11586</v>
      </c>
      <c r="W138" s="357">
        <v>0</v>
      </c>
      <c r="X138" s="357">
        <v>0</v>
      </c>
      <c r="Y138" s="357">
        <v>0</v>
      </c>
      <c r="Z138" s="357">
        <v>0</v>
      </c>
      <c r="AA138" s="357">
        <v>11586</v>
      </c>
      <c r="AB138" s="357">
        <v>0</v>
      </c>
      <c r="AC138" s="357">
        <v>0</v>
      </c>
      <c r="AD138" s="357">
        <v>0</v>
      </c>
      <c r="AE138" s="357">
        <v>0</v>
      </c>
      <c r="AF138" s="357">
        <v>0</v>
      </c>
      <c r="AG138" s="357">
        <v>11586</v>
      </c>
      <c r="AH138" s="357">
        <v>0</v>
      </c>
      <c r="AI138" s="357">
        <v>0</v>
      </c>
      <c r="AJ138" s="357">
        <v>11586</v>
      </c>
      <c r="AK138" s="357">
        <v>11586</v>
      </c>
      <c r="AL138" s="357">
        <v>0</v>
      </c>
      <c r="AM138" s="357">
        <v>0</v>
      </c>
      <c r="AN138" s="357">
        <v>11586</v>
      </c>
      <c r="AO138" s="357">
        <v>2167367.97</v>
      </c>
      <c r="AP138" s="357">
        <v>0</v>
      </c>
      <c r="AQ138" s="357">
        <v>0</v>
      </c>
      <c r="AR138" s="357">
        <v>2167367.97</v>
      </c>
      <c r="AS138" s="357">
        <v>0</v>
      </c>
      <c r="AT138" s="357">
        <v>0</v>
      </c>
      <c r="AU138" s="357">
        <v>0</v>
      </c>
      <c r="AV138" s="357">
        <v>0</v>
      </c>
      <c r="AW138" s="357">
        <v>656155.9</v>
      </c>
      <c r="AX138" s="357">
        <v>0</v>
      </c>
      <c r="AY138" s="357">
        <v>0</v>
      </c>
      <c r="AZ138" s="357">
        <v>656155.9</v>
      </c>
      <c r="BA138" s="357">
        <v>1511212.07</v>
      </c>
      <c r="BB138" s="357">
        <v>0</v>
      </c>
      <c r="BC138" s="357">
        <v>0</v>
      </c>
      <c r="BD138" s="357">
        <v>1511212.07</v>
      </c>
      <c r="BE138" s="357">
        <v>1705733</v>
      </c>
      <c r="BF138" s="357">
        <v>0</v>
      </c>
      <c r="BG138" s="357">
        <v>0</v>
      </c>
      <c r="BH138" s="357">
        <v>1705733</v>
      </c>
      <c r="BI138" s="357">
        <v>6000</v>
      </c>
      <c r="BJ138" s="357">
        <v>0</v>
      </c>
      <c r="BK138" s="357">
        <v>0</v>
      </c>
      <c r="BL138" s="357">
        <v>6000</v>
      </c>
      <c r="BM138" s="357">
        <v>10061.76</v>
      </c>
      <c r="BN138" s="357">
        <v>0</v>
      </c>
      <c r="BO138" s="357">
        <v>0</v>
      </c>
      <c r="BP138" s="357">
        <v>10061.76</v>
      </c>
      <c r="BQ138" s="357">
        <v>3233006.83</v>
      </c>
      <c r="BR138" s="357">
        <v>0</v>
      </c>
      <c r="BS138" s="357">
        <v>0</v>
      </c>
      <c r="BT138" s="357">
        <v>0</v>
      </c>
      <c r="BU138" s="357">
        <v>0</v>
      </c>
      <c r="BV138" s="357">
        <v>0</v>
      </c>
      <c r="BW138" s="357">
        <v>3233006.83</v>
      </c>
      <c r="BX138" s="357">
        <v>0</v>
      </c>
      <c r="BY138" s="357">
        <v>0</v>
      </c>
      <c r="BZ138" s="357">
        <v>3233006.83</v>
      </c>
      <c r="CA138" s="357">
        <v>15000</v>
      </c>
      <c r="CB138" s="357">
        <v>0</v>
      </c>
      <c r="CC138" s="357">
        <v>0</v>
      </c>
      <c r="CD138" s="357">
        <v>15000</v>
      </c>
      <c r="CE138" s="357">
        <v>755324.13</v>
      </c>
      <c r="CF138" s="357">
        <v>0</v>
      </c>
      <c r="CG138" s="357">
        <v>0</v>
      </c>
      <c r="CH138" s="357">
        <v>755324.13</v>
      </c>
      <c r="CI138" s="357">
        <v>770324.13</v>
      </c>
      <c r="CJ138" s="357">
        <v>0</v>
      </c>
      <c r="CK138" s="357">
        <v>0</v>
      </c>
      <c r="CL138" s="357">
        <v>0</v>
      </c>
      <c r="CM138" s="357">
        <v>0</v>
      </c>
      <c r="CN138" s="357">
        <v>0</v>
      </c>
      <c r="CO138" s="357">
        <v>770324.13</v>
      </c>
      <c r="CP138" s="357">
        <v>0</v>
      </c>
      <c r="CQ138" s="357">
        <v>0</v>
      </c>
      <c r="CR138" s="357">
        <v>770324.13</v>
      </c>
      <c r="CS138" s="357">
        <v>68142</v>
      </c>
      <c r="CT138" s="357">
        <v>0</v>
      </c>
      <c r="CU138" s="357">
        <v>0</v>
      </c>
      <c r="CV138" s="357">
        <v>68142</v>
      </c>
      <c r="CW138" s="357">
        <v>82766.05</v>
      </c>
      <c r="CX138" s="357">
        <v>0</v>
      </c>
      <c r="CY138" s="357">
        <v>0</v>
      </c>
      <c r="CZ138" s="357">
        <v>82766.05</v>
      </c>
      <c r="DA138" s="357">
        <v>1500</v>
      </c>
      <c r="DB138" s="357">
        <v>0</v>
      </c>
      <c r="DC138" s="357">
        <v>0</v>
      </c>
      <c r="DD138" s="357">
        <v>1500</v>
      </c>
      <c r="DE138" s="357">
        <v>0</v>
      </c>
      <c r="DF138" s="357">
        <v>0</v>
      </c>
      <c r="DG138" s="357">
        <v>0</v>
      </c>
      <c r="DH138" s="357">
        <v>0</v>
      </c>
      <c r="DI138" s="357">
        <v>0</v>
      </c>
      <c r="DJ138" s="357">
        <v>0</v>
      </c>
      <c r="DK138" s="357">
        <v>0</v>
      </c>
      <c r="DL138" s="357">
        <v>0</v>
      </c>
      <c r="DM138" s="357">
        <v>0</v>
      </c>
      <c r="DN138" s="357">
        <v>0</v>
      </c>
      <c r="DO138" s="357">
        <v>0</v>
      </c>
      <c r="DP138" s="357">
        <v>0</v>
      </c>
      <c r="DQ138" s="357">
        <v>152408.05</v>
      </c>
      <c r="DR138" s="357">
        <v>0</v>
      </c>
      <c r="DS138" s="357">
        <v>0</v>
      </c>
      <c r="DT138" s="357">
        <v>0</v>
      </c>
      <c r="DU138" s="357">
        <v>0</v>
      </c>
      <c r="DV138" s="357">
        <v>0</v>
      </c>
      <c r="DW138" s="357">
        <v>152408.05</v>
      </c>
      <c r="DX138" s="357">
        <v>0</v>
      </c>
      <c r="DY138" s="357">
        <v>0</v>
      </c>
      <c r="DZ138" s="357">
        <v>152408.05</v>
      </c>
      <c r="EA138" s="357">
        <v>0</v>
      </c>
      <c r="EB138" s="357">
        <v>0</v>
      </c>
      <c r="EC138" s="357">
        <v>0</v>
      </c>
      <c r="ED138" s="357">
        <v>0</v>
      </c>
      <c r="EE138" s="357">
        <v>0</v>
      </c>
      <c r="EF138" s="357">
        <v>0</v>
      </c>
      <c r="EG138" s="357">
        <v>32888</v>
      </c>
      <c r="EH138" s="357">
        <v>0</v>
      </c>
      <c r="EI138" s="357">
        <v>0</v>
      </c>
      <c r="EJ138" s="357">
        <v>32888</v>
      </c>
      <c r="EK138" s="357">
        <v>428129</v>
      </c>
      <c r="EL138" s="357">
        <v>0</v>
      </c>
      <c r="EM138" s="357">
        <v>0</v>
      </c>
      <c r="EN138" s="357">
        <v>428129</v>
      </c>
      <c r="EO138" s="357">
        <v>461017</v>
      </c>
      <c r="EP138" s="357">
        <v>0</v>
      </c>
      <c r="EQ138" s="357">
        <v>0</v>
      </c>
      <c r="ER138" s="357">
        <v>0</v>
      </c>
      <c r="ES138" s="357">
        <v>0</v>
      </c>
      <c r="ET138" s="357">
        <v>0</v>
      </c>
      <c r="EU138" s="357">
        <v>461017</v>
      </c>
      <c r="EV138" s="357">
        <v>0</v>
      </c>
      <c r="EW138" s="357">
        <v>0</v>
      </c>
      <c r="EX138" s="357">
        <v>461017</v>
      </c>
      <c r="EY138" s="357">
        <v>28132304</v>
      </c>
      <c r="EZ138" s="357">
        <v>0</v>
      </c>
      <c r="FA138" s="357">
        <v>950243</v>
      </c>
      <c r="FB138" s="357">
        <v>29082547</v>
      </c>
      <c r="FC138" s="277">
        <v>0</v>
      </c>
      <c r="FD138" s="205"/>
    </row>
    <row r="139" spans="1:160" ht="12.75">
      <c r="A139" s="169">
        <v>132</v>
      </c>
      <c r="B139" s="172" t="s">
        <v>171</v>
      </c>
      <c r="C139" s="258" t="s">
        <v>172</v>
      </c>
      <c r="D139" s="235">
        <v>41639</v>
      </c>
      <c r="E139" s="357">
        <v>101087414</v>
      </c>
      <c r="F139" s="357">
        <v>0</v>
      </c>
      <c r="G139" s="357">
        <v>0</v>
      </c>
      <c r="H139" s="357">
        <v>101087414</v>
      </c>
      <c r="I139" s="357">
        <v>47612172</v>
      </c>
      <c r="J139" s="357">
        <v>0</v>
      </c>
      <c r="K139" s="357">
        <v>0</v>
      </c>
      <c r="L139" s="357">
        <v>-90463.13</v>
      </c>
      <c r="M139" s="357">
        <v>0</v>
      </c>
      <c r="N139" s="357">
        <v>0</v>
      </c>
      <c r="O139" s="357">
        <v>47521708.9</v>
      </c>
      <c r="P139" s="357">
        <v>0</v>
      </c>
      <c r="Q139" s="357">
        <v>0</v>
      </c>
      <c r="R139" s="357">
        <v>47521708.9</v>
      </c>
      <c r="S139" s="357">
        <v>24179.55</v>
      </c>
      <c r="T139" s="357">
        <v>0</v>
      </c>
      <c r="U139" s="357">
        <v>0</v>
      </c>
      <c r="V139" s="357">
        <v>24179.55</v>
      </c>
      <c r="W139" s="357">
        <v>23645.62</v>
      </c>
      <c r="X139" s="357">
        <v>0</v>
      </c>
      <c r="Y139" s="357">
        <v>0</v>
      </c>
      <c r="Z139" s="357">
        <v>23645.62</v>
      </c>
      <c r="AA139" s="357">
        <v>533.93</v>
      </c>
      <c r="AB139" s="357">
        <v>0</v>
      </c>
      <c r="AC139" s="357">
        <v>0</v>
      </c>
      <c r="AD139" s="357">
        <v>0</v>
      </c>
      <c r="AE139" s="357">
        <v>0</v>
      </c>
      <c r="AF139" s="357">
        <v>0</v>
      </c>
      <c r="AG139" s="357">
        <v>533.93</v>
      </c>
      <c r="AH139" s="357">
        <v>0</v>
      </c>
      <c r="AI139" s="357">
        <v>0</v>
      </c>
      <c r="AJ139" s="357">
        <v>533.93</v>
      </c>
      <c r="AK139" s="357">
        <v>533.93</v>
      </c>
      <c r="AL139" s="357">
        <v>0</v>
      </c>
      <c r="AM139" s="357">
        <v>0</v>
      </c>
      <c r="AN139" s="357">
        <v>533.93</v>
      </c>
      <c r="AO139" s="357">
        <v>2411440.85</v>
      </c>
      <c r="AP139" s="357">
        <v>0</v>
      </c>
      <c r="AQ139" s="357">
        <v>0</v>
      </c>
      <c r="AR139" s="357">
        <v>2411440.85</v>
      </c>
      <c r="AS139" s="357">
        <v>24114.41</v>
      </c>
      <c r="AT139" s="357">
        <v>0</v>
      </c>
      <c r="AU139" s="357">
        <v>0</v>
      </c>
      <c r="AV139" s="357">
        <v>24114.41</v>
      </c>
      <c r="AW139" s="357">
        <v>906975.04</v>
      </c>
      <c r="AX139" s="357">
        <v>0</v>
      </c>
      <c r="AY139" s="357">
        <v>0</v>
      </c>
      <c r="AZ139" s="357">
        <v>906975.04</v>
      </c>
      <c r="BA139" s="357">
        <v>1504465.81</v>
      </c>
      <c r="BB139" s="357">
        <v>0</v>
      </c>
      <c r="BC139" s="357">
        <v>0</v>
      </c>
      <c r="BD139" s="357">
        <v>1504465.81</v>
      </c>
      <c r="BE139" s="357">
        <v>2655455.59</v>
      </c>
      <c r="BF139" s="357">
        <v>0</v>
      </c>
      <c r="BG139" s="357">
        <v>0</v>
      </c>
      <c r="BH139" s="357">
        <v>2655455.59</v>
      </c>
      <c r="BI139" s="357">
        <v>49572.79</v>
      </c>
      <c r="BJ139" s="357">
        <v>0</v>
      </c>
      <c r="BK139" s="357">
        <v>0</v>
      </c>
      <c r="BL139" s="357">
        <v>49572.79</v>
      </c>
      <c r="BM139" s="357">
        <v>18488.31</v>
      </c>
      <c r="BN139" s="357">
        <v>0</v>
      </c>
      <c r="BO139" s="357">
        <v>0</v>
      </c>
      <c r="BP139" s="357">
        <v>18488.31</v>
      </c>
      <c r="BQ139" s="357">
        <v>4227982.5</v>
      </c>
      <c r="BR139" s="357">
        <v>0</v>
      </c>
      <c r="BS139" s="357">
        <v>0</v>
      </c>
      <c r="BT139" s="357">
        <v>120000</v>
      </c>
      <c r="BU139" s="357">
        <v>0</v>
      </c>
      <c r="BV139" s="357">
        <v>0</v>
      </c>
      <c r="BW139" s="357">
        <v>4347982.5</v>
      </c>
      <c r="BX139" s="357">
        <v>0</v>
      </c>
      <c r="BY139" s="357">
        <v>0</v>
      </c>
      <c r="BZ139" s="357">
        <v>4347982.5</v>
      </c>
      <c r="CA139" s="357">
        <v>14000</v>
      </c>
      <c r="CB139" s="357">
        <v>0</v>
      </c>
      <c r="CC139" s="357">
        <v>0</v>
      </c>
      <c r="CD139" s="357">
        <v>14000</v>
      </c>
      <c r="CE139" s="357">
        <v>929510.15</v>
      </c>
      <c r="CF139" s="357">
        <v>0</v>
      </c>
      <c r="CG139" s="357">
        <v>0</v>
      </c>
      <c r="CH139" s="357">
        <v>929510.15</v>
      </c>
      <c r="CI139" s="357">
        <v>943510.15</v>
      </c>
      <c r="CJ139" s="357">
        <v>0</v>
      </c>
      <c r="CK139" s="357">
        <v>0</v>
      </c>
      <c r="CL139" s="357">
        <v>600000</v>
      </c>
      <c r="CM139" s="357">
        <v>0</v>
      </c>
      <c r="CN139" s="357">
        <v>0</v>
      </c>
      <c r="CO139" s="357">
        <v>1543510.15</v>
      </c>
      <c r="CP139" s="357">
        <v>0</v>
      </c>
      <c r="CQ139" s="357">
        <v>0</v>
      </c>
      <c r="CR139" s="357">
        <v>1543510.15</v>
      </c>
      <c r="CS139" s="357">
        <v>70474.28</v>
      </c>
      <c r="CT139" s="357">
        <v>0</v>
      </c>
      <c r="CU139" s="357">
        <v>0</v>
      </c>
      <c r="CV139" s="357">
        <v>70474.28</v>
      </c>
      <c r="CW139" s="357">
        <v>433739.73</v>
      </c>
      <c r="CX139" s="357">
        <v>0</v>
      </c>
      <c r="CY139" s="357">
        <v>0</v>
      </c>
      <c r="CZ139" s="357">
        <v>433739.73</v>
      </c>
      <c r="DA139" s="357">
        <v>3324.82</v>
      </c>
      <c r="DB139" s="357">
        <v>0</v>
      </c>
      <c r="DC139" s="357">
        <v>0</v>
      </c>
      <c r="DD139" s="357">
        <v>3324.82</v>
      </c>
      <c r="DE139" s="357">
        <v>4121.25</v>
      </c>
      <c r="DF139" s="357">
        <v>0</v>
      </c>
      <c r="DG139" s="357">
        <v>0</v>
      </c>
      <c r="DH139" s="357">
        <v>4121.25</v>
      </c>
      <c r="DI139" s="357">
        <v>0</v>
      </c>
      <c r="DJ139" s="357">
        <v>0</v>
      </c>
      <c r="DK139" s="357">
        <v>0</v>
      </c>
      <c r="DL139" s="357">
        <v>0</v>
      </c>
      <c r="DM139" s="357">
        <v>0</v>
      </c>
      <c r="DN139" s="357">
        <v>0</v>
      </c>
      <c r="DO139" s="357">
        <v>0</v>
      </c>
      <c r="DP139" s="357">
        <v>0</v>
      </c>
      <c r="DQ139" s="357">
        <v>511660.07</v>
      </c>
      <c r="DR139" s="357">
        <v>0</v>
      </c>
      <c r="DS139" s="357">
        <v>0</v>
      </c>
      <c r="DT139" s="357">
        <v>0</v>
      </c>
      <c r="DU139" s="357">
        <v>0</v>
      </c>
      <c r="DV139" s="357">
        <v>0</v>
      </c>
      <c r="DW139" s="357">
        <v>511660.07</v>
      </c>
      <c r="DX139" s="357">
        <v>0</v>
      </c>
      <c r="DY139" s="357">
        <v>0</v>
      </c>
      <c r="DZ139" s="357">
        <v>511660.07</v>
      </c>
      <c r="EA139" s="357">
        <v>0</v>
      </c>
      <c r="EB139" s="357">
        <v>0</v>
      </c>
      <c r="EC139" s="357">
        <v>9295.1</v>
      </c>
      <c r="ED139" s="357">
        <v>0</v>
      </c>
      <c r="EE139" s="357">
        <v>0</v>
      </c>
      <c r="EF139" s="357">
        <v>9295.1</v>
      </c>
      <c r="EG139" s="357">
        <v>60027.11</v>
      </c>
      <c r="EH139" s="357">
        <v>0</v>
      </c>
      <c r="EI139" s="357">
        <v>0</v>
      </c>
      <c r="EJ139" s="357">
        <v>60027.11</v>
      </c>
      <c r="EK139" s="357">
        <v>725380.61</v>
      </c>
      <c r="EL139" s="357">
        <v>0</v>
      </c>
      <c r="EM139" s="357">
        <v>0</v>
      </c>
      <c r="EN139" s="357">
        <v>725380.61</v>
      </c>
      <c r="EO139" s="357">
        <v>794702.82</v>
      </c>
      <c r="EP139" s="357">
        <v>0</v>
      </c>
      <c r="EQ139" s="357">
        <v>0</v>
      </c>
      <c r="ER139" s="357">
        <v>0</v>
      </c>
      <c r="ES139" s="357">
        <v>0</v>
      </c>
      <c r="ET139" s="357">
        <v>0</v>
      </c>
      <c r="EU139" s="357">
        <v>794702.82</v>
      </c>
      <c r="EV139" s="357">
        <v>0</v>
      </c>
      <c r="EW139" s="357">
        <v>0</v>
      </c>
      <c r="EX139" s="357">
        <v>794702.82</v>
      </c>
      <c r="EY139" s="357">
        <v>40323319.4</v>
      </c>
      <c r="EZ139" s="357">
        <v>0</v>
      </c>
      <c r="FA139" s="357">
        <v>0</v>
      </c>
      <c r="FB139" s="357">
        <v>40323319.4</v>
      </c>
      <c r="FC139" s="277">
        <v>0</v>
      </c>
      <c r="FD139" s="205"/>
    </row>
    <row r="140" spans="1:160" ht="12.75">
      <c r="A140" s="169">
        <v>133</v>
      </c>
      <c r="B140" s="172" t="s">
        <v>173</v>
      </c>
      <c r="C140" s="258" t="s">
        <v>174</v>
      </c>
      <c r="D140" s="235">
        <v>41639</v>
      </c>
      <c r="E140" s="357">
        <v>362460995</v>
      </c>
      <c r="F140" s="357">
        <v>0</v>
      </c>
      <c r="G140" s="357">
        <v>0</v>
      </c>
      <c r="H140" s="357">
        <v>362460995</v>
      </c>
      <c r="I140" s="357">
        <v>170719129</v>
      </c>
      <c r="J140" s="357">
        <v>0</v>
      </c>
      <c r="K140" s="357">
        <v>0</v>
      </c>
      <c r="L140" s="357">
        <v>-600000</v>
      </c>
      <c r="M140" s="357">
        <v>0</v>
      </c>
      <c r="N140" s="357">
        <v>0</v>
      </c>
      <c r="O140" s="357">
        <v>170119129</v>
      </c>
      <c r="P140" s="357">
        <v>0</v>
      </c>
      <c r="Q140" s="357">
        <v>0</v>
      </c>
      <c r="R140" s="357">
        <v>170119129</v>
      </c>
      <c r="S140" s="357">
        <v>493628</v>
      </c>
      <c r="T140" s="357">
        <v>0</v>
      </c>
      <c r="U140" s="357">
        <v>0</v>
      </c>
      <c r="V140" s="357">
        <v>493628</v>
      </c>
      <c r="W140" s="357">
        <v>33277</v>
      </c>
      <c r="X140" s="357">
        <v>0</v>
      </c>
      <c r="Y140" s="357">
        <v>0</v>
      </c>
      <c r="Z140" s="357">
        <v>33277</v>
      </c>
      <c r="AA140" s="357">
        <v>460351</v>
      </c>
      <c r="AB140" s="357">
        <v>0</v>
      </c>
      <c r="AC140" s="357">
        <v>0</v>
      </c>
      <c r="AD140" s="357">
        <v>0</v>
      </c>
      <c r="AE140" s="357">
        <v>0</v>
      </c>
      <c r="AF140" s="357">
        <v>0</v>
      </c>
      <c r="AG140" s="357">
        <v>460351</v>
      </c>
      <c r="AH140" s="357">
        <v>0</v>
      </c>
      <c r="AI140" s="357">
        <v>0</v>
      </c>
      <c r="AJ140" s="357">
        <v>460351</v>
      </c>
      <c r="AK140" s="357">
        <v>460351</v>
      </c>
      <c r="AL140" s="357">
        <v>0</v>
      </c>
      <c r="AM140" s="357">
        <v>0</v>
      </c>
      <c r="AN140" s="357">
        <v>460351</v>
      </c>
      <c r="AO140" s="357">
        <v>2512256</v>
      </c>
      <c r="AP140" s="357">
        <v>0</v>
      </c>
      <c r="AQ140" s="357">
        <v>0</v>
      </c>
      <c r="AR140" s="357">
        <v>2512256</v>
      </c>
      <c r="AS140" s="357">
        <v>0</v>
      </c>
      <c r="AT140" s="357">
        <v>0</v>
      </c>
      <c r="AU140" s="357">
        <v>0</v>
      </c>
      <c r="AV140" s="357">
        <v>0</v>
      </c>
      <c r="AW140" s="357">
        <v>3578164</v>
      </c>
      <c r="AX140" s="357">
        <v>0</v>
      </c>
      <c r="AY140" s="357">
        <v>0</v>
      </c>
      <c r="AZ140" s="357">
        <v>3578164</v>
      </c>
      <c r="BA140" s="357">
        <v>-1065908</v>
      </c>
      <c r="BB140" s="357">
        <v>0</v>
      </c>
      <c r="BC140" s="357">
        <v>0</v>
      </c>
      <c r="BD140" s="357">
        <v>-1065908</v>
      </c>
      <c r="BE140" s="357">
        <v>4627675</v>
      </c>
      <c r="BF140" s="357">
        <v>0</v>
      </c>
      <c r="BG140" s="357">
        <v>0</v>
      </c>
      <c r="BH140" s="357">
        <v>4627675</v>
      </c>
      <c r="BI140" s="357">
        <v>45154</v>
      </c>
      <c r="BJ140" s="357">
        <v>0</v>
      </c>
      <c r="BK140" s="357">
        <v>0</v>
      </c>
      <c r="BL140" s="357">
        <v>45154</v>
      </c>
      <c r="BM140" s="357">
        <v>0</v>
      </c>
      <c r="BN140" s="357">
        <v>0</v>
      </c>
      <c r="BO140" s="357">
        <v>0</v>
      </c>
      <c r="BP140" s="357">
        <v>0</v>
      </c>
      <c r="BQ140" s="357">
        <v>3606921</v>
      </c>
      <c r="BR140" s="357">
        <v>0</v>
      </c>
      <c r="BS140" s="357">
        <v>0</v>
      </c>
      <c r="BT140" s="357">
        <v>0</v>
      </c>
      <c r="BU140" s="357">
        <v>0</v>
      </c>
      <c r="BV140" s="357">
        <v>0</v>
      </c>
      <c r="BW140" s="357">
        <v>3606921</v>
      </c>
      <c r="BX140" s="357">
        <v>0</v>
      </c>
      <c r="BY140" s="357">
        <v>0</v>
      </c>
      <c r="BZ140" s="357">
        <v>3606921</v>
      </c>
      <c r="CA140" s="357">
        <v>0</v>
      </c>
      <c r="CB140" s="357">
        <v>0</v>
      </c>
      <c r="CC140" s="357">
        <v>0</v>
      </c>
      <c r="CD140" s="357">
        <v>0</v>
      </c>
      <c r="CE140" s="357">
        <v>6182990</v>
      </c>
      <c r="CF140" s="357">
        <v>0</v>
      </c>
      <c r="CG140" s="357">
        <v>0</v>
      </c>
      <c r="CH140" s="357">
        <v>6182990</v>
      </c>
      <c r="CI140" s="357">
        <v>6182990</v>
      </c>
      <c r="CJ140" s="357">
        <v>0</v>
      </c>
      <c r="CK140" s="357">
        <v>0</v>
      </c>
      <c r="CL140" s="357">
        <v>0</v>
      </c>
      <c r="CM140" s="357">
        <v>0</v>
      </c>
      <c r="CN140" s="357">
        <v>0</v>
      </c>
      <c r="CO140" s="357">
        <v>6182990</v>
      </c>
      <c r="CP140" s="357">
        <v>0</v>
      </c>
      <c r="CQ140" s="357">
        <v>0</v>
      </c>
      <c r="CR140" s="357">
        <v>6182990</v>
      </c>
      <c r="CS140" s="357">
        <v>295736</v>
      </c>
      <c r="CT140" s="357">
        <v>0</v>
      </c>
      <c r="CU140" s="357">
        <v>0</v>
      </c>
      <c r="CV140" s="357">
        <v>295736</v>
      </c>
      <c r="CW140" s="357">
        <v>473466</v>
      </c>
      <c r="CX140" s="357">
        <v>0</v>
      </c>
      <c r="CY140" s="357">
        <v>0</v>
      </c>
      <c r="CZ140" s="357">
        <v>473466</v>
      </c>
      <c r="DA140" s="357">
        <v>1494</v>
      </c>
      <c r="DB140" s="357">
        <v>0</v>
      </c>
      <c r="DC140" s="357">
        <v>0</v>
      </c>
      <c r="DD140" s="357">
        <v>1494</v>
      </c>
      <c r="DE140" s="357">
        <v>0</v>
      </c>
      <c r="DF140" s="357">
        <v>0</v>
      </c>
      <c r="DG140" s="357">
        <v>0</v>
      </c>
      <c r="DH140" s="357">
        <v>0</v>
      </c>
      <c r="DI140" s="357">
        <v>0</v>
      </c>
      <c r="DJ140" s="357">
        <v>0</v>
      </c>
      <c r="DK140" s="357">
        <v>0</v>
      </c>
      <c r="DL140" s="357">
        <v>0</v>
      </c>
      <c r="DM140" s="357">
        <v>0</v>
      </c>
      <c r="DN140" s="357">
        <v>0</v>
      </c>
      <c r="DO140" s="357">
        <v>0</v>
      </c>
      <c r="DP140" s="357">
        <v>0</v>
      </c>
      <c r="DQ140" s="357">
        <v>770696</v>
      </c>
      <c r="DR140" s="357">
        <v>0</v>
      </c>
      <c r="DS140" s="357">
        <v>0</v>
      </c>
      <c r="DT140" s="357">
        <v>0</v>
      </c>
      <c r="DU140" s="357">
        <v>0</v>
      </c>
      <c r="DV140" s="357">
        <v>0</v>
      </c>
      <c r="DW140" s="357">
        <v>770696</v>
      </c>
      <c r="DX140" s="357">
        <v>0</v>
      </c>
      <c r="DY140" s="357">
        <v>0</v>
      </c>
      <c r="DZ140" s="357">
        <v>770696</v>
      </c>
      <c r="EA140" s="357">
        <v>0</v>
      </c>
      <c r="EB140" s="357">
        <v>0</v>
      </c>
      <c r="EC140" s="357">
        <v>0</v>
      </c>
      <c r="ED140" s="357">
        <v>0</v>
      </c>
      <c r="EE140" s="357">
        <v>0</v>
      </c>
      <c r="EF140" s="357">
        <v>0</v>
      </c>
      <c r="EG140" s="357">
        <v>42306</v>
      </c>
      <c r="EH140" s="357">
        <v>0</v>
      </c>
      <c r="EI140" s="357">
        <v>0</v>
      </c>
      <c r="EJ140" s="357">
        <v>42306</v>
      </c>
      <c r="EK140" s="357">
        <v>500000</v>
      </c>
      <c r="EL140" s="357">
        <v>0</v>
      </c>
      <c r="EM140" s="357">
        <v>0</v>
      </c>
      <c r="EN140" s="357">
        <v>500000</v>
      </c>
      <c r="EO140" s="357">
        <v>542306</v>
      </c>
      <c r="EP140" s="357">
        <v>0</v>
      </c>
      <c r="EQ140" s="357">
        <v>0</v>
      </c>
      <c r="ER140" s="357">
        <v>0</v>
      </c>
      <c r="ES140" s="357">
        <v>0</v>
      </c>
      <c r="ET140" s="357">
        <v>0</v>
      </c>
      <c r="EU140" s="357">
        <v>542306</v>
      </c>
      <c r="EV140" s="357">
        <v>0</v>
      </c>
      <c r="EW140" s="357">
        <v>0</v>
      </c>
      <c r="EX140" s="357">
        <v>542306</v>
      </c>
      <c r="EY140" s="357">
        <v>158555865</v>
      </c>
      <c r="EZ140" s="357">
        <v>0</v>
      </c>
      <c r="FA140" s="357">
        <v>0</v>
      </c>
      <c r="FB140" s="357">
        <v>158555865</v>
      </c>
      <c r="FC140" s="277">
        <v>0</v>
      </c>
      <c r="FD140" s="205"/>
    </row>
    <row r="141" spans="1:160" ht="12.75">
      <c r="A141" s="169">
        <v>134</v>
      </c>
      <c r="B141" s="172" t="s">
        <v>175</v>
      </c>
      <c r="C141" s="258" t="s">
        <v>176</v>
      </c>
      <c r="D141" s="235">
        <v>41654</v>
      </c>
      <c r="E141" s="357">
        <v>139615025</v>
      </c>
      <c r="F141" s="357">
        <v>0</v>
      </c>
      <c r="G141" s="357">
        <v>1480465</v>
      </c>
      <c r="H141" s="357">
        <v>141095490</v>
      </c>
      <c r="I141" s="357">
        <v>65758677</v>
      </c>
      <c r="J141" s="357">
        <v>0</v>
      </c>
      <c r="K141" s="357">
        <v>697299</v>
      </c>
      <c r="L141" s="357">
        <v>764141</v>
      </c>
      <c r="M141" s="357">
        <v>0</v>
      </c>
      <c r="N141" s="357">
        <v>24906</v>
      </c>
      <c r="O141" s="357">
        <v>66522818</v>
      </c>
      <c r="P141" s="357">
        <v>0</v>
      </c>
      <c r="Q141" s="357">
        <v>722205</v>
      </c>
      <c r="R141" s="357">
        <v>67245023</v>
      </c>
      <c r="S141" s="357">
        <v>116925</v>
      </c>
      <c r="T141" s="357">
        <v>0</v>
      </c>
      <c r="U141" s="357">
        <v>2524</v>
      </c>
      <c r="V141" s="357">
        <v>119449</v>
      </c>
      <c r="W141" s="357">
        <v>35778</v>
      </c>
      <c r="X141" s="357">
        <v>0</v>
      </c>
      <c r="Y141" s="357">
        <v>0</v>
      </c>
      <c r="Z141" s="357">
        <v>35778</v>
      </c>
      <c r="AA141" s="357">
        <v>81147</v>
      </c>
      <c r="AB141" s="357">
        <v>0</v>
      </c>
      <c r="AC141" s="357">
        <v>2524</v>
      </c>
      <c r="AD141" s="357">
        <v>0</v>
      </c>
      <c r="AE141" s="357">
        <v>0</v>
      </c>
      <c r="AF141" s="357">
        <v>0</v>
      </c>
      <c r="AG141" s="357">
        <v>81147</v>
      </c>
      <c r="AH141" s="357">
        <v>0</v>
      </c>
      <c r="AI141" s="357">
        <v>2524</v>
      </c>
      <c r="AJ141" s="357">
        <v>83671</v>
      </c>
      <c r="AK141" s="357">
        <v>81147</v>
      </c>
      <c r="AL141" s="357">
        <v>0</v>
      </c>
      <c r="AM141" s="357">
        <v>2524</v>
      </c>
      <c r="AN141" s="357">
        <v>83671</v>
      </c>
      <c r="AO141" s="357">
        <v>2735135</v>
      </c>
      <c r="AP141" s="357">
        <v>0</v>
      </c>
      <c r="AQ141" s="357">
        <v>0</v>
      </c>
      <c r="AR141" s="357">
        <v>2735135</v>
      </c>
      <c r="AS141" s="357">
        <v>50000</v>
      </c>
      <c r="AT141" s="357">
        <v>0</v>
      </c>
      <c r="AU141" s="357">
        <v>0</v>
      </c>
      <c r="AV141" s="357">
        <v>50000</v>
      </c>
      <c r="AW141" s="357">
        <v>1328687</v>
      </c>
      <c r="AX141" s="357">
        <v>0</v>
      </c>
      <c r="AY141" s="357">
        <v>1191</v>
      </c>
      <c r="AZ141" s="357">
        <v>1329878</v>
      </c>
      <c r="BA141" s="357">
        <v>1406448</v>
      </c>
      <c r="BB141" s="357">
        <v>0</v>
      </c>
      <c r="BC141" s="357">
        <v>-1191</v>
      </c>
      <c r="BD141" s="357">
        <v>1405257</v>
      </c>
      <c r="BE141" s="357">
        <v>2522303</v>
      </c>
      <c r="BF141" s="357">
        <v>0</v>
      </c>
      <c r="BG141" s="357">
        <v>2699</v>
      </c>
      <c r="BH141" s="357">
        <v>2525002</v>
      </c>
      <c r="BI141" s="357">
        <v>188167</v>
      </c>
      <c r="BJ141" s="357">
        <v>0</v>
      </c>
      <c r="BK141" s="357">
        <v>0</v>
      </c>
      <c r="BL141" s="357">
        <v>188167</v>
      </c>
      <c r="BM141" s="357">
        <v>47218</v>
      </c>
      <c r="BN141" s="357">
        <v>0</v>
      </c>
      <c r="BO141" s="357">
        <v>0</v>
      </c>
      <c r="BP141" s="357">
        <v>47218</v>
      </c>
      <c r="BQ141" s="357">
        <v>4164136</v>
      </c>
      <c r="BR141" s="357">
        <v>0</v>
      </c>
      <c r="BS141" s="357">
        <v>2699</v>
      </c>
      <c r="BT141" s="357">
        <v>0</v>
      </c>
      <c r="BU141" s="357">
        <v>0</v>
      </c>
      <c r="BV141" s="357">
        <v>0</v>
      </c>
      <c r="BW141" s="357">
        <v>4164136</v>
      </c>
      <c r="BX141" s="357">
        <v>0</v>
      </c>
      <c r="BY141" s="357">
        <v>2699</v>
      </c>
      <c r="BZ141" s="357">
        <v>4166835</v>
      </c>
      <c r="CA141" s="357">
        <v>100000</v>
      </c>
      <c r="CB141" s="357">
        <v>0</v>
      </c>
      <c r="CC141" s="357">
        <v>0</v>
      </c>
      <c r="CD141" s="357">
        <v>100000</v>
      </c>
      <c r="CE141" s="357">
        <v>1878284</v>
      </c>
      <c r="CF141" s="357">
        <v>0</v>
      </c>
      <c r="CG141" s="357">
        <v>50610</v>
      </c>
      <c r="CH141" s="357">
        <v>1928894</v>
      </c>
      <c r="CI141" s="357">
        <v>1978284</v>
      </c>
      <c r="CJ141" s="357">
        <v>0</v>
      </c>
      <c r="CK141" s="357">
        <v>50610</v>
      </c>
      <c r="CL141" s="357">
        <v>0</v>
      </c>
      <c r="CM141" s="357">
        <v>0</v>
      </c>
      <c r="CN141" s="357">
        <v>0</v>
      </c>
      <c r="CO141" s="357">
        <v>1978284</v>
      </c>
      <c r="CP141" s="357">
        <v>0</v>
      </c>
      <c r="CQ141" s="357">
        <v>50610</v>
      </c>
      <c r="CR141" s="357">
        <v>2028894</v>
      </c>
      <c r="CS141" s="357">
        <v>386</v>
      </c>
      <c r="CT141" s="357">
        <v>0</v>
      </c>
      <c r="CU141" s="357">
        <v>0</v>
      </c>
      <c r="CV141" s="357">
        <v>386</v>
      </c>
      <c r="CW141" s="357">
        <v>62500</v>
      </c>
      <c r="CX141" s="357">
        <v>0</v>
      </c>
      <c r="CY141" s="357">
        <v>0</v>
      </c>
      <c r="CZ141" s="357">
        <v>62500</v>
      </c>
      <c r="DA141" s="357">
        <v>0</v>
      </c>
      <c r="DB141" s="357">
        <v>0</v>
      </c>
      <c r="DC141" s="357">
        <v>0</v>
      </c>
      <c r="DD141" s="357">
        <v>0</v>
      </c>
      <c r="DE141" s="357">
        <v>23102</v>
      </c>
      <c r="DF141" s="357">
        <v>0</v>
      </c>
      <c r="DG141" s="357">
        <v>0</v>
      </c>
      <c r="DH141" s="357">
        <v>23102</v>
      </c>
      <c r="DI141" s="357">
        <v>398</v>
      </c>
      <c r="DJ141" s="357">
        <v>0</v>
      </c>
      <c r="DK141" s="357">
        <v>0</v>
      </c>
      <c r="DL141" s="357">
        <v>398</v>
      </c>
      <c r="DM141" s="357">
        <v>0</v>
      </c>
      <c r="DN141" s="357">
        <v>0</v>
      </c>
      <c r="DO141" s="357">
        <v>0</v>
      </c>
      <c r="DP141" s="357">
        <v>0</v>
      </c>
      <c r="DQ141" s="357">
        <v>86386</v>
      </c>
      <c r="DR141" s="357">
        <v>0</v>
      </c>
      <c r="DS141" s="357">
        <v>0</v>
      </c>
      <c r="DT141" s="357">
        <v>0</v>
      </c>
      <c r="DU141" s="357">
        <v>0</v>
      </c>
      <c r="DV141" s="357">
        <v>0</v>
      </c>
      <c r="DW141" s="357">
        <v>86386</v>
      </c>
      <c r="DX141" s="357">
        <v>0</v>
      </c>
      <c r="DY141" s="357">
        <v>0</v>
      </c>
      <c r="DZ141" s="357">
        <v>86386</v>
      </c>
      <c r="EA141" s="357">
        <v>625479</v>
      </c>
      <c r="EB141" s="357">
        <v>0</v>
      </c>
      <c r="EC141" s="357">
        <v>20000</v>
      </c>
      <c r="ED141" s="357">
        <v>0</v>
      </c>
      <c r="EE141" s="357">
        <v>0</v>
      </c>
      <c r="EF141" s="357">
        <v>20000</v>
      </c>
      <c r="EG141" s="357">
        <v>25000</v>
      </c>
      <c r="EH141" s="357">
        <v>0</v>
      </c>
      <c r="EI141" s="357">
        <v>0</v>
      </c>
      <c r="EJ141" s="357">
        <v>25000</v>
      </c>
      <c r="EK141" s="357">
        <v>50000</v>
      </c>
      <c r="EL141" s="357">
        <v>0</v>
      </c>
      <c r="EM141" s="357">
        <v>0</v>
      </c>
      <c r="EN141" s="357">
        <v>50000</v>
      </c>
      <c r="EO141" s="357">
        <v>95000</v>
      </c>
      <c r="EP141" s="357">
        <v>0</v>
      </c>
      <c r="EQ141" s="357">
        <v>0</v>
      </c>
      <c r="ER141" s="357">
        <v>0</v>
      </c>
      <c r="ES141" s="357">
        <v>0</v>
      </c>
      <c r="ET141" s="357">
        <v>0</v>
      </c>
      <c r="EU141" s="357">
        <v>95000</v>
      </c>
      <c r="EV141" s="357">
        <v>0</v>
      </c>
      <c r="EW141" s="357">
        <v>0</v>
      </c>
      <c r="EX141" s="357">
        <v>95000</v>
      </c>
      <c r="EY141" s="357">
        <v>60117865</v>
      </c>
      <c r="EZ141" s="357">
        <v>0</v>
      </c>
      <c r="FA141" s="357">
        <v>666372</v>
      </c>
      <c r="FB141" s="357">
        <v>60784237</v>
      </c>
      <c r="FC141" s="277">
        <v>0</v>
      </c>
      <c r="FD141" s="205"/>
    </row>
    <row r="142" spans="1:160" ht="12.75">
      <c r="A142" s="169">
        <v>135</v>
      </c>
      <c r="B142" s="172" t="s">
        <v>177</v>
      </c>
      <c r="C142" s="258" t="s">
        <v>178</v>
      </c>
      <c r="D142" s="235">
        <v>41639</v>
      </c>
      <c r="E142" s="357">
        <v>59045722</v>
      </c>
      <c r="F142" s="357">
        <v>0</v>
      </c>
      <c r="G142" s="357">
        <v>0</v>
      </c>
      <c r="H142" s="357">
        <v>59045722</v>
      </c>
      <c r="I142" s="357">
        <v>27810535</v>
      </c>
      <c r="J142" s="357">
        <v>0</v>
      </c>
      <c r="K142" s="357">
        <v>0</v>
      </c>
      <c r="L142" s="357">
        <v>0</v>
      </c>
      <c r="M142" s="357">
        <v>0</v>
      </c>
      <c r="N142" s="357">
        <v>0</v>
      </c>
      <c r="O142" s="357">
        <v>27810535</v>
      </c>
      <c r="P142" s="357">
        <v>0</v>
      </c>
      <c r="Q142" s="357">
        <v>0</v>
      </c>
      <c r="R142" s="357">
        <v>27810535</v>
      </c>
      <c r="S142" s="357">
        <v>76348</v>
      </c>
      <c r="T142" s="357">
        <v>0</v>
      </c>
      <c r="U142" s="357">
        <v>0</v>
      </c>
      <c r="V142" s="357">
        <v>76348</v>
      </c>
      <c r="W142" s="357">
        <v>0</v>
      </c>
      <c r="X142" s="357">
        <v>0</v>
      </c>
      <c r="Y142" s="357">
        <v>0</v>
      </c>
      <c r="Z142" s="357">
        <v>0</v>
      </c>
      <c r="AA142" s="357">
        <v>76348</v>
      </c>
      <c r="AB142" s="357">
        <v>0</v>
      </c>
      <c r="AC142" s="357">
        <v>0</v>
      </c>
      <c r="AD142" s="357">
        <v>0</v>
      </c>
      <c r="AE142" s="357">
        <v>0</v>
      </c>
      <c r="AF142" s="357">
        <v>0</v>
      </c>
      <c r="AG142" s="357">
        <v>76348</v>
      </c>
      <c r="AH142" s="357">
        <v>0</v>
      </c>
      <c r="AI142" s="357">
        <v>0</v>
      </c>
      <c r="AJ142" s="357">
        <v>76348</v>
      </c>
      <c r="AK142" s="357">
        <v>76348</v>
      </c>
      <c r="AL142" s="357">
        <v>0</v>
      </c>
      <c r="AM142" s="357">
        <v>0</v>
      </c>
      <c r="AN142" s="357">
        <v>76348</v>
      </c>
      <c r="AO142" s="357">
        <v>2217282</v>
      </c>
      <c r="AP142" s="357">
        <v>0</v>
      </c>
      <c r="AQ142" s="357">
        <v>0</v>
      </c>
      <c r="AR142" s="357">
        <v>2217282</v>
      </c>
      <c r="AS142" s="357">
        <v>0</v>
      </c>
      <c r="AT142" s="357">
        <v>0</v>
      </c>
      <c r="AU142" s="357">
        <v>0</v>
      </c>
      <c r="AV142" s="357">
        <v>0</v>
      </c>
      <c r="AW142" s="357">
        <v>529298</v>
      </c>
      <c r="AX142" s="357">
        <v>0</v>
      </c>
      <c r="AY142" s="357">
        <v>0</v>
      </c>
      <c r="AZ142" s="357">
        <v>529298</v>
      </c>
      <c r="BA142" s="357">
        <v>1687984</v>
      </c>
      <c r="BB142" s="357">
        <v>0</v>
      </c>
      <c r="BC142" s="357">
        <v>0</v>
      </c>
      <c r="BD142" s="357">
        <v>1687984</v>
      </c>
      <c r="BE142" s="357">
        <v>1119335</v>
      </c>
      <c r="BF142" s="357">
        <v>0</v>
      </c>
      <c r="BG142" s="357">
        <v>0</v>
      </c>
      <c r="BH142" s="357">
        <v>1119335</v>
      </c>
      <c r="BI142" s="357">
        <v>34415</v>
      </c>
      <c r="BJ142" s="357">
        <v>0</v>
      </c>
      <c r="BK142" s="357">
        <v>0</v>
      </c>
      <c r="BL142" s="357">
        <v>34415</v>
      </c>
      <c r="BM142" s="357">
        <v>0</v>
      </c>
      <c r="BN142" s="357">
        <v>0</v>
      </c>
      <c r="BO142" s="357">
        <v>0</v>
      </c>
      <c r="BP142" s="357">
        <v>0</v>
      </c>
      <c r="BQ142" s="357">
        <v>2841734</v>
      </c>
      <c r="BR142" s="357">
        <v>0</v>
      </c>
      <c r="BS142" s="357">
        <v>0</v>
      </c>
      <c r="BT142" s="357">
        <v>284173</v>
      </c>
      <c r="BU142" s="357">
        <v>0</v>
      </c>
      <c r="BV142" s="357">
        <v>0</v>
      </c>
      <c r="BW142" s="357">
        <v>3125907</v>
      </c>
      <c r="BX142" s="357">
        <v>0</v>
      </c>
      <c r="BY142" s="357">
        <v>0</v>
      </c>
      <c r="BZ142" s="357">
        <v>3125907</v>
      </c>
      <c r="CA142" s="357">
        <v>1138</v>
      </c>
      <c r="CB142" s="357">
        <v>0</v>
      </c>
      <c r="CC142" s="357">
        <v>0</v>
      </c>
      <c r="CD142" s="357">
        <v>1138</v>
      </c>
      <c r="CE142" s="357">
        <v>2434168</v>
      </c>
      <c r="CF142" s="357">
        <v>0</v>
      </c>
      <c r="CG142" s="357">
        <v>0</v>
      </c>
      <c r="CH142" s="357">
        <v>2434168</v>
      </c>
      <c r="CI142" s="357">
        <v>2435306</v>
      </c>
      <c r="CJ142" s="357">
        <v>0</v>
      </c>
      <c r="CK142" s="357">
        <v>0</v>
      </c>
      <c r="CL142" s="357">
        <v>-55000</v>
      </c>
      <c r="CM142" s="357">
        <v>0</v>
      </c>
      <c r="CN142" s="357">
        <v>0</v>
      </c>
      <c r="CO142" s="357">
        <v>2380306</v>
      </c>
      <c r="CP142" s="357">
        <v>0</v>
      </c>
      <c r="CQ142" s="357">
        <v>0</v>
      </c>
      <c r="CR142" s="357">
        <v>2380306</v>
      </c>
      <c r="CS142" s="357">
        <v>95502</v>
      </c>
      <c r="CT142" s="357">
        <v>0</v>
      </c>
      <c r="CU142" s="357">
        <v>0</v>
      </c>
      <c r="CV142" s="357">
        <v>95502</v>
      </c>
      <c r="CW142" s="357">
        <v>113318</v>
      </c>
      <c r="CX142" s="357">
        <v>0</v>
      </c>
      <c r="CY142" s="357">
        <v>0</v>
      </c>
      <c r="CZ142" s="357">
        <v>113318</v>
      </c>
      <c r="DA142" s="357">
        <v>0</v>
      </c>
      <c r="DB142" s="357">
        <v>0</v>
      </c>
      <c r="DC142" s="357">
        <v>0</v>
      </c>
      <c r="DD142" s="357">
        <v>0</v>
      </c>
      <c r="DE142" s="357">
        <v>0</v>
      </c>
      <c r="DF142" s="357">
        <v>0</v>
      </c>
      <c r="DG142" s="357">
        <v>0</v>
      </c>
      <c r="DH142" s="357">
        <v>0</v>
      </c>
      <c r="DI142" s="357">
        <v>0</v>
      </c>
      <c r="DJ142" s="357">
        <v>0</v>
      </c>
      <c r="DK142" s="357">
        <v>0</v>
      </c>
      <c r="DL142" s="357">
        <v>0</v>
      </c>
      <c r="DM142" s="357">
        <v>0</v>
      </c>
      <c r="DN142" s="357">
        <v>0</v>
      </c>
      <c r="DO142" s="357">
        <v>0</v>
      </c>
      <c r="DP142" s="357">
        <v>0</v>
      </c>
      <c r="DQ142" s="357">
        <v>208820</v>
      </c>
      <c r="DR142" s="357">
        <v>0</v>
      </c>
      <c r="DS142" s="357">
        <v>0</v>
      </c>
      <c r="DT142" s="357">
        <v>0</v>
      </c>
      <c r="DU142" s="357">
        <v>0</v>
      </c>
      <c r="DV142" s="357">
        <v>0</v>
      </c>
      <c r="DW142" s="357">
        <v>208820</v>
      </c>
      <c r="DX142" s="357">
        <v>0</v>
      </c>
      <c r="DY142" s="357">
        <v>0</v>
      </c>
      <c r="DZ142" s="357">
        <v>208820</v>
      </c>
      <c r="EA142" s="357">
        <v>0</v>
      </c>
      <c r="EB142" s="357">
        <v>0</v>
      </c>
      <c r="EC142" s="357">
        <v>0</v>
      </c>
      <c r="ED142" s="357">
        <v>0</v>
      </c>
      <c r="EE142" s="357">
        <v>0</v>
      </c>
      <c r="EF142" s="357">
        <v>0</v>
      </c>
      <c r="EG142" s="357">
        <v>66029</v>
      </c>
      <c r="EH142" s="357">
        <v>0</v>
      </c>
      <c r="EI142" s="357">
        <v>0</v>
      </c>
      <c r="EJ142" s="357">
        <v>66029</v>
      </c>
      <c r="EK142" s="357">
        <v>370965.81</v>
      </c>
      <c r="EL142" s="357">
        <v>0</v>
      </c>
      <c r="EM142" s="357">
        <v>0</v>
      </c>
      <c r="EN142" s="357">
        <v>370965.81</v>
      </c>
      <c r="EO142" s="357">
        <v>436994.81</v>
      </c>
      <c r="EP142" s="357">
        <v>0</v>
      </c>
      <c r="EQ142" s="357">
        <v>0</v>
      </c>
      <c r="ER142" s="357">
        <v>43700</v>
      </c>
      <c r="ES142" s="357">
        <v>0</v>
      </c>
      <c r="ET142" s="357">
        <v>0</v>
      </c>
      <c r="EU142" s="357">
        <v>480694.81</v>
      </c>
      <c r="EV142" s="357">
        <v>0</v>
      </c>
      <c r="EW142" s="357">
        <v>0</v>
      </c>
      <c r="EX142" s="357">
        <v>480694.81</v>
      </c>
      <c r="EY142" s="357">
        <v>21538459.2</v>
      </c>
      <c r="EZ142" s="357">
        <v>0</v>
      </c>
      <c r="FA142" s="357">
        <v>0</v>
      </c>
      <c r="FB142" s="357">
        <v>21538459.2</v>
      </c>
      <c r="FC142" s="277">
        <v>0</v>
      </c>
      <c r="FD142" s="205"/>
    </row>
    <row r="143" spans="1:160" ht="12.75">
      <c r="A143" s="169">
        <v>136</v>
      </c>
      <c r="B143" s="172" t="s">
        <v>179</v>
      </c>
      <c r="C143" s="258" t="s">
        <v>180</v>
      </c>
      <c r="D143" s="235">
        <v>41639</v>
      </c>
      <c r="E143" s="357">
        <v>134518457</v>
      </c>
      <c r="F143" s="357">
        <v>0</v>
      </c>
      <c r="G143" s="357">
        <v>0</v>
      </c>
      <c r="H143" s="357">
        <v>134518457</v>
      </c>
      <c r="I143" s="357">
        <v>63358193</v>
      </c>
      <c r="J143" s="357">
        <v>0</v>
      </c>
      <c r="K143" s="357">
        <v>0</v>
      </c>
      <c r="L143" s="357">
        <v>50000</v>
      </c>
      <c r="M143" s="357">
        <v>0</v>
      </c>
      <c r="N143" s="357">
        <v>0</v>
      </c>
      <c r="O143" s="357">
        <v>63408193</v>
      </c>
      <c r="P143" s="357">
        <v>0</v>
      </c>
      <c r="Q143" s="357">
        <v>0</v>
      </c>
      <c r="R143" s="357">
        <v>63408193</v>
      </c>
      <c r="S143" s="357">
        <v>81169.8</v>
      </c>
      <c r="T143" s="357">
        <v>0</v>
      </c>
      <c r="U143" s="357">
        <v>0</v>
      </c>
      <c r="V143" s="357">
        <v>81169.8</v>
      </c>
      <c r="W143" s="357">
        <v>860.03</v>
      </c>
      <c r="X143" s="357">
        <v>0</v>
      </c>
      <c r="Y143" s="357">
        <v>0</v>
      </c>
      <c r="Z143" s="357">
        <v>860.03</v>
      </c>
      <c r="AA143" s="357">
        <v>80309.77</v>
      </c>
      <c r="AB143" s="357">
        <v>0</v>
      </c>
      <c r="AC143" s="357">
        <v>0</v>
      </c>
      <c r="AD143" s="357">
        <v>0</v>
      </c>
      <c r="AE143" s="357">
        <v>0</v>
      </c>
      <c r="AF143" s="357">
        <v>0</v>
      </c>
      <c r="AG143" s="357">
        <v>80309.77</v>
      </c>
      <c r="AH143" s="357">
        <v>0</v>
      </c>
      <c r="AI143" s="357">
        <v>0</v>
      </c>
      <c r="AJ143" s="357">
        <v>80309.77</v>
      </c>
      <c r="AK143" s="357">
        <v>80309.77</v>
      </c>
      <c r="AL143" s="357">
        <v>0</v>
      </c>
      <c r="AM143" s="357">
        <v>0</v>
      </c>
      <c r="AN143" s="357">
        <v>80309.77</v>
      </c>
      <c r="AO143" s="357">
        <v>2175198.24</v>
      </c>
      <c r="AP143" s="357">
        <v>0</v>
      </c>
      <c r="AQ143" s="357">
        <v>0</v>
      </c>
      <c r="AR143" s="357">
        <v>2175198.24</v>
      </c>
      <c r="AS143" s="357">
        <v>21751.98</v>
      </c>
      <c r="AT143" s="357">
        <v>0</v>
      </c>
      <c r="AU143" s="357">
        <v>0</v>
      </c>
      <c r="AV143" s="357">
        <v>21751.98</v>
      </c>
      <c r="AW143" s="357">
        <v>1298994</v>
      </c>
      <c r="AX143" s="357">
        <v>0</v>
      </c>
      <c r="AY143" s="357">
        <v>0</v>
      </c>
      <c r="AZ143" s="357">
        <v>1298994</v>
      </c>
      <c r="BA143" s="357">
        <v>876204.24</v>
      </c>
      <c r="BB143" s="357">
        <v>0</v>
      </c>
      <c r="BC143" s="357">
        <v>0</v>
      </c>
      <c r="BD143" s="357">
        <v>876204.24</v>
      </c>
      <c r="BE143" s="357">
        <v>3048693.62</v>
      </c>
      <c r="BF143" s="357">
        <v>0</v>
      </c>
      <c r="BG143" s="357">
        <v>0</v>
      </c>
      <c r="BH143" s="357">
        <v>3048693.62</v>
      </c>
      <c r="BI143" s="357">
        <v>87531.2</v>
      </c>
      <c r="BJ143" s="357">
        <v>0</v>
      </c>
      <c r="BK143" s="357">
        <v>0</v>
      </c>
      <c r="BL143" s="357">
        <v>87531.2</v>
      </c>
      <c r="BM143" s="357">
        <v>0</v>
      </c>
      <c r="BN143" s="357">
        <v>0</v>
      </c>
      <c r="BO143" s="357">
        <v>0</v>
      </c>
      <c r="BP143" s="357">
        <v>0</v>
      </c>
      <c r="BQ143" s="357">
        <v>4012429.06</v>
      </c>
      <c r="BR143" s="357">
        <v>0</v>
      </c>
      <c r="BS143" s="357">
        <v>0</v>
      </c>
      <c r="BT143" s="357">
        <v>69950.25</v>
      </c>
      <c r="BU143" s="357">
        <v>0</v>
      </c>
      <c r="BV143" s="357">
        <v>0</v>
      </c>
      <c r="BW143" s="357">
        <v>4082379.31</v>
      </c>
      <c r="BX143" s="357">
        <v>0</v>
      </c>
      <c r="BY143" s="357">
        <v>0</v>
      </c>
      <c r="BZ143" s="357">
        <v>4082379.31</v>
      </c>
      <c r="CA143" s="357">
        <v>0</v>
      </c>
      <c r="CB143" s="357">
        <v>0</v>
      </c>
      <c r="CC143" s="357">
        <v>0</v>
      </c>
      <c r="CD143" s="357">
        <v>0</v>
      </c>
      <c r="CE143" s="357">
        <v>1582823.45</v>
      </c>
      <c r="CF143" s="357">
        <v>0</v>
      </c>
      <c r="CG143" s="357">
        <v>0</v>
      </c>
      <c r="CH143" s="357">
        <v>1582823.45</v>
      </c>
      <c r="CI143" s="357">
        <v>1582823.45</v>
      </c>
      <c r="CJ143" s="357">
        <v>0</v>
      </c>
      <c r="CK143" s="357">
        <v>0</v>
      </c>
      <c r="CL143" s="357">
        <v>0</v>
      </c>
      <c r="CM143" s="357">
        <v>0</v>
      </c>
      <c r="CN143" s="357">
        <v>0</v>
      </c>
      <c r="CO143" s="357">
        <v>1582823.45</v>
      </c>
      <c r="CP143" s="357">
        <v>0</v>
      </c>
      <c r="CQ143" s="357">
        <v>0</v>
      </c>
      <c r="CR143" s="357">
        <v>1582823.45</v>
      </c>
      <c r="CS143" s="357">
        <v>101013.16</v>
      </c>
      <c r="CT143" s="357">
        <v>0</v>
      </c>
      <c r="CU143" s="357">
        <v>0</v>
      </c>
      <c r="CV143" s="357">
        <v>101013.16</v>
      </c>
      <c r="CW143" s="357">
        <v>52704.04</v>
      </c>
      <c r="CX143" s="357">
        <v>0</v>
      </c>
      <c r="CY143" s="357">
        <v>0</v>
      </c>
      <c r="CZ143" s="357">
        <v>52704.04</v>
      </c>
      <c r="DA143" s="357">
        <v>0</v>
      </c>
      <c r="DB143" s="357">
        <v>0</v>
      </c>
      <c r="DC143" s="357">
        <v>0</v>
      </c>
      <c r="DD143" s="357">
        <v>0</v>
      </c>
      <c r="DE143" s="357">
        <v>0</v>
      </c>
      <c r="DF143" s="357">
        <v>0</v>
      </c>
      <c r="DG143" s="357">
        <v>0</v>
      </c>
      <c r="DH143" s="357">
        <v>0</v>
      </c>
      <c r="DI143" s="357">
        <v>0</v>
      </c>
      <c r="DJ143" s="357">
        <v>0</v>
      </c>
      <c r="DK143" s="357">
        <v>0</v>
      </c>
      <c r="DL143" s="357">
        <v>0</v>
      </c>
      <c r="DM143" s="357">
        <v>0</v>
      </c>
      <c r="DN143" s="357">
        <v>0</v>
      </c>
      <c r="DO143" s="357">
        <v>0</v>
      </c>
      <c r="DP143" s="357">
        <v>0</v>
      </c>
      <c r="DQ143" s="357">
        <v>153717.2</v>
      </c>
      <c r="DR143" s="357">
        <v>0</v>
      </c>
      <c r="DS143" s="357">
        <v>0</v>
      </c>
      <c r="DT143" s="357">
        <v>0</v>
      </c>
      <c r="DU143" s="357">
        <v>0</v>
      </c>
      <c r="DV143" s="357">
        <v>0</v>
      </c>
      <c r="DW143" s="357">
        <v>153717.2</v>
      </c>
      <c r="DX143" s="357">
        <v>0</v>
      </c>
      <c r="DY143" s="357">
        <v>0</v>
      </c>
      <c r="DZ143" s="357">
        <v>153717.2</v>
      </c>
      <c r="EA143" s="357">
        <v>0</v>
      </c>
      <c r="EB143" s="357">
        <v>0</v>
      </c>
      <c r="EC143" s="357">
        <v>0</v>
      </c>
      <c r="ED143" s="357">
        <v>0</v>
      </c>
      <c r="EE143" s="357">
        <v>0</v>
      </c>
      <c r="EF143" s="357">
        <v>0</v>
      </c>
      <c r="EG143" s="357">
        <v>150000</v>
      </c>
      <c r="EH143" s="357">
        <v>0</v>
      </c>
      <c r="EI143" s="357">
        <v>0</v>
      </c>
      <c r="EJ143" s="357">
        <v>150000</v>
      </c>
      <c r="EK143" s="357">
        <v>300000</v>
      </c>
      <c r="EL143" s="357">
        <v>0</v>
      </c>
      <c r="EM143" s="357">
        <v>0</v>
      </c>
      <c r="EN143" s="357">
        <v>300000</v>
      </c>
      <c r="EO143" s="357">
        <v>450000</v>
      </c>
      <c r="EP143" s="357">
        <v>0</v>
      </c>
      <c r="EQ143" s="357">
        <v>0</v>
      </c>
      <c r="ER143" s="357">
        <v>0</v>
      </c>
      <c r="ES143" s="357">
        <v>0</v>
      </c>
      <c r="ET143" s="357">
        <v>0</v>
      </c>
      <c r="EU143" s="357">
        <v>450000</v>
      </c>
      <c r="EV143" s="357">
        <v>0</v>
      </c>
      <c r="EW143" s="357">
        <v>0</v>
      </c>
      <c r="EX143" s="357">
        <v>450000</v>
      </c>
      <c r="EY143" s="357">
        <v>57058963.3</v>
      </c>
      <c r="EZ143" s="357">
        <v>0</v>
      </c>
      <c r="FA143" s="357">
        <v>0</v>
      </c>
      <c r="FB143" s="357">
        <v>57058963.3</v>
      </c>
      <c r="FC143" s="277">
        <v>0</v>
      </c>
      <c r="FD143" s="205"/>
    </row>
    <row r="144" spans="1:160" ht="12.75">
      <c r="A144" s="169">
        <v>137</v>
      </c>
      <c r="B144" s="172" t="s">
        <v>181</v>
      </c>
      <c r="C144" s="258" t="s">
        <v>182</v>
      </c>
      <c r="D144" s="235">
        <v>41670</v>
      </c>
      <c r="E144" s="357">
        <v>92103754</v>
      </c>
      <c r="F144" s="357">
        <v>0</v>
      </c>
      <c r="G144" s="357">
        <v>0</v>
      </c>
      <c r="H144" s="357">
        <v>92103754</v>
      </c>
      <c r="I144" s="357">
        <v>43380868</v>
      </c>
      <c r="J144" s="357">
        <v>0</v>
      </c>
      <c r="K144" s="357">
        <v>0</v>
      </c>
      <c r="L144" s="357">
        <v>188000</v>
      </c>
      <c r="M144" s="357">
        <v>0</v>
      </c>
      <c r="N144" s="357">
        <v>0</v>
      </c>
      <c r="O144" s="357">
        <v>43568868</v>
      </c>
      <c r="P144" s="357">
        <v>0</v>
      </c>
      <c r="Q144" s="357">
        <v>0</v>
      </c>
      <c r="R144" s="357">
        <v>43568868</v>
      </c>
      <c r="S144" s="357">
        <v>70715</v>
      </c>
      <c r="T144" s="357">
        <v>0</v>
      </c>
      <c r="U144" s="357">
        <v>0</v>
      </c>
      <c r="V144" s="357">
        <v>70715</v>
      </c>
      <c r="W144" s="357">
        <v>52906</v>
      </c>
      <c r="X144" s="357">
        <v>0</v>
      </c>
      <c r="Y144" s="357">
        <v>0</v>
      </c>
      <c r="Z144" s="357">
        <v>52906</v>
      </c>
      <c r="AA144" s="357">
        <v>17809</v>
      </c>
      <c r="AB144" s="357">
        <v>0</v>
      </c>
      <c r="AC144" s="357">
        <v>0</v>
      </c>
      <c r="AD144" s="357">
        <v>0</v>
      </c>
      <c r="AE144" s="357">
        <v>0</v>
      </c>
      <c r="AF144" s="357">
        <v>0</v>
      </c>
      <c r="AG144" s="357">
        <v>17809</v>
      </c>
      <c r="AH144" s="357">
        <v>0</v>
      </c>
      <c r="AI144" s="357">
        <v>0</v>
      </c>
      <c r="AJ144" s="357">
        <v>17809</v>
      </c>
      <c r="AK144" s="357">
        <v>17809</v>
      </c>
      <c r="AL144" s="357">
        <v>0</v>
      </c>
      <c r="AM144" s="357">
        <v>0</v>
      </c>
      <c r="AN144" s="357">
        <v>17809</v>
      </c>
      <c r="AO144" s="357">
        <v>4313045</v>
      </c>
      <c r="AP144" s="357">
        <v>0</v>
      </c>
      <c r="AQ144" s="357">
        <v>0</v>
      </c>
      <c r="AR144" s="357">
        <v>4313045</v>
      </c>
      <c r="AS144" s="357">
        <v>12000</v>
      </c>
      <c r="AT144" s="357">
        <v>0</v>
      </c>
      <c r="AU144" s="357">
        <v>0</v>
      </c>
      <c r="AV144" s="357">
        <v>12000</v>
      </c>
      <c r="AW144" s="357">
        <v>754380</v>
      </c>
      <c r="AX144" s="357">
        <v>0</v>
      </c>
      <c r="AY144" s="357">
        <v>0</v>
      </c>
      <c r="AZ144" s="357">
        <v>754380</v>
      </c>
      <c r="BA144" s="357">
        <v>3558665</v>
      </c>
      <c r="BB144" s="357">
        <v>0</v>
      </c>
      <c r="BC144" s="357">
        <v>0</v>
      </c>
      <c r="BD144" s="357">
        <v>3558665</v>
      </c>
      <c r="BE144" s="357">
        <v>2203526</v>
      </c>
      <c r="BF144" s="357">
        <v>0</v>
      </c>
      <c r="BG144" s="357">
        <v>0</v>
      </c>
      <c r="BH144" s="357">
        <v>2203526</v>
      </c>
      <c r="BI144" s="357">
        <v>80050.56</v>
      </c>
      <c r="BJ144" s="357">
        <v>0</v>
      </c>
      <c r="BK144" s="357">
        <v>0</v>
      </c>
      <c r="BL144" s="357">
        <v>80050.56</v>
      </c>
      <c r="BM144" s="357">
        <v>12095</v>
      </c>
      <c r="BN144" s="357">
        <v>0</v>
      </c>
      <c r="BO144" s="357">
        <v>0</v>
      </c>
      <c r="BP144" s="357">
        <v>12095</v>
      </c>
      <c r="BQ144" s="357">
        <v>5854336.56</v>
      </c>
      <c r="BR144" s="357">
        <v>0</v>
      </c>
      <c r="BS144" s="357">
        <v>0</v>
      </c>
      <c r="BT144" s="357">
        <v>412000</v>
      </c>
      <c r="BU144" s="357">
        <v>0</v>
      </c>
      <c r="BV144" s="357">
        <v>0</v>
      </c>
      <c r="BW144" s="357">
        <v>6266336.56</v>
      </c>
      <c r="BX144" s="357">
        <v>0</v>
      </c>
      <c r="BY144" s="357">
        <v>0</v>
      </c>
      <c r="BZ144" s="357">
        <v>6266336.56</v>
      </c>
      <c r="CA144" s="357">
        <v>30000</v>
      </c>
      <c r="CB144" s="357">
        <v>0</v>
      </c>
      <c r="CC144" s="357">
        <v>0</v>
      </c>
      <c r="CD144" s="357">
        <v>30000</v>
      </c>
      <c r="CE144" s="357">
        <v>658486</v>
      </c>
      <c r="CF144" s="357">
        <v>0</v>
      </c>
      <c r="CG144" s="357">
        <v>0</v>
      </c>
      <c r="CH144" s="357">
        <v>658486</v>
      </c>
      <c r="CI144" s="357">
        <v>688486</v>
      </c>
      <c r="CJ144" s="357">
        <v>0</v>
      </c>
      <c r="CK144" s="357">
        <v>0</v>
      </c>
      <c r="CL144" s="357">
        <v>99000</v>
      </c>
      <c r="CM144" s="357">
        <v>0</v>
      </c>
      <c r="CN144" s="357">
        <v>0</v>
      </c>
      <c r="CO144" s="357">
        <v>787486</v>
      </c>
      <c r="CP144" s="357">
        <v>0</v>
      </c>
      <c r="CQ144" s="357">
        <v>0</v>
      </c>
      <c r="CR144" s="357">
        <v>787486</v>
      </c>
      <c r="CS144" s="357">
        <v>69294</v>
      </c>
      <c r="CT144" s="357">
        <v>0</v>
      </c>
      <c r="CU144" s="357">
        <v>0</v>
      </c>
      <c r="CV144" s="357">
        <v>69294</v>
      </c>
      <c r="CW144" s="357">
        <v>40733</v>
      </c>
      <c r="CX144" s="357">
        <v>0</v>
      </c>
      <c r="CY144" s="357">
        <v>0</v>
      </c>
      <c r="CZ144" s="357">
        <v>40733</v>
      </c>
      <c r="DA144" s="357">
        <v>916</v>
      </c>
      <c r="DB144" s="357">
        <v>0</v>
      </c>
      <c r="DC144" s="357">
        <v>0</v>
      </c>
      <c r="DD144" s="357">
        <v>916</v>
      </c>
      <c r="DE144" s="357">
        <v>9367</v>
      </c>
      <c r="DF144" s="357">
        <v>0</v>
      </c>
      <c r="DG144" s="357">
        <v>0</v>
      </c>
      <c r="DH144" s="357">
        <v>9367</v>
      </c>
      <c r="DI144" s="357">
        <v>8500</v>
      </c>
      <c r="DJ144" s="357">
        <v>0</v>
      </c>
      <c r="DK144" s="357">
        <v>0</v>
      </c>
      <c r="DL144" s="357">
        <v>8500</v>
      </c>
      <c r="DM144" s="357">
        <v>100000</v>
      </c>
      <c r="DN144" s="357">
        <v>0</v>
      </c>
      <c r="DO144" s="357">
        <v>0</v>
      </c>
      <c r="DP144" s="357">
        <v>100000</v>
      </c>
      <c r="DQ144" s="357">
        <v>228810</v>
      </c>
      <c r="DR144" s="357">
        <v>0</v>
      </c>
      <c r="DS144" s="357">
        <v>0</v>
      </c>
      <c r="DT144" s="357">
        <v>0</v>
      </c>
      <c r="DU144" s="357">
        <v>0</v>
      </c>
      <c r="DV144" s="357">
        <v>0</v>
      </c>
      <c r="DW144" s="357">
        <v>228810</v>
      </c>
      <c r="DX144" s="357">
        <v>0</v>
      </c>
      <c r="DY144" s="357">
        <v>0</v>
      </c>
      <c r="DZ144" s="357">
        <v>228810</v>
      </c>
      <c r="EA144" s="357">
        <v>0</v>
      </c>
      <c r="EB144" s="357">
        <v>0</v>
      </c>
      <c r="EC144" s="357">
        <v>5000</v>
      </c>
      <c r="ED144" s="357">
        <v>0</v>
      </c>
      <c r="EE144" s="357">
        <v>0</v>
      </c>
      <c r="EF144" s="357">
        <v>5000</v>
      </c>
      <c r="EG144" s="357">
        <v>100000</v>
      </c>
      <c r="EH144" s="357">
        <v>0</v>
      </c>
      <c r="EI144" s="357">
        <v>0</v>
      </c>
      <c r="EJ144" s="357">
        <v>100000</v>
      </c>
      <c r="EK144" s="357">
        <v>1015000</v>
      </c>
      <c r="EL144" s="357">
        <v>0</v>
      </c>
      <c r="EM144" s="357">
        <v>0</v>
      </c>
      <c r="EN144" s="357">
        <v>1015000</v>
      </c>
      <c r="EO144" s="357">
        <v>1120000</v>
      </c>
      <c r="EP144" s="357">
        <v>0</v>
      </c>
      <c r="EQ144" s="357">
        <v>0</v>
      </c>
      <c r="ER144" s="357">
        <v>0</v>
      </c>
      <c r="ES144" s="357">
        <v>0</v>
      </c>
      <c r="ET144" s="357">
        <v>0</v>
      </c>
      <c r="EU144" s="357">
        <v>1120000</v>
      </c>
      <c r="EV144" s="357">
        <v>0</v>
      </c>
      <c r="EW144" s="357">
        <v>0</v>
      </c>
      <c r="EX144" s="357">
        <v>1120000</v>
      </c>
      <c r="EY144" s="357">
        <v>35148426.4</v>
      </c>
      <c r="EZ144" s="357">
        <v>0</v>
      </c>
      <c r="FA144" s="357">
        <v>0</v>
      </c>
      <c r="FB144" s="357">
        <v>35148426.4</v>
      </c>
      <c r="FC144" s="277">
        <v>0</v>
      </c>
      <c r="FD144" s="205"/>
    </row>
    <row r="145" spans="1:160" ht="12.75">
      <c r="A145" s="169">
        <v>138</v>
      </c>
      <c r="B145" s="172" t="s">
        <v>183</v>
      </c>
      <c r="C145" s="258" t="s">
        <v>184</v>
      </c>
      <c r="D145" s="235">
        <v>41547</v>
      </c>
      <c r="E145" s="357">
        <v>4263800</v>
      </c>
      <c r="F145" s="357">
        <v>0</v>
      </c>
      <c r="G145" s="357">
        <v>0</v>
      </c>
      <c r="H145" s="357">
        <v>4263800</v>
      </c>
      <c r="I145" s="357">
        <v>2008250</v>
      </c>
      <c r="J145" s="357">
        <v>0</v>
      </c>
      <c r="K145" s="357">
        <v>0</v>
      </c>
      <c r="L145" s="357">
        <v>0</v>
      </c>
      <c r="M145" s="357">
        <v>0</v>
      </c>
      <c r="N145" s="357">
        <v>0</v>
      </c>
      <c r="O145" s="357">
        <v>2008250</v>
      </c>
      <c r="P145" s="357">
        <v>0</v>
      </c>
      <c r="Q145" s="357">
        <v>0</v>
      </c>
      <c r="R145" s="357">
        <v>2008250</v>
      </c>
      <c r="S145" s="357">
        <v>14309</v>
      </c>
      <c r="T145" s="357">
        <v>0</v>
      </c>
      <c r="U145" s="357">
        <v>0</v>
      </c>
      <c r="V145" s="357">
        <v>14309</v>
      </c>
      <c r="W145" s="357">
        <v>0</v>
      </c>
      <c r="X145" s="357">
        <v>0</v>
      </c>
      <c r="Y145" s="357">
        <v>0</v>
      </c>
      <c r="Z145" s="357">
        <v>0</v>
      </c>
      <c r="AA145" s="357">
        <v>14309</v>
      </c>
      <c r="AB145" s="357">
        <v>0</v>
      </c>
      <c r="AC145" s="357">
        <v>0</v>
      </c>
      <c r="AD145" s="357">
        <v>0</v>
      </c>
      <c r="AE145" s="357">
        <v>0</v>
      </c>
      <c r="AF145" s="357">
        <v>0</v>
      </c>
      <c r="AG145" s="357">
        <v>14309</v>
      </c>
      <c r="AH145" s="357">
        <v>0</v>
      </c>
      <c r="AI145" s="357">
        <v>0</v>
      </c>
      <c r="AJ145" s="357">
        <v>14309</v>
      </c>
      <c r="AK145" s="357">
        <v>14309</v>
      </c>
      <c r="AL145" s="357">
        <v>0</v>
      </c>
      <c r="AM145" s="357">
        <v>0</v>
      </c>
      <c r="AN145" s="357">
        <v>14309</v>
      </c>
      <c r="AO145" s="357">
        <v>298635</v>
      </c>
      <c r="AP145" s="357">
        <v>0</v>
      </c>
      <c r="AQ145" s="357">
        <v>0</v>
      </c>
      <c r="AR145" s="357">
        <v>298635</v>
      </c>
      <c r="AS145" s="357">
        <v>0</v>
      </c>
      <c r="AT145" s="357">
        <v>0</v>
      </c>
      <c r="AU145" s="357">
        <v>0</v>
      </c>
      <c r="AV145" s="357">
        <v>0</v>
      </c>
      <c r="AW145" s="357">
        <v>24718.65</v>
      </c>
      <c r="AX145" s="357">
        <v>0</v>
      </c>
      <c r="AY145" s="357">
        <v>0</v>
      </c>
      <c r="AZ145" s="357">
        <v>24718.65</v>
      </c>
      <c r="BA145" s="357">
        <v>273916.35</v>
      </c>
      <c r="BB145" s="357">
        <v>0</v>
      </c>
      <c r="BC145" s="357">
        <v>0</v>
      </c>
      <c r="BD145" s="357">
        <v>273916.35</v>
      </c>
      <c r="BE145" s="357">
        <v>15491</v>
      </c>
      <c r="BF145" s="357">
        <v>0</v>
      </c>
      <c r="BG145" s="357">
        <v>0</v>
      </c>
      <c r="BH145" s="357">
        <v>15491</v>
      </c>
      <c r="BI145" s="357">
        <v>6372</v>
      </c>
      <c r="BJ145" s="357">
        <v>0</v>
      </c>
      <c r="BK145" s="357">
        <v>0</v>
      </c>
      <c r="BL145" s="357">
        <v>6372</v>
      </c>
      <c r="BM145" s="357">
        <v>1760</v>
      </c>
      <c r="BN145" s="357">
        <v>0</v>
      </c>
      <c r="BO145" s="357">
        <v>0</v>
      </c>
      <c r="BP145" s="357">
        <v>1760</v>
      </c>
      <c r="BQ145" s="357">
        <v>297539.35</v>
      </c>
      <c r="BR145" s="357">
        <v>0</v>
      </c>
      <c r="BS145" s="357">
        <v>0</v>
      </c>
      <c r="BT145" s="357">
        <v>0</v>
      </c>
      <c r="BU145" s="357">
        <v>0</v>
      </c>
      <c r="BV145" s="357">
        <v>0</v>
      </c>
      <c r="BW145" s="357">
        <v>297539.35</v>
      </c>
      <c r="BX145" s="357">
        <v>0</v>
      </c>
      <c r="BY145" s="357">
        <v>0</v>
      </c>
      <c r="BZ145" s="357">
        <v>297539.35</v>
      </c>
      <c r="CA145" s="357">
        <v>0</v>
      </c>
      <c r="CB145" s="357">
        <v>0</v>
      </c>
      <c r="CC145" s="357">
        <v>0</v>
      </c>
      <c r="CD145" s="357">
        <v>0</v>
      </c>
      <c r="CE145" s="357">
        <v>1485</v>
      </c>
      <c r="CF145" s="357">
        <v>0</v>
      </c>
      <c r="CG145" s="357">
        <v>0</v>
      </c>
      <c r="CH145" s="357">
        <v>1485</v>
      </c>
      <c r="CI145" s="357">
        <v>1485</v>
      </c>
      <c r="CJ145" s="357">
        <v>0</v>
      </c>
      <c r="CK145" s="357">
        <v>0</v>
      </c>
      <c r="CL145" s="357">
        <v>0</v>
      </c>
      <c r="CM145" s="357">
        <v>0</v>
      </c>
      <c r="CN145" s="357">
        <v>0</v>
      </c>
      <c r="CO145" s="357">
        <v>1485</v>
      </c>
      <c r="CP145" s="357">
        <v>0</v>
      </c>
      <c r="CQ145" s="357">
        <v>0</v>
      </c>
      <c r="CR145" s="357">
        <v>1485</v>
      </c>
      <c r="CS145" s="357">
        <v>1800</v>
      </c>
      <c r="CT145" s="357">
        <v>0</v>
      </c>
      <c r="CU145" s="357">
        <v>0</v>
      </c>
      <c r="CV145" s="357">
        <v>1800</v>
      </c>
      <c r="CW145" s="357">
        <v>1283</v>
      </c>
      <c r="CX145" s="357">
        <v>0</v>
      </c>
      <c r="CY145" s="357">
        <v>0</v>
      </c>
      <c r="CZ145" s="357">
        <v>1283</v>
      </c>
      <c r="DA145" s="357">
        <v>1052</v>
      </c>
      <c r="DB145" s="357">
        <v>0</v>
      </c>
      <c r="DC145" s="357">
        <v>0</v>
      </c>
      <c r="DD145" s="357">
        <v>1052</v>
      </c>
      <c r="DE145" s="357">
        <v>308</v>
      </c>
      <c r="DF145" s="357">
        <v>0</v>
      </c>
      <c r="DG145" s="357">
        <v>0</v>
      </c>
      <c r="DH145" s="357">
        <v>308</v>
      </c>
      <c r="DI145" s="357">
        <v>0</v>
      </c>
      <c r="DJ145" s="357">
        <v>0</v>
      </c>
      <c r="DK145" s="357">
        <v>0</v>
      </c>
      <c r="DL145" s="357">
        <v>0</v>
      </c>
      <c r="DM145" s="357">
        <v>0</v>
      </c>
      <c r="DN145" s="357">
        <v>0</v>
      </c>
      <c r="DO145" s="357">
        <v>0</v>
      </c>
      <c r="DP145" s="357">
        <v>0</v>
      </c>
      <c r="DQ145" s="357">
        <v>4443</v>
      </c>
      <c r="DR145" s="357">
        <v>0</v>
      </c>
      <c r="DS145" s="357">
        <v>0</v>
      </c>
      <c r="DT145" s="357">
        <v>0</v>
      </c>
      <c r="DU145" s="357">
        <v>0</v>
      </c>
      <c r="DV145" s="357">
        <v>0</v>
      </c>
      <c r="DW145" s="357">
        <v>4443</v>
      </c>
      <c r="DX145" s="357">
        <v>0</v>
      </c>
      <c r="DY145" s="357">
        <v>0</v>
      </c>
      <c r="DZ145" s="357">
        <v>4443</v>
      </c>
      <c r="EA145" s="357">
        <v>0</v>
      </c>
      <c r="EB145" s="357">
        <v>0</v>
      </c>
      <c r="EC145" s="357">
        <v>0</v>
      </c>
      <c r="ED145" s="357">
        <v>0</v>
      </c>
      <c r="EE145" s="357">
        <v>0</v>
      </c>
      <c r="EF145" s="357">
        <v>0</v>
      </c>
      <c r="EG145" s="357">
        <v>0</v>
      </c>
      <c r="EH145" s="357">
        <v>0</v>
      </c>
      <c r="EI145" s="357">
        <v>0</v>
      </c>
      <c r="EJ145" s="357">
        <v>0</v>
      </c>
      <c r="EK145" s="357">
        <v>44000</v>
      </c>
      <c r="EL145" s="357">
        <v>0</v>
      </c>
      <c r="EM145" s="357">
        <v>0</v>
      </c>
      <c r="EN145" s="357">
        <v>44000</v>
      </c>
      <c r="EO145" s="357">
        <v>44000</v>
      </c>
      <c r="EP145" s="357">
        <v>0</v>
      </c>
      <c r="EQ145" s="357">
        <v>0</v>
      </c>
      <c r="ER145" s="357">
        <v>0</v>
      </c>
      <c r="ES145" s="357">
        <v>0</v>
      </c>
      <c r="ET145" s="357">
        <v>0</v>
      </c>
      <c r="EU145" s="357">
        <v>44000</v>
      </c>
      <c r="EV145" s="357">
        <v>0</v>
      </c>
      <c r="EW145" s="357">
        <v>0</v>
      </c>
      <c r="EX145" s="357">
        <v>44000</v>
      </c>
      <c r="EY145" s="357">
        <v>1646473.65</v>
      </c>
      <c r="EZ145" s="357">
        <v>0</v>
      </c>
      <c r="FA145" s="357">
        <v>0</v>
      </c>
      <c r="FB145" s="357">
        <v>1646473.65</v>
      </c>
      <c r="FC145" s="277">
        <v>0</v>
      </c>
      <c r="FD145" s="205"/>
    </row>
    <row r="146" spans="1:160" ht="12.75">
      <c r="A146" s="169">
        <v>139</v>
      </c>
      <c r="B146" s="172" t="s">
        <v>185</v>
      </c>
      <c r="C146" s="258" t="s">
        <v>187</v>
      </c>
      <c r="D146" s="235">
        <v>41639</v>
      </c>
      <c r="E146" s="357">
        <v>484236491</v>
      </c>
      <c r="F146" s="357">
        <v>0</v>
      </c>
      <c r="G146" s="357">
        <v>0</v>
      </c>
      <c r="H146" s="357">
        <v>484236491</v>
      </c>
      <c r="I146" s="357">
        <v>228075387</v>
      </c>
      <c r="J146" s="357">
        <v>0</v>
      </c>
      <c r="K146" s="357">
        <v>0</v>
      </c>
      <c r="L146" s="357">
        <v>-2496300</v>
      </c>
      <c r="M146" s="357">
        <v>0</v>
      </c>
      <c r="N146" s="357">
        <v>0</v>
      </c>
      <c r="O146" s="357">
        <v>225579087</v>
      </c>
      <c r="P146" s="357">
        <v>0</v>
      </c>
      <c r="Q146" s="357">
        <v>0</v>
      </c>
      <c r="R146" s="357">
        <v>225579087</v>
      </c>
      <c r="S146" s="357">
        <v>475176</v>
      </c>
      <c r="T146" s="357">
        <v>0</v>
      </c>
      <c r="U146" s="357">
        <v>0</v>
      </c>
      <c r="V146" s="357">
        <v>475176</v>
      </c>
      <c r="W146" s="357">
        <v>277253</v>
      </c>
      <c r="X146" s="357">
        <v>0</v>
      </c>
      <c r="Y146" s="357">
        <v>0</v>
      </c>
      <c r="Z146" s="357">
        <v>277253</v>
      </c>
      <c r="AA146" s="357">
        <v>197923</v>
      </c>
      <c r="AB146" s="357">
        <v>0</v>
      </c>
      <c r="AC146" s="357">
        <v>0</v>
      </c>
      <c r="AD146" s="357">
        <v>0</v>
      </c>
      <c r="AE146" s="357">
        <v>0</v>
      </c>
      <c r="AF146" s="357">
        <v>0</v>
      </c>
      <c r="AG146" s="357">
        <v>197923</v>
      </c>
      <c r="AH146" s="357">
        <v>0</v>
      </c>
      <c r="AI146" s="357">
        <v>0</v>
      </c>
      <c r="AJ146" s="357">
        <v>197923</v>
      </c>
      <c r="AK146" s="357">
        <v>197923</v>
      </c>
      <c r="AL146" s="357">
        <v>0</v>
      </c>
      <c r="AM146" s="357">
        <v>0</v>
      </c>
      <c r="AN146" s="357">
        <v>197923</v>
      </c>
      <c r="AO146" s="357">
        <v>3105421</v>
      </c>
      <c r="AP146" s="357">
        <v>0</v>
      </c>
      <c r="AQ146" s="357">
        <v>0</v>
      </c>
      <c r="AR146" s="357">
        <v>3105421</v>
      </c>
      <c r="AS146" s="357">
        <v>10000</v>
      </c>
      <c r="AT146" s="357">
        <v>0</v>
      </c>
      <c r="AU146" s="357">
        <v>0</v>
      </c>
      <c r="AV146" s="357">
        <v>10000</v>
      </c>
      <c r="AW146" s="357">
        <v>4893889</v>
      </c>
      <c r="AX146" s="357">
        <v>0</v>
      </c>
      <c r="AY146" s="357">
        <v>0</v>
      </c>
      <c r="AZ146" s="357">
        <v>4893889</v>
      </c>
      <c r="BA146" s="357">
        <v>-1788468</v>
      </c>
      <c r="BB146" s="357">
        <v>0</v>
      </c>
      <c r="BC146" s="357">
        <v>0</v>
      </c>
      <c r="BD146" s="357">
        <v>-1788468</v>
      </c>
      <c r="BE146" s="357">
        <v>19594559</v>
      </c>
      <c r="BF146" s="357">
        <v>0</v>
      </c>
      <c r="BG146" s="357">
        <v>0</v>
      </c>
      <c r="BH146" s="357">
        <v>19594559</v>
      </c>
      <c r="BI146" s="357">
        <v>0</v>
      </c>
      <c r="BJ146" s="357">
        <v>0</v>
      </c>
      <c r="BK146" s="357">
        <v>0</v>
      </c>
      <c r="BL146" s="357">
        <v>0</v>
      </c>
      <c r="BM146" s="357">
        <v>0</v>
      </c>
      <c r="BN146" s="357">
        <v>0</v>
      </c>
      <c r="BO146" s="357">
        <v>0</v>
      </c>
      <c r="BP146" s="357">
        <v>0</v>
      </c>
      <c r="BQ146" s="357">
        <v>17806091</v>
      </c>
      <c r="BR146" s="357">
        <v>0</v>
      </c>
      <c r="BS146" s="357">
        <v>0</v>
      </c>
      <c r="BT146" s="357">
        <v>0</v>
      </c>
      <c r="BU146" s="357">
        <v>0</v>
      </c>
      <c r="BV146" s="357">
        <v>0</v>
      </c>
      <c r="BW146" s="357">
        <v>17806091</v>
      </c>
      <c r="BX146" s="357">
        <v>0</v>
      </c>
      <c r="BY146" s="357">
        <v>0</v>
      </c>
      <c r="BZ146" s="357">
        <v>17806091</v>
      </c>
      <c r="CA146" s="357">
        <v>0</v>
      </c>
      <c r="CB146" s="357">
        <v>0</v>
      </c>
      <c r="CC146" s="357">
        <v>0</v>
      </c>
      <c r="CD146" s="357">
        <v>0</v>
      </c>
      <c r="CE146" s="357">
        <v>7999028</v>
      </c>
      <c r="CF146" s="357">
        <v>0</v>
      </c>
      <c r="CG146" s="357">
        <v>0</v>
      </c>
      <c r="CH146" s="357">
        <v>7999028</v>
      </c>
      <c r="CI146" s="357">
        <v>7999028</v>
      </c>
      <c r="CJ146" s="357">
        <v>0</v>
      </c>
      <c r="CK146" s="357">
        <v>0</v>
      </c>
      <c r="CL146" s="357">
        <v>0</v>
      </c>
      <c r="CM146" s="357">
        <v>0</v>
      </c>
      <c r="CN146" s="357">
        <v>0</v>
      </c>
      <c r="CO146" s="357">
        <v>7999028</v>
      </c>
      <c r="CP146" s="357">
        <v>0</v>
      </c>
      <c r="CQ146" s="357">
        <v>0</v>
      </c>
      <c r="CR146" s="357">
        <v>7999028</v>
      </c>
      <c r="CS146" s="357">
        <v>695705</v>
      </c>
      <c r="CT146" s="357">
        <v>0</v>
      </c>
      <c r="CU146" s="357">
        <v>0</v>
      </c>
      <c r="CV146" s="357">
        <v>695705</v>
      </c>
      <c r="CW146" s="357">
        <v>292646</v>
      </c>
      <c r="CX146" s="357">
        <v>0</v>
      </c>
      <c r="CY146" s="357">
        <v>0</v>
      </c>
      <c r="CZ146" s="357">
        <v>292646</v>
      </c>
      <c r="DA146" s="357">
        <v>0</v>
      </c>
      <c r="DB146" s="357">
        <v>0</v>
      </c>
      <c r="DC146" s="357">
        <v>0</v>
      </c>
      <c r="DD146" s="357">
        <v>0</v>
      </c>
      <c r="DE146" s="357">
        <v>0</v>
      </c>
      <c r="DF146" s="357">
        <v>0</v>
      </c>
      <c r="DG146" s="357">
        <v>0</v>
      </c>
      <c r="DH146" s="357">
        <v>0</v>
      </c>
      <c r="DI146" s="357">
        <v>0</v>
      </c>
      <c r="DJ146" s="357">
        <v>0</v>
      </c>
      <c r="DK146" s="357">
        <v>0</v>
      </c>
      <c r="DL146" s="357">
        <v>0</v>
      </c>
      <c r="DM146" s="357">
        <v>0</v>
      </c>
      <c r="DN146" s="357">
        <v>0</v>
      </c>
      <c r="DO146" s="357">
        <v>0</v>
      </c>
      <c r="DP146" s="357">
        <v>0</v>
      </c>
      <c r="DQ146" s="357">
        <v>988351</v>
      </c>
      <c r="DR146" s="357">
        <v>0</v>
      </c>
      <c r="DS146" s="357">
        <v>0</v>
      </c>
      <c r="DT146" s="357">
        <v>0</v>
      </c>
      <c r="DU146" s="357">
        <v>0</v>
      </c>
      <c r="DV146" s="357">
        <v>0</v>
      </c>
      <c r="DW146" s="357">
        <v>988351</v>
      </c>
      <c r="DX146" s="357">
        <v>0</v>
      </c>
      <c r="DY146" s="357">
        <v>0</v>
      </c>
      <c r="DZ146" s="357">
        <v>988351</v>
      </c>
      <c r="EA146" s="357">
        <v>0</v>
      </c>
      <c r="EB146" s="357">
        <v>0</v>
      </c>
      <c r="EC146" s="357">
        <v>100000</v>
      </c>
      <c r="ED146" s="357">
        <v>0</v>
      </c>
      <c r="EE146" s="357">
        <v>0</v>
      </c>
      <c r="EF146" s="357">
        <v>100000</v>
      </c>
      <c r="EG146" s="357">
        <v>258810</v>
      </c>
      <c r="EH146" s="357">
        <v>0</v>
      </c>
      <c r="EI146" s="357">
        <v>0</v>
      </c>
      <c r="EJ146" s="357">
        <v>258810</v>
      </c>
      <c r="EK146" s="357">
        <v>700500</v>
      </c>
      <c r="EL146" s="357">
        <v>0</v>
      </c>
      <c r="EM146" s="357">
        <v>0</v>
      </c>
      <c r="EN146" s="357">
        <v>700500</v>
      </c>
      <c r="EO146" s="357">
        <v>1059310</v>
      </c>
      <c r="EP146" s="357">
        <v>0</v>
      </c>
      <c r="EQ146" s="357">
        <v>0</v>
      </c>
      <c r="ER146" s="357">
        <v>0</v>
      </c>
      <c r="ES146" s="357">
        <v>0</v>
      </c>
      <c r="ET146" s="357">
        <v>0</v>
      </c>
      <c r="EU146" s="357">
        <v>1059310</v>
      </c>
      <c r="EV146" s="357">
        <v>0</v>
      </c>
      <c r="EW146" s="357">
        <v>0</v>
      </c>
      <c r="EX146" s="357">
        <v>1059310</v>
      </c>
      <c r="EY146" s="357">
        <v>197528384</v>
      </c>
      <c r="EZ146" s="357">
        <v>0</v>
      </c>
      <c r="FA146" s="357">
        <v>0</v>
      </c>
      <c r="FB146" s="357">
        <v>197528384</v>
      </c>
      <c r="FC146" s="277">
        <v>0</v>
      </c>
      <c r="FD146" s="205"/>
    </row>
    <row r="147" spans="1:160" ht="12.75">
      <c r="A147" s="169">
        <v>140</v>
      </c>
      <c r="B147" s="172" t="s">
        <v>188</v>
      </c>
      <c r="C147" s="258" t="s">
        <v>189</v>
      </c>
      <c r="D147" s="235">
        <v>41653</v>
      </c>
      <c r="E147" s="357">
        <v>659570158</v>
      </c>
      <c r="F147" s="357">
        <v>0</v>
      </c>
      <c r="G147" s="357">
        <v>0</v>
      </c>
      <c r="H147" s="357">
        <v>659570158</v>
      </c>
      <c r="I147" s="357">
        <v>310657544</v>
      </c>
      <c r="J147" s="357">
        <v>0</v>
      </c>
      <c r="K147" s="357">
        <v>0</v>
      </c>
      <c r="L147" s="357">
        <v>-14789050</v>
      </c>
      <c r="M147" s="357">
        <v>0</v>
      </c>
      <c r="N147" s="357">
        <v>0</v>
      </c>
      <c r="O147" s="357">
        <v>295868494</v>
      </c>
      <c r="P147" s="357">
        <v>0</v>
      </c>
      <c r="Q147" s="357">
        <v>0</v>
      </c>
      <c r="R147" s="357">
        <v>295868494</v>
      </c>
      <c r="S147" s="357">
        <v>373911</v>
      </c>
      <c r="T147" s="357">
        <v>0</v>
      </c>
      <c r="U147" s="357">
        <v>0</v>
      </c>
      <c r="V147" s="357">
        <v>373911</v>
      </c>
      <c r="W147" s="357">
        <v>16051</v>
      </c>
      <c r="X147" s="357">
        <v>0</v>
      </c>
      <c r="Y147" s="357">
        <v>0</v>
      </c>
      <c r="Z147" s="357">
        <v>16051</v>
      </c>
      <c r="AA147" s="357">
        <v>357860</v>
      </c>
      <c r="AB147" s="357">
        <v>0</v>
      </c>
      <c r="AC147" s="357">
        <v>0</v>
      </c>
      <c r="AD147" s="357">
        <v>0</v>
      </c>
      <c r="AE147" s="357">
        <v>0</v>
      </c>
      <c r="AF147" s="357">
        <v>0</v>
      </c>
      <c r="AG147" s="357">
        <v>357860</v>
      </c>
      <c r="AH147" s="357">
        <v>0</v>
      </c>
      <c r="AI147" s="357">
        <v>0</v>
      </c>
      <c r="AJ147" s="357">
        <v>357860</v>
      </c>
      <c r="AK147" s="357">
        <v>357860</v>
      </c>
      <c r="AL147" s="357">
        <v>0</v>
      </c>
      <c r="AM147" s="357">
        <v>0</v>
      </c>
      <c r="AN147" s="357">
        <v>357860</v>
      </c>
      <c r="AO147" s="357">
        <v>1430006</v>
      </c>
      <c r="AP147" s="357">
        <v>0</v>
      </c>
      <c r="AQ147" s="357">
        <v>0</v>
      </c>
      <c r="AR147" s="357">
        <v>1430006</v>
      </c>
      <c r="AS147" s="357">
        <v>0</v>
      </c>
      <c r="AT147" s="357">
        <v>0</v>
      </c>
      <c r="AU147" s="357">
        <v>0</v>
      </c>
      <c r="AV147" s="357">
        <v>0</v>
      </c>
      <c r="AW147" s="357">
        <v>6846477</v>
      </c>
      <c r="AX147" s="357">
        <v>0</v>
      </c>
      <c r="AY147" s="357">
        <v>0</v>
      </c>
      <c r="AZ147" s="357">
        <v>6846477</v>
      </c>
      <c r="BA147" s="357">
        <v>-5416471</v>
      </c>
      <c r="BB147" s="357">
        <v>0</v>
      </c>
      <c r="BC147" s="357">
        <v>0</v>
      </c>
      <c r="BD147" s="357">
        <v>-5416471</v>
      </c>
      <c r="BE147" s="357">
        <v>16390902</v>
      </c>
      <c r="BF147" s="357">
        <v>0</v>
      </c>
      <c r="BG147" s="357">
        <v>0</v>
      </c>
      <c r="BH147" s="357">
        <v>16390902</v>
      </c>
      <c r="BI147" s="357">
        <v>0</v>
      </c>
      <c r="BJ147" s="357">
        <v>0</v>
      </c>
      <c r="BK147" s="357">
        <v>0</v>
      </c>
      <c r="BL147" s="357">
        <v>0</v>
      </c>
      <c r="BM147" s="357">
        <v>0</v>
      </c>
      <c r="BN147" s="357">
        <v>0</v>
      </c>
      <c r="BO147" s="357">
        <v>0</v>
      </c>
      <c r="BP147" s="357">
        <v>0</v>
      </c>
      <c r="BQ147" s="357">
        <v>10974431</v>
      </c>
      <c r="BR147" s="357">
        <v>0</v>
      </c>
      <c r="BS147" s="357">
        <v>0</v>
      </c>
      <c r="BT147" s="357">
        <v>0</v>
      </c>
      <c r="BU147" s="357">
        <v>0</v>
      </c>
      <c r="BV147" s="357">
        <v>0</v>
      </c>
      <c r="BW147" s="357">
        <v>10974431</v>
      </c>
      <c r="BX147" s="357">
        <v>0</v>
      </c>
      <c r="BY147" s="357">
        <v>0</v>
      </c>
      <c r="BZ147" s="357">
        <v>10974431</v>
      </c>
      <c r="CA147" s="357">
        <v>100000</v>
      </c>
      <c r="CB147" s="357">
        <v>0</v>
      </c>
      <c r="CC147" s="357">
        <v>0</v>
      </c>
      <c r="CD147" s="357">
        <v>100000</v>
      </c>
      <c r="CE147" s="357">
        <v>5278562</v>
      </c>
      <c r="CF147" s="357">
        <v>0</v>
      </c>
      <c r="CG147" s="357">
        <v>0</v>
      </c>
      <c r="CH147" s="357">
        <v>5278562</v>
      </c>
      <c r="CI147" s="357">
        <v>5378562</v>
      </c>
      <c r="CJ147" s="357">
        <v>0</v>
      </c>
      <c r="CK147" s="357">
        <v>0</v>
      </c>
      <c r="CL147" s="357">
        <v>2528101.88</v>
      </c>
      <c r="CM147" s="357">
        <v>0</v>
      </c>
      <c r="CN147" s="357">
        <v>0</v>
      </c>
      <c r="CO147" s="357">
        <v>7906663.88</v>
      </c>
      <c r="CP147" s="357">
        <v>0</v>
      </c>
      <c r="CQ147" s="357">
        <v>0</v>
      </c>
      <c r="CR147" s="357">
        <v>7906663.88</v>
      </c>
      <c r="CS147" s="357">
        <v>94998</v>
      </c>
      <c r="CT147" s="357">
        <v>0</v>
      </c>
      <c r="CU147" s="357">
        <v>0</v>
      </c>
      <c r="CV147" s="357">
        <v>94998</v>
      </c>
      <c r="CW147" s="357">
        <v>70063</v>
      </c>
      <c r="CX147" s="357">
        <v>0</v>
      </c>
      <c r="CY147" s="357">
        <v>0</v>
      </c>
      <c r="CZ147" s="357">
        <v>70063</v>
      </c>
      <c r="DA147" s="357">
        <v>0</v>
      </c>
      <c r="DB147" s="357">
        <v>0</v>
      </c>
      <c r="DC147" s="357">
        <v>0</v>
      </c>
      <c r="DD147" s="357">
        <v>0</v>
      </c>
      <c r="DE147" s="357">
        <v>0</v>
      </c>
      <c r="DF147" s="357">
        <v>0</v>
      </c>
      <c r="DG147" s="357">
        <v>0</v>
      </c>
      <c r="DH147" s="357">
        <v>0</v>
      </c>
      <c r="DI147" s="357">
        <v>0</v>
      </c>
      <c r="DJ147" s="357">
        <v>0</v>
      </c>
      <c r="DK147" s="357">
        <v>0</v>
      </c>
      <c r="DL147" s="357">
        <v>0</v>
      </c>
      <c r="DM147" s="357">
        <v>0</v>
      </c>
      <c r="DN147" s="357">
        <v>0</v>
      </c>
      <c r="DO147" s="357">
        <v>0</v>
      </c>
      <c r="DP147" s="357">
        <v>0</v>
      </c>
      <c r="DQ147" s="357">
        <v>165061</v>
      </c>
      <c r="DR147" s="357">
        <v>0</v>
      </c>
      <c r="DS147" s="357">
        <v>0</v>
      </c>
      <c r="DT147" s="357">
        <v>0</v>
      </c>
      <c r="DU147" s="357">
        <v>0</v>
      </c>
      <c r="DV147" s="357">
        <v>0</v>
      </c>
      <c r="DW147" s="357">
        <v>165061</v>
      </c>
      <c r="DX147" s="357">
        <v>0</v>
      </c>
      <c r="DY147" s="357">
        <v>0</v>
      </c>
      <c r="DZ147" s="357">
        <v>165061</v>
      </c>
      <c r="EA147" s="357">
        <v>0</v>
      </c>
      <c r="EB147" s="357">
        <v>0</v>
      </c>
      <c r="EC147" s="357">
        <v>60000</v>
      </c>
      <c r="ED147" s="357">
        <v>0</v>
      </c>
      <c r="EE147" s="357">
        <v>0</v>
      </c>
      <c r="EF147" s="357">
        <v>60000</v>
      </c>
      <c r="EG147" s="357">
        <v>400000</v>
      </c>
      <c r="EH147" s="357">
        <v>0</v>
      </c>
      <c r="EI147" s="357">
        <v>0</v>
      </c>
      <c r="EJ147" s="357">
        <v>400000</v>
      </c>
      <c r="EK147" s="357">
        <v>1755000</v>
      </c>
      <c r="EL147" s="357">
        <v>0</v>
      </c>
      <c r="EM147" s="357">
        <v>0</v>
      </c>
      <c r="EN147" s="357">
        <v>1755000</v>
      </c>
      <c r="EO147" s="357">
        <v>2215000</v>
      </c>
      <c r="EP147" s="357">
        <v>0</v>
      </c>
      <c r="EQ147" s="357">
        <v>0</v>
      </c>
      <c r="ER147" s="357">
        <v>0</v>
      </c>
      <c r="ES147" s="357">
        <v>0</v>
      </c>
      <c r="ET147" s="357">
        <v>0</v>
      </c>
      <c r="EU147" s="357">
        <v>2215000</v>
      </c>
      <c r="EV147" s="357">
        <v>0</v>
      </c>
      <c r="EW147" s="357">
        <v>0</v>
      </c>
      <c r="EX147" s="357">
        <v>2215000</v>
      </c>
      <c r="EY147" s="357">
        <v>274249478</v>
      </c>
      <c r="EZ147" s="357">
        <v>0</v>
      </c>
      <c r="FA147" s="357">
        <v>0</v>
      </c>
      <c r="FB147" s="357">
        <v>274249478</v>
      </c>
      <c r="FC147" s="277">
        <v>0</v>
      </c>
      <c r="FD147" s="205"/>
    </row>
    <row r="148" spans="1:160" ht="12.75">
      <c r="A148" s="169">
        <v>141</v>
      </c>
      <c r="B148" s="172" t="s">
        <v>190</v>
      </c>
      <c r="C148" s="258" t="s">
        <v>191</v>
      </c>
      <c r="D148" s="235">
        <v>311213</v>
      </c>
      <c r="E148" s="357">
        <v>76564075</v>
      </c>
      <c r="F148" s="357">
        <v>0</v>
      </c>
      <c r="G148" s="357">
        <v>0</v>
      </c>
      <c r="H148" s="357">
        <v>76564075</v>
      </c>
      <c r="I148" s="357">
        <v>36061679</v>
      </c>
      <c r="J148" s="357">
        <v>0</v>
      </c>
      <c r="K148" s="357">
        <v>0</v>
      </c>
      <c r="L148" s="357">
        <v>100000</v>
      </c>
      <c r="M148" s="357">
        <v>0</v>
      </c>
      <c r="N148" s="357">
        <v>0</v>
      </c>
      <c r="O148" s="357">
        <v>36161679</v>
      </c>
      <c r="P148" s="357">
        <v>0</v>
      </c>
      <c r="Q148" s="357">
        <v>0</v>
      </c>
      <c r="R148" s="357">
        <v>36161679</v>
      </c>
      <c r="S148" s="357">
        <v>4445</v>
      </c>
      <c r="T148" s="357">
        <v>0</v>
      </c>
      <c r="U148" s="357">
        <v>0</v>
      </c>
      <c r="V148" s="357">
        <v>4445</v>
      </c>
      <c r="W148" s="357">
        <v>55502</v>
      </c>
      <c r="X148" s="357">
        <v>0</v>
      </c>
      <c r="Y148" s="357">
        <v>0</v>
      </c>
      <c r="Z148" s="357">
        <v>55502</v>
      </c>
      <c r="AA148" s="357">
        <v>-51057</v>
      </c>
      <c r="AB148" s="357">
        <v>0</v>
      </c>
      <c r="AC148" s="357">
        <v>0</v>
      </c>
      <c r="AD148" s="357">
        <v>0</v>
      </c>
      <c r="AE148" s="357">
        <v>0</v>
      </c>
      <c r="AF148" s="357">
        <v>0</v>
      </c>
      <c r="AG148" s="357">
        <v>-51057</v>
      </c>
      <c r="AH148" s="357">
        <v>0</v>
      </c>
      <c r="AI148" s="357">
        <v>0</v>
      </c>
      <c r="AJ148" s="357">
        <v>-51057</v>
      </c>
      <c r="AK148" s="357">
        <v>-51057</v>
      </c>
      <c r="AL148" s="357">
        <v>0</v>
      </c>
      <c r="AM148" s="357">
        <v>0</v>
      </c>
      <c r="AN148" s="357">
        <v>-51057</v>
      </c>
      <c r="AO148" s="357">
        <v>1561301</v>
      </c>
      <c r="AP148" s="357">
        <v>0</v>
      </c>
      <c r="AQ148" s="357">
        <v>0</v>
      </c>
      <c r="AR148" s="357">
        <v>1561301</v>
      </c>
      <c r="AS148" s="357">
        <v>31226</v>
      </c>
      <c r="AT148" s="357">
        <v>0</v>
      </c>
      <c r="AU148" s="357">
        <v>0</v>
      </c>
      <c r="AV148" s="357">
        <v>31226</v>
      </c>
      <c r="AW148" s="357">
        <v>621756</v>
      </c>
      <c r="AX148" s="357">
        <v>0</v>
      </c>
      <c r="AY148" s="357">
        <v>0</v>
      </c>
      <c r="AZ148" s="357">
        <v>621756</v>
      </c>
      <c r="BA148" s="357">
        <v>939545</v>
      </c>
      <c r="BB148" s="357">
        <v>0</v>
      </c>
      <c r="BC148" s="357">
        <v>0</v>
      </c>
      <c r="BD148" s="357">
        <v>939545</v>
      </c>
      <c r="BE148" s="357">
        <v>2994970</v>
      </c>
      <c r="BF148" s="357">
        <v>0</v>
      </c>
      <c r="BG148" s="357">
        <v>0</v>
      </c>
      <c r="BH148" s="357">
        <v>2994970</v>
      </c>
      <c r="BI148" s="357">
        <v>70258</v>
      </c>
      <c r="BJ148" s="357">
        <v>0</v>
      </c>
      <c r="BK148" s="357">
        <v>0</v>
      </c>
      <c r="BL148" s="357">
        <v>70258</v>
      </c>
      <c r="BM148" s="357">
        <v>11382</v>
      </c>
      <c r="BN148" s="357">
        <v>0</v>
      </c>
      <c r="BO148" s="357">
        <v>0</v>
      </c>
      <c r="BP148" s="357">
        <v>11382</v>
      </c>
      <c r="BQ148" s="357">
        <v>4016155</v>
      </c>
      <c r="BR148" s="357">
        <v>0</v>
      </c>
      <c r="BS148" s="357">
        <v>0</v>
      </c>
      <c r="BT148" s="357">
        <v>0</v>
      </c>
      <c r="BU148" s="357">
        <v>0</v>
      </c>
      <c r="BV148" s="357">
        <v>0</v>
      </c>
      <c r="BW148" s="357">
        <v>4016155</v>
      </c>
      <c r="BX148" s="357">
        <v>0</v>
      </c>
      <c r="BY148" s="357">
        <v>0</v>
      </c>
      <c r="BZ148" s="357">
        <v>4016155</v>
      </c>
      <c r="CA148" s="357">
        <v>1853</v>
      </c>
      <c r="CB148" s="357">
        <v>0</v>
      </c>
      <c r="CC148" s="357">
        <v>0</v>
      </c>
      <c r="CD148" s="357">
        <v>1853</v>
      </c>
      <c r="CE148" s="357">
        <v>331013</v>
      </c>
      <c r="CF148" s="357">
        <v>0</v>
      </c>
      <c r="CG148" s="357">
        <v>0</v>
      </c>
      <c r="CH148" s="357">
        <v>331013</v>
      </c>
      <c r="CI148" s="357">
        <v>332866</v>
      </c>
      <c r="CJ148" s="357">
        <v>0</v>
      </c>
      <c r="CK148" s="357">
        <v>0</v>
      </c>
      <c r="CL148" s="357">
        <v>0</v>
      </c>
      <c r="CM148" s="357">
        <v>0</v>
      </c>
      <c r="CN148" s="357">
        <v>0</v>
      </c>
      <c r="CO148" s="357">
        <v>332866</v>
      </c>
      <c r="CP148" s="357">
        <v>0</v>
      </c>
      <c r="CQ148" s="357">
        <v>0</v>
      </c>
      <c r="CR148" s="357">
        <v>332866</v>
      </c>
      <c r="CS148" s="357">
        <v>18000</v>
      </c>
      <c r="CT148" s="357">
        <v>0</v>
      </c>
      <c r="CU148" s="357">
        <v>0</v>
      </c>
      <c r="CV148" s="357">
        <v>18000</v>
      </c>
      <c r="CW148" s="357">
        <v>34643</v>
      </c>
      <c r="CX148" s="357">
        <v>0</v>
      </c>
      <c r="CY148" s="357">
        <v>0</v>
      </c>
      <c r="CZ148" s="357">
        <v>34643</v>
      </c>
      <c r="DA148" s="357">
        <v>2608</v>
      </c>
      <c r="DB148" s="357">
        <v>0</v>
      </c>
      <c r="DC148" s="357">
        <v>0</v>
      </c>
      <c r="DD148" s="357">
        <v>2608</v>
      </c>
      <c r="DE148" s="357">
        <v>2787</v>
      </c>
      <c r="DF148" s="357">
        <v>0</v>
      </c>
      <c r="DG148" s="357">
        <v>0</v>
      </c>
      <c r="DH148" s="357">
        <v>2787</v>
      </c>
      <c r="DI148" s="357">
        <v>0</v>
      </c>
      <c r="DJ148" s="357">
        <v>0</v>
      </c>
      <c r="DK148" s="357">
        <v>0</v>
      </c>
      <c r="DL148" s="357">
        <v>0</v>
      </c>
      <c r="DM148" s="357">
        <v>0</v>
      </c>
      <c r="DN148" s="357">
        <v>0</v>
      </c>
      <c r="DO148" s="357">
        <v>0</v>
      </c>
      <c r="DP148" s="357">
        <v>0</v>
      </c>
      <c r="DQ148" s="357">
        <v>58038</v>
      </c>
      <c r="DR148" s="357">
        <v>0</v>
      </c>
      <c r="DS148" s="357">
        <v>0</v>
      </c>
      <c r="DT148" s="357">
        <v>0</v>
      </c>
      <c r="DU148" s="357">
        <v>0</v>
      </c>
      <c r="DV148" s="357">
        <v>0</v>
      </c>
      <c r="DW148" s="357">
        <v>58038</v>
      </c>
      <c r="DX148" s="357">
        <v>0</v>
      </c>
      <c r="DY148" s="357">
        <v>0</v>
      </c>
      <c r="DZ148" s="357">
        <v>58038</v>
      </c>
      <c r="EA148" s="357">
        <v>0</v>
      </c>
      <c r="EB148" s="357">
        <v>0</v>
      </c>
      <c r="EC148" s="357">
        <v>0</v>
      </c>
      <c r="ED148" s="357">
        <v>0</v>
      </c>
      <c r="EE148" s="357">
        <v>0</v>
      </c>
      <c r="EF148" s="357">
        <v>0</v>
      </c>
      <c r="EG148" s="357">
        <v>90000</v>
      </c>
      <c r="EH148" s="357">
        <v>0</v>
      </c>
      <c r="EI148" s="357">
        <v>0</v>
      </c>
      <c r="EJ148" s="357">
        <v>90000</v>
      </c>
      <c r="EK148" s="357">
        <v>410000</v>
      </c>
      <c r="EL148" s="357">
        <v>0</v>
      </c>
      <c r="EM148" s="357">
        <v>0</v>
      </c>
      <c r="EN148" s="357">
        <v>410000</v>
      </c>
      <c r="EO148" s="357">
        <v>500000</v>
      </c>
      <c r="EP148" s="357">
        <v>0</v>
      </c>
      <c r="EQ148" s="357">
        <v>0</v>
      </c>
      <c r="ER148" s="357">
        <v>0</v>
      </c>
      <c r="ES148" s="357">
        <v>0</v>
      </c>
      <c r="ET148" s="357">
        <v>0</v>
      </c>
      <c r="EU148" s="357">
        <v>500000</v>
      </c>
      <c r="EV148" s="357">
        <v>0</v>
      </c>
      <c r="EW148" s="357">
        <v>0</v>
      </c>
      <c r="EX148" s="357">
        <v>500000</v>
      </c>
      <c r="EY148" s="357">
        <v>31305677</v>
      </c>
      <c r="EZ148" s="357">
        <v>0</v>
      </c>
      <c r="FA148" s="357">
        <v>0</v>
      </c>
      <c r="FB148" s="357">
        <v>31305677</v>
      </c>
      <c r="FC148" s="277">
        <v>0</v>
      </c>
      <c r="FD148" s="205"/>
    </row>
    <row r="149" spans="1:160" ht="12.75">
      <c r="A149" s="169">
        <v>142</v>
      </c>
      <c r="B149" s="172" t="s">
        <v>192</v>
      </c>
      <c r="C149" s="258" t="s">
        <v>193</v>
      </c>
      <c r="D149" s="235">
        <v>41662</v>
      </c>
      <c r="E149" s="357">
        <v>111332553</v>
      </c>
      <c r="F149" s="357">
        <v>0</v>
      </c>
      <c r="G149" s="357">
        <v>0</v>
      </c>
      <c r="H149" s="357">
        <v>111332553</v>
      </c>
      <c r="I149" s="357">
        <v>52437632</v>
      </c>
      <c r="J149" s="357">
        <v>0</v>
      </c>
      <c r="K149" s="357">
        <v>0</v>
      </c>
      <c r="L149" s="357">
        <v>100000</v>
      </c>
      <c r="M149" s="357">
        <v>0</v>
      </c>
      <c r="N149" s="357">
        <v>0</v>
      </c>
      <c r="O149" s="357">
        <v>52537632</v>
      </c>
      <c r="P149" s="357">
        <v>0</v>
      </c>
      <c r="Q149" s="357">
        <v>0</v>
      </c>
      <c r="R149" s="357">
        <v>52537632</v>
      </c>
      <c r="S149" s="357">
        <v>220855</v>
      </c>
      <c r="T149" s="357">
        <v>0</v>
      </c>
      <c r="U149" s="357">
        <v>0</v>
      </c>
      <c r="V149" s="357">
        <v>220855</v>
      </c>
      <c r="W149" s="357">
        <v>2581</v>
      </c>
      <c r="X149" s="357">
        <v>0</v>
      </c>
      <c r="Y149" s="357">
        <v>0</v>
      </c>
      <c r="Z149" s="357">
        <v>2581</v>
      </c>
      <c r="AA149" s="357">
        <v>218274</v>
      </c>
      <c r="AB149" s="357">
        <v>0</v>
      </c>
      <c r="AC149" s="357">
        <v>0</v>
      </c>
      <c r="AD149" s="357">
        <v>1100</v>
      </c>
      <c r="AE149" s="357">
        <v>0</v>
      </c>
      <c r="AF149" s="357">
        <v>0</v>
      </c>
      <c r="AG149" s="357">
        <v>219374</v>
      </c>
      <c r="AH149" s="357">
        <v>0</v>
      </c>
      <c r="AI149" s="357">
        <v>0</v>
      </c>
      <c r="AJ149" s="357">
        <v>219374</v>
      </c>
      <c r="AK149" s="357">
        <v>219374</v>
      </c>
      <c r="AL149" s="357">
        <v>0</v>
      </c>
      <c r="AM149" s="357">
        <v>0</v>
      </c>
      <c r="AN149" s="357">
        <v>219374</v>
      </c>
      <c r="AO149" s="357">
        <v>3126201</v>
      </c>
      <c r="AP149" s="357">
        <v>0</v>
      </c>
      <c r="AQ149" s="357">
        <v>0</v>
      </c>
      <c r="AR149" s="357">
        <v>3126201</v>
      </c>
      <c r="AS149" s="357">
        <v>12000</v>
      </c>
      <c r="AT149" s="357">
        <v>0</v>
      </c>
      <c r="AU149" s="357">
        <v>0</v>
      </c>
      <c r="AV149" s="357">
        <v>12000</v>
      </c>
      <c r="AW149" s="357">
        <v>996947</v>
      </c>
      <c r="AX149" s="357">
        <v>0</v>
      </c>
      <c r="AY149" s="357">
        <v>0</v>
      </c>
      <c r="AZ149" s="357">
        <v>996947</v>
      </c>
      <c r="BA149" s="357">
        <v>2129254</v>
      </c>
      <c r="BB149" s="357">
        <v>0</v>
      </c>
      <c r="BC149" s="357">
        <v>0</v>
      </c>
      <c r="BD149" s="357">
        <v>2129254</v>
      </c>
      <c r="BE149" s="357">
        <v>1938404</v>
      </c>
      <c r="BF149" s="357">
        <v>0</v>
      </c>
      <c r="BG149" s="357">
        <v>0</v>
      </c>
      <c r="BH149" s="357">
        <v>1938404</v>
      </c>
      <c r="BI149" s="357">
        <v>23763</v>
      </c>
      <c r="BJ149" s="357">
        <v>0</v>
      </c>
      <c r="BK149" s="357">
        <v>0</v>
      </c>
      <c r="BL149" s="357">
        <v>23763</v>
      </c>
      <c r="BM149" s="357">
        <v>76532</v>
      </c>
      <c r="BN149" s="357">
        <v>0</v>
      </c>
      <c r="BO149" s="357">
        <v>0</v>
      </c>
      <c r="BP149" s="357">
        <v>76532</v>
      </c>
      <c r="BQ149" s="357">
        <v>4167953</v>
      </c>
      <c r="BR149" s="357">
        <v>0</v>
      </c>
      <c r="BS149" s="357">
        <v>0</v>
      </c>
      <c r="BT149" s="357">
        <v>455900</v>
      </c>
      <c r="BU149" s="357">
        <v>0</v>
      </c>
      <c r="BV149" s="357">
        <v>0</v>
      </c>
      <c r="BW149" s="357">
        <v>4623853</v>
      </c>
      <c r="BX149" s="357">
        <v>0</v>
      </c>
      <c r="BY149" s="357">
        <v>0</v>
      </c>
      <c r="BZ149" s="357">
        <v>4623853</v>
      </c>
      <c r="CA149" s="357">
        <v>20000</v>
      </c>
      <c r="CB149" s="357">
        <v>0</v>
      </c>
      <c r="CC149" s="357">
        <v>0</v>
      </c>
      <c r="CD149" s="357">
        <v>20000</v>
      </c>
      <c r="CE149" s="357">
        <v>1125066</v>
      </c>
      <c r="CF149" s="357">
        <v>0</v>
      </c>
      <c r="CG149" s="357">
        <v>0</v>
      </c>
      <c r="CH149" s="357">
        <v>1125066</v>
      </c>
      <c r="CI149" s="357">
        <v>1145066</v>
      </c>
      <c r="CJ149" s="357">
        <v>0</v>
      </c>
      <c r="CK149" s="357">
        <v>0</v>
      </c>
      <c r="CL149" s="357">
        <v>75800</v>
      </c>
      <c r="CM149" s="357">
        <v>0</v>
      </c>
      <c r="CN149" s="357">
        <v>0</v>
      </c>
      <c r="CO149" s="357">
        <v>1220866</v>
      </c>
      <c r="CP149" s="357">
        <v>0</v>
      </c>
      <c r="CQ149" s="357">
        <v>0</v>
      </c>
      <c r="CR149" s="357">
        <v>1220866</v>
      </c>
      <c r="CS149" s="357">
        <v>96669</v>
      </c>
      <c r="CT149" s="357">
        <v>0</v>
      </c>
      <c r="CU149" s="357">
        <v>0</v>
      </c>
      <c r="CV149" s="357">
        <v>96669</v>
      </c>
      <c r="CW149" s="357">
        <v>56036</v>
      </c>
      <c r="CX149" s="357">
        <v>0</v>
      </c>
      <c r="CY149" s="357">
        <v>0</v>
      </c>
      <c r="CZ149" s="357">
        <v>56036</v>
      </c>
      <c r="DA149" s="357">
        <v>0</v>
      </c>
      <c r="DB149" s="357">
        <v>0</v>
      </c>
      <c r="DC149" s="357">
        <v>0</v>
      </c>
      <c r="DD149" s="357">
        <v>0</v>
      </c>
      <c r="DE149" s="357">
        <v>32407</v>
      </c>
      <c r="DF149" s="357">
        <v>0</v>
      </c>
      <c r="DG149" s="357">
        <v>0</v>
      </c>
      <c r="DH149" s="357">
        <v>32407</v>
      </c>
      <c r="DI149" s="357">
        <v>27147</v>
      </c>
      <c r="DJ149" s="357">
        <v>0</v>
      </c>
      <c r="DK149" s="357">
        <v>0</v>
      </c>
      <c r="DL149" s="357">
        <v>27147</v>
      </c>
      <c r="DM149" s="357">
        <v>0</v>
      </c>
      <c r="DN149" s="357">
        <v>0</v>
      </c>
      <c r="DO149" s="357">
        <v>0</v>
      </c>
      <c r="DP149" s="357">
        <v>0</v>
      </c>
      <c r="DQ149" s="357">
        <v>212259</v>
      </c>
      <c r="DR149" s="357">
        <v>0</v>
      </c>
      <c r="DS149" s="357">
        <v>0</v>
      </c>
      <c r="DT149" s="357">
        <v>156100</v>
      </c>
      <c r="DU149" s="357">
        <v>0</v>
      </c>
      <c r="DV149" s="357">
        <v>0</v>
      </c>
      <c r="DW149" s="357">
        <v>368359</v>
      </c>
      <c r="DX149" s="357">
        <v>0</v>
      </c>
      <c r="DY149" s="357">
        <v>0</v>
      </c>
      <c r="DZ149" s="357">
        <v>368359</v>
      </c>
      <c r="EA149" s="357">
        <v>0</v>
      </c>
      <c r="EB149" s="357">
        <v>0</v>
      </c>
      <c r="EC149" s="357">
        <v>100000</v>
      </c>
      <c r="ED149" s="357">
        <v>0</v>
      </c>
      <c r="EE149" s="357">
        <v>0</v>
      </c>
      <c r="EF149" s="357">
        <v>100000</v>
      </c>
      <c r="EG149" s="357">
        <v>275000</v>
      </c>
      <c r="EH149" s="357">
        <v>0</v>
      </c>
      <c r="EI149" s="357">
        <v>0</v>
      </c>
      <c r="EJ149" s="357">
        <v>275000</v>
      </c>
      <c r="EK149" s="357">
        <v>1275000</v>
      </c>
      <c r="EL149" s="357">
        <v>0</v>
      </c>
      <c r="EM149" s="357">
        <v>0</v>
      </c>
      <c r="EN149" s="357">
        <v>1275000</v>
      </c>
      <c r="EO149" s="357">
        <v>1650000</v>
      </c>
      <c r="EP149" s="357">
        <v>0</v>
      </c>
      <c r="EQ149" s="357">
        <v>0</v>
      </c>
      <c r="ER149" s="357">
        <v>8300</v>
      </c>
      <c r="ES149" s="357">
        <v>0</v>
      </c>
      <c r="ET149" s="357">
        <v>0</v>
      </c>
      <c r="EU149" s="357">
        <v>1658300</v>
      </c>
      <c r="EV149" s="357">
        <v>0</v>
      </c>
      <c r="EW149" s="357">
        <v>0</v>
      </c>
      <c r="EX149" s="357">
        <v>1658300</v>
      </c>
      <c r="EY149" s="357">
        <v>44446880</v>
      </c>
      <c r="EZ149" s="357">
        <v>0</v>
      </c>
      <c r="FA149" s="357">
        <v>0</v>
      </c>
      <c r="FB149" s="357">
        <v>44446880</v>
      </c>
      <c r="FC149" s="277">
        <v>0</v>
      </c>
      <c r="FD149" s="205"/>
    </row>
    <row r="150" spans="1:160" ht="12.75">
      <c r="A150" s="169">
        <v>143</v>
      </c>
      <c r="B150" s="172" t="s">
        <v>194</v>
      </c>
      <c r="C150" s="258" t="s">
        <v>195</v>
      </c>
      <c r="D150" s="235">
        <v>41660</v>
      </c>
      <c r="E150" s="357">
        <v>227983298</v>
      </c>
      <c r="F150" s="357">
        <v>0</v>
      </c>
      <c r="G150" s="357">
        <v>73000</v>
      </c>
      <c r="H150" s="357">
        <v>228056298</v>
      </c>
      <c r="I150" s="357">
        <v>107380133</v>
      </c>
      <c r="J150" s="357">
        <v>0</v>
      </c>
      <c r="K150" s="357">
        <v>34383</v>
      </c>
      <c r="L150" s="357">
        <v>-5900000</v>
      </c>
      <c r="M150" s="357">
        <v>0</v>
      </c>
      <c r="N150" s="357">
        <v>0</v>
      </c>
      <c r="O150" s="357">
        <v>101480133</v>
      </c>
      <c r="P150" s="357">
        <v>0</v>
      </c>
      <c r="Q150" s="357">
        <v>34383</v>
      </c>
      <c r="R150" s="357">
        <v>101514516</v>
      </c>
      <c r="S150" s="357">
        <v>112819</v>
      </c>
      <c r="T150" s="357">
        <v>0</v>
      </c>
      <c r="U150" s="357">
        <v>0</v>
      </c>
      <c r="V150" s="357">
        <v>112819</v>
      </c>
      <c r="W150" s="357">
        <v>446796</v>
      </c>
      <c r="X150" s="357">
        <v>0</v>
      </c>
      <c r="Y150" s="357">
        <v>0</v>
      </c>
      <c r="Z150" s="357">
        <v>446796</v>
      </c>
      <c r="AA150" s="357">
        <v>-333977</v>
      </c>
      <c r="AB150" s="357">
        <v>0</v>
      </c>
      <c r="AC150" s="357">
        <v>0</v>
      </c>
      <c r="AD150" s="357">
        <v>0</v>
      </c>
      <c r="AE150" s="357">
        <v>0</v>
      </c>
      <c r="AF150" s="357">
        <v>0</v>
      </c>
      <c r="AG150" s="357">
        <v>-333977</v>
      </c>
      <c r="AH150" s="357">
        <v>0</v>
      </c>
      <c r="AI150" s="357">
        <v>0</v>
      </c>
      <c r="AJ150" s="357">
        <v>-333977</v>
      </c>
      <c r="AK150" s="357">
        <v>-333977</v>
      </c>
      <c r="AL150" s="357">
        <v>0</v>
      </c>
      <c r="AM150" s="357">
        <v>0</v>
      </c>
      <c r="AN150" s="357">
        <v>-333977</v>
      </c>
      <c r="AO150" s="357">
        <v>5319977</v>
      </c>
      <c r="AP150" s="357">
        <v>0</v>
      </c>
      <c r="AQ150" s="357">
        <v>0</v>
      </c>
      <c r="AR150" s="357">
        <v>5319977</v>
      </c>
      <c r="AS150" s="357">
        <v>116101</v>
      </c>
      <c r="AT150" s="357">
        <v>0</v>
      </c>
      <c r="AU150" s="357">
        <v>0</v>
      </c>
      <c r="AV150" s="357">
        <v>116101</v>
      </c>
      <c r="AW150" s="357">
        <v>2156353</v>
      </c>
      <c r="AX150" s="357">
        <v>0</v>
      </c>
      <c r="AY150" s="357">
        <v>0</v>
      </c>
      <c r="AZ150" s="357">
        <v>2156353</v>
      </c>
      <c r="BA150" s="357">
        <v>3163624</v>
      </c>
      <c r="BB150" s="357">
        <v>0</v>
      </c>
      <c r="BC150" s="357">
        <v>0</v>
      </c>
      <c r="BD150" s="357">
        <v>3163624</v>
      </c>
      <c r="BE150" s="357">
        <v>5643790</v>
      </c>
      <c r="BF150" s="357">
        <v>0</v>
      </c>
      <c r="BG150" s="357">
        <v>0</v>
      </c>
      <c r="BH150" s="357">
        <v>5643790</v>
      </c>
      <c r="BI150" s="357">
        <v>24285</v>
      </c>
      <c r="BJ150" s="357">
        <v>0</v>
      </c>
      <c r="BK150" s="357">
        <v>0</v>
      </c>
      <c r="BL150" s="357">
        <v>24285</v>
      </c>
      <c r="BM150" s="357">
        <v>0</v>
      </c>
      <c r="BN150" s="357">
        <v>0</v>
      </c>
      <c r="BO150" s="357">
        <v>0</v>
      </c>
      <c r="BP150" s="357">
        <v>0</v>
      </c>
      <c r="BQ150" s="357">
        <v>8831699</v>
      </c>
      <c r="BR150" s="357">
        <v>0</v>
      </c>
      <c r="BS150" s="357">
        <v>0</v>
      </c>
      <c r="BT150" s="357">
        <v>917216</v>
      </c>
      <c r="BU150" s="357">
        <v>0</v>
      </c>
      <c r="BV150" s="357">
        <v>0</v>
      </c>
      <c r="BW150" s="357">
        <v>9748915</v>
      </c>
      <c r="BX150" s="357">
        <v>0</v>
      </c>
      <c r="BY150" s="357">
        <v>0</v>
      </c>
      <c r="BZ150" s="357">
        <v>9748915</v>
      </c>
      <c r="CA150" s="357">
        <v>9283</v>
      </c>
      <c r="CB150" s="357">
        <v>0</v>
      </c>
      <c r="CC150" s="357">
        <v>0</v>
      </c>
      <c r="CD150" s="357">
        <v>9283</v>
      </c>
      <c r="CE150" s="357">
        <v>3069285</v>
      </c>
      <c r="CF150" s="357">
        <v>0</v>
      </c>
      <c r="CG150" s="357">
        <v>0</v>
      </c>
      <c r="CH150" s="357">
        <v>3069285</v>
      </c>
      <c r="CI150" s="357">
        <v>3078568</v>
      </c>
      <c r="CJ150" s="357">
        <v>0</v>
      </c>
      <c r="CK150" s="357">
        <v>0</v>
      </c>
      <c r="CL150" s="357">
        <v>0</v>
      </c>
      <c r="CM150" s="357">
        <v>0</v>
      </c>
      <c r="CN150" s="357">
        <v>0</v>
      </c>
      <c r="CO150" s="357">
        <v>3078568</v>
      </c>
      <c r="CP150" s="357">
        <v>0</v>
      </c>
      <c r="CQ150" s="357">
        <v>0</v>
      </c>
      <c r="CR150" s="357">
        <v>3078568</v>
      </c>
      <c r="CS150" s="357">
        <v>5471</v>
      </c>
      <c r="CT150" s="357">
        <v>0</v>
      </c>
      <c r="CU150" s="357">
        <v>0</v>
      </c>
      <c r="CV150" s="357">
        <v>5471</v>
      </c>
      <c r="CW150" s="357">
        <v>7089</v>
      </c>
      <c r="CX150" s="357">
        <v>0</v>
      </c>
      <c r="CY150" s="357">
        <v>0</v>
      </c>
      <c r="CZ150" s="357">
        <v>7089</v>
      </c>
      <c r="DA150" s="357">
        <v>0</v>
      </c>
      <c r="DB150" s="357">
        <v>0</v>
      </c>
      <c r="DC150" s="357">
        <v>0</v>
      </c>
      <c r="DD150" s="357">
        <v>0</v>
      </c>
      <c r="DE150" s="357">
        <v>0</v>
      </c>
      <c r="DF150" s="357">
        <v>0</v>
      </c>
      <c r="DG150" s="357">
        <v>0</v>
      </c>
      <c r="DH150" s="357">
        <v>0</v>
      </c>
      <c r="DI150" s="357">
        <v>0</v>
      </c>
      <c r="DJ150" s="357">
        <v>0</v>
      </c>
      <c r="DK150" s="357">
        <v>0</v>
      </c>
      <c r="DL150" s="357">
        <v>0</v>
      </c>
      <c r="DM150" s="357">
        <v>0</v>
      </c>
      <c r="DN150" s="357">
        <v>0</v>
      </c>
      <c r="DO150" s="357">
        <v>0</v>
      </c>
      <c r="DP150" s="357">
        <v>0</v>
      </c>
      <c r="DQ150" s="357">
        <v>12560</v>
      </c>
      <c r="DR150" s="357">
        <v>0</v>
      </c>
      <c r="DS150" s="357">
        <v>0</v>
      </c>
      <c r="DT150" s="357">
        <v>0</v>
      </c>
      <c r="DU150" s="357">
        <v>0</v>
      </c>
      <c r="DV150" s="357">
        <v>0</v>
      </c>
      <c r="DW150" s="357">
        <v>12560</v>
      </c>
      <c r="DX150" s="357">
        <v>0</v>
      </c>
      <c r="DY150" s="357">
        <v>0</v>
      </c>
      <c r="DZ150" s="357">
        <v>12560</v>
      </c>
      <c r="EA150" s="357">
        <v>0</v>
      </c>
      <c r="EB150" s="357">
        <v>0</v>
      </c>
      <c r="EC150" s="357">
        <v>150000</v>
      </c>
      <c r="ED150" s="357">
        <v>0</v>
      </c>
      <c r="EE150" s="357">
        <v>0</v>
      </c>
      <c r="EF150" s="357">
        <v>150000</v>
      </c>
      <c r="EG150" s="357">
        <v>400000</v>
      </c>
      <c r="EH150" s="357">
        <v>0</v>
      </c>
      <c r="EI150" s="357">
        <v>0</v>
      </c>
      <c r="EJ150" s="357">
        <v>400000</v>
      </c>
      <c r="EK150" s="357">
        <v>1173000</v>
      </c>
      <c r="EL150" s="357">
        <v>0</v>
      </c>
      <c r="EM150" s="357">
        <v>0</v>
      </c>
      <c r="EN150" s="357">
        <v>1173000</v>
      </c>
      <c r="EO150" s="357">
        <v>1723000</v>
      </c>
      <c r="EP150" s="357">
        <v>0</v>
      </c>
      <c r="EQ150" s="357">
        <v>0</v>
      </c>
      <c r="ER150" s="357">
        <v>0</v>
      </c>
      <c r="ES150" s="357">
        <v>0</v>
      </c>
      <c r="ET150" s="357">
        <v>0</v>
      </c>
      <c r="EU150" s="357">
        <v>1723000</v>
      </c>
      <c r="EV150" s="357">
        <v>0</v>
      </c>
      <c r="EW150" s="357">
        <v>0</v>
      </c>
      <c r="EX150" s="357">
        <v>1723000</v>
      </c>
      <c r="EY150" s="357">
        <v>87251067</v>
      </c>
      <c r="EZ150" s="357">
        <v>0</v>
      </c>
      <c r="FA150" s="357">
        <v>34383</v>
      </c>
      <c r="FB150" s="357">
        <v>87285450</v>
      </c>
      <c r="FC150" s="277">
        <v>0</v>
      </c>
      <c r="FD150" s="205"/>
    </row>
    <row r="151" spans="1:160" ht="12.75">
      <c r="A151" s="169">
        <v>144</v>
      </c>
      <c r="B151" s="172" t="s">
        <v>196</v>
      </c>
      <c r="C151" s="258" t="s">
        <v>197</v>
      </c>
      <c r="D151" s="235">
        <v>41612</v>
      </c>
      <c r="E151" s="357">
        <v>201455879</v>
      </c>
      <c r="F151" s="357">
        <v>0</v>
      </c>
      <c r="G151" s="357">
        <v>0</v>
      </c>
      <c r="H151" s="357">
        <v>201455879</v>
      </c>
      <c r="I151" s="357">
        <v>94885719</v>
      </c>
      <c r="J151" s="357">
        <v>0</v>
      </c>
      <c r="K151" s="357">
        <v>0</v>
      </c>
      <c r="L151" s="357">
        <v>-270000</v>
      </c>
      <c r="M151" s="357">
        <v>0</v>
      </c>
      <c r="N151" s="357">
        <v>0</v>
      </c>
      <c r="O151" s="357">
        <v>94615719</v>
      </c>
      <c r="P151" s="357">
        <v>0</v>
      </c>
      <c r="Q151" s="357">
        <v>0</v>
      </c>
      <c r="R151" s="357">
        <v>94615719</v>
      </c>
      <c r="S151" s="357">
        <v>4404</v>
      </c>
      <c r="T151" s="357">
        <v>0</v>
      </c>
      <c r="U151" s="357">
        <v>0</v>
      </c>
      <c r="V151" s="357">
        <v>4404</v>
      </c>
      <c r="W151" s="357">
        <v>2132</v>
      </c>
      <c r="X151" s="357">
        <v>0</v>
      </c>
      <c r="Y151" s="357">
        <v>0</v>
      </c>
      <c r="Z151" s="357">
        <v>2132</v>
      </c>
      <c r="AA151" s="357">
        <v>2272</v>
      </c>
      <c r="AB151" s="357">
        <v>0</v>
      </c>
      <c r="AC151" s="357">
        <v>0</v>
      </c>
      <c r="AD151" s="357">
        <v>0</v>
      </c>
      <c r="AE151" s="357">
        <v>0</v>
      </c>
      <c r="AF151" s="357">
        <v>0</v>
      </c>
      <c r="AG151" s="357">
        <v>2272</v>
      </c>
      <c r="AH151" s="357">
        <v>0</v>
      </c>
      <c r="AI151" s="357">
        <v>0</v>
      </c>
      <c r="AJ151" s="357">
        <v>2272</v>
      </c>
      <c r="AK151" s="357">
        <v>2272</v>
      </c>
      <c r="AL151" s="357">
        <v>0</v>
      </c>
      <c r="AM151" s="357">
        <v>0</v>
      </c>
      <c r="AN151" s="357">
        <v>2272</v>
      </c>
      <c r="AO151" s="357">
        <v>2284658</v>
      </c>
      <c r="AP151" s="357">
        <v>0</v>
      </c>
      <c r="AQ151" s="357">
        <v>0</v>
      </c>
      <c r="AR151" s="357">
        <v>2284658</v>
      </c>
      <c r="AS151" s="357">
        <v>50000</v>
      </c>
      <c r="AT151" s="357">
        <v>0</v>
      </c>
      <c r="AU151" s="357">
        <v>0</v>
      </c>
      <c r="AV151" s="357">
        <v>50000</v>
      </c>
      <c r="AW151" s="357">
        <v>1940598</v>
      </c>
      <c r="AX151" s="357">
        <v>0</v>
      </c>
      <c r="AY151" s="357">
        <v>0</v>
      </c>
      <c r="AZ151" s="357">
        <v>1940598</v>
      </c>
      <c r="BA151" s="357">
        <v>344060</v>
      </c>
      <c r="BB151" s="357">
        <v>0</v>
      </c>
      <c r="BC151" s="357">
        <v>0</v>
      </c>
      <c r="BD151" s="357">
        <v>344060</v>
      </c>
      <c r="BE151" s="357">
        <v>5695333</v>
      </c>
      <c r="BF151" s="357">
        <v>0</v>
      </c>
      <c r="BG151" s="357">
        <v>0</v>
      </c>
      <c r="BH151" s="357">
        <v>5695333</v>
      </c>
      <c r="BI151" s="357">
        <v>67827</v>
      </c>
      <c r="BJ151" s="357">
        <v>0</v>
      </c>
      <c r="BK151" s="357">
        <v>0</v>
      </c>
      <c r="BL151" s="357">
        <v>67827</v>
      </c>
      <c r="BM151" s="357">
        <v>0</v>
      </c>
      <c r="BN151" s="357">
        <v>0</v>
      </c>
      <c r="BO151" s="357">
        <v>0</v>
      </c>
      <c r="BP151" s="357">
        <v>0</v>
      </c>
      <c r="BQ151" s="357">
        <v>6107220</v>
      </c>
      <c r="BR151" s="357">
        <v>0</v>
      </c>
      <c r="BS151" s="357">
        <v>0</v>
      </c>
      <c r="BT151" s="357">
        <v>100000</v>
      </c>
      <c r="BU151" s="357">
        <v>0</v>
      </c>
      <c r="BV151" s="357">
        <v>0</v>
      </c>
      <c r="BW151" s="357">
        <v>6207220</v>
      </c>
      <c r="BX151" s="357">
        <v>0</v>
      </c>
      <c r="BY151" s="357">
        <v>0</v>
      </c>
      <c r="BZ151" s="357">
        <v>6207220</v>
      </c>
      <c r="CA151" s="357">
        <v>29000</v>
      </c>
      <c r="CB151" s="357">
        <v>0</v>
      </c>
      <c r="CC151" s="357">
        <v>0</v>
      </c>
      <c r="CD151" s="357">
        <v>29000</v>
      </c>
      <c r="CE151" s="357">
        <v>2841586</v>
      </c>
      <c r="CF151" s="357">
        <v>0</v>
      </c>
      <c r="CG151" s="357">
        <v>0</v>
      </c>
      <c r="CH151" s="357">
        <v>2841586</v>
      </c>
      <c r="CI151" s="357">
        <v>2870586</v>
      </c>
      <c r="CJ151" s="357">
        <v>0</v>
      </c>
      <c r="CK151" s="357">
        <v>0</v>
      </c>
      <c r="CL151" s="357">
        <v>0</v>
      </c>
      <c r="CM151" s="357">
        <v>0</v>
      </c>
      <c r="CN151" s="357">
        <v>0</v>
      </c>
      <c r="CO151" s="357">
        <v>2870586</v>
      </c>
      <c r="CP151" s="357">
        <v>0</v>
      </c>
      <c r="CQ151" s="357">
        <v>0</v>
      </c>
      <c r="CR151" s="357">
        <v>2870586</v>
      </c>
      <c r="CS151" s="357">
        <v>40000</v>
      </c>
      <c r="CT151" s="357">
        <v>0</v>
      </c>
      <c r="CU151" s="357">
        <v>0</v>
      </c>
      <c r="CV151" s="357">
        <v>40000</v>
      </c>
      <c r="CW151" s="357">
        <v>393000</v>
      </c>
      <c r="CX151" s="357">
        <v>0</v>
      </c>
      <c r="CY151" s="357">
        <v>0</v>
      </c>
      <c r="CZ151" s="357">
        <v>393000</v>
      </c>
      <c r="DA151" s="357">
        <v>0</v>
      </c>
      <c r="DB151" s="357">
        <v>0</v>
      </c>
      <c r="DC151" s="357">
        <v>0</v>
      </c>
      <c r="DD151" s="357">
        <v>0</v>
      </c>
      <c r="DE151" s="357">
        <v>0</v>
      </c>
      <c r="DF151" s="357">
        <v>0</v>
      </c>
      <c r="DG151" s="357">
        <v>0</v>
      </c>
      <c r="DH151" s="357">
        <v>0</v>
      </c>
      <c r="DI151" s="357">
        <v>0</v>
      </c>
      <c r="DJ151" s="357">
        <v>0</v>
      </c>
      <c r="DK151" s="357">
        <v>0</v>
      </c>
      <c r="DL151" s="357">
        <v>0</v>
      </c>
      <c r="DM151" s="357">
        <v>0</v>
      </c>
      <c r="DN151" s="357">
        <v>0</v>
      </c>
      <c r="DO151" s="357">
        <v>0</v>
      </c>
      <c r="DP151" s="357">
        <v>0</v>
      </c>
      <c r="DQ151" s="357">
        <v>433000</v>
      </c>
      <c r="DR151" s="357">
        <v>0</v>
      </c>
      <c r="DS151" s="357">
        <v>0</v>
      </c>
      <c r="DT151" s="357">
        <v>0</v>
      </c>
      <c r="DU151" s="357">
        <v>0</v>
      </c>
      <c r="DV151" s="357">
        <v>0</v>
      </c>
      <c r="DW151" s="357">
        <v>433000</v>
      </c>
      <c r="DX151" s="357">
        <v>0</v>
      </c>
      <c r="DY151" s="357">
        <v>0</v>
      </c>
      <c r="DZ151" s="357">
        <v>433000</v>
      </c>
      <c r="EA151" s="357">
        <v>0</v>
      </c>
      <c r="EB151" s="357">
        <v>0</v>
      </c>
      <c r="EC151" s="357">
        <v>100000</v>
      </c>
      <c r="ED151" s="357">
        <v>0</v>
      </c>
      <c r="EE151" s="357">
        <v>0</v>
      </c>
      <c r="EF151" s="357">
        <v>100000</v>
      </c>
      <c r="EG151" s="357">
        <v>300000</v>
      </c>
      <c r="EH151" s="357">
        <v>0</v>
      </c>
      <c r="EI151" s="357">
        <v>0</v>
      </c>
      <c r="EJ151" s="357">
        <v>300000</v>
      </c>
      <c r="EK151" s="357">
        <v>900000</v>
      </c>
      <c r="EL151" s="357">
        <v>0</v>
      </c>
      <c r="EM151" s="357">
        <v>0</v>
      </c>
      <c r="EN151" s="357">
        <v>900000</v>
      </c>
      <c r="EO151" s="357">
        <v>1300000</v>
      </c>
      <c r="EP151" s="357">
        <v>0</v>
      </c>
      <c r="EQ151" s="357">
        <v>0</v>
      </c>
      <c r="ER151" s="357">
        <v>0</v>
      </c>
      <c r="ES151" s="357">
        <v>0</v>
      </c>
      <c r="ET151" s="357">
        <v>0</v>
      </c>
      <c r="EU151" s="357">
        <v>1300000</v>
      </c>
      <c r="EV151" s="357">
        <v>0</v>
      </c>
      <c r="EW151" s="357">
        <v>0</v>
      </c>
      <c r="EX151" s="357">
        <v>1300000</v>
      </c>
      <c r="EY151" s="357">
        <v>83802641</v>
      </c>
      <c r="EZ151" s="357">
        <v>0</v>
      </c>
      <c r="FA151" s="357">
        <v>0</v>
      </c>
      <c r="FB151" s="357">
        <v>83802641</v>
      </c>
      <c r="FC151" s="277">
        <v>0</v>
      </c>
      <c r="FD151" s="205"/>
    </row>
    <row r="152" spans="1:160" ht="12.75">
      <c r="A152" s="169">
        <v>145</v>
      </c>
      <c r="B152" s="172" t="s">
        <v>198</v>
      </c>
      <c r="C152" s="258" t="s">
        <v>199</v>
      </c>
      <c r="D152" s="235">
        <v>41639</v>
      </c>
      <c r="E152" s="357">
        <v>285196678</v>
      </c>
      <c r="F152" s="357">
        <v>0</v>
      </c>
      <c r="G152" s="357">
        <v>0</v>
      </c>
      <c r="H152" s="357">
        <v>285196678</v>
      </c>
      <c r="I152" s="357">
        <v>134327635</v>
      </c>
      <c r="J152" s="357">
        <v>0</v>
      </c>
      <c r="K152" s="357">
        <v>0</v>
      </c>
      <c r="L152" s="357">
        <v>-2000000</v>
      </c>
      <c r="M152" s="357">
        <v>0</v>
      </c>
      <c r="N152" s="357">
        <v>0</v>
      </c>
      <c r="O152" s="357">
        <v>132327635</v>
      </c>
      <c r="P152" s="357">
        <v>0</v>
      </c>
      <c r="Q152" s="357">
        <v>0</v>
      </c>
      <c r="R152" s="357">
        <v>132327635</v>
      </c>
      <c r="S152" s="357">
        <v>329719</v>
      </c>
      <c r="T152" s="357">
        <v>0</v>
      </c>
      <c r="U152" s="357">
        <v>0</v>
      </c>
      <c r="V152" s="357">
        <v>329719</v>
      </c>
      <c r="W152" s="357">
        <v>71679</v>
      </c>
      <c r="X152" s="357">
        <v>0</v>
      </c>
      <c r="Y152" s="357">
        <v>0</v>
      </c>
      <c r="Z152" s="357">
        <v>71679</v>
      </c>
      <c r="AA152" s="357">
        <v>258040</v>
      </c>
      <c r="AB152" s="357">
        <v>0</v>
      </c>
      <c r="AC152" s="357">
        <v>0</v>
      </c>
      <c r="AD152" s="357">
        <v>0</v>
      </c>
      <c r="AE152" s="357">
        <v>0</v>
      </c>
      <c r="AF152" s="357">
        <v>0</v>
      </c>
      <c r="AG152" s="357">
        <v>258040</v>
      </c>
      <c r="AH152" s="357">
        <v>0</v>
      </c>
      <c r="AI152" s="357">
        <v>0</v>
      </c>
      <c r="AJ152" s="357">
        <v>258040</v>
      </c>
      <c r="AK152" s="357">
        <v>258040</v>
      </c>
      <c r="AL152" s="357">
        <v>0</v>
      </c>
      <c r="AM152" s="357">
        <v>0</v>
      </c>
      <c r="AN152" s="357">
        <v>258040</v>
      </c>
      <c r="AO152" s="357">
        <v>11536393</v>
      </c>
      <c r="AP152" s="357">
        <v>0</v>
      </c>
      <c r="AQ152" s="357">
        <v>0</v>
      </c>
      <c r="AR152" s="357">
        <v>11536393</v>
      </c>
      <c r="AS152" s="357">
        <v>141300</v>
      </c>
      <c r="AT152" s="357">
        <v>0</v>
      </c>
      <c r="AU152" s="357">
        <v>0</v>
      </c>
      <c r="AV152" s="357">
        <v>141300</v>
      </c>
      <c r="AW152" s="357">
        <v>2095288</v>
      </c>
      <c r="AX152" s="357">
        <v>0</v>
      </c>
      <c r="AY152" s="357">
        <v>0</v>
      </c>
      <c r="AZ152" s="357">
        <v>2095288</v>
      </c>
      <c r="BA152" s="357">
        <v>9441105</v>
      </c>
      <c r="BB152" s="357">
        <v>0</v>
      </c>
      <c r="BC152" s="357">
        <v>0</v>
      </c>
      <c r="BD152" s="357">
        <v>9441105</v>
      </c>
      <c r="BE152" s="357">
        <v>6091514</v>
      </c>
      <c r="BF152" s="357">
        <v>0</v>
      </c>
      <c r="BG152" s="357">
        <v>0</v>
      </c>
      <c r="BH152" s="357">
        <v>6091514</v>
      </c>
      <c r="BI152" s="357">
        <v>164621</v>
      </c>
      <c r="BJ152" s="357">
        <v>0</v>
      </c>
      <c r="BK152" s="357">
        <v>0</v>
      </c>
      <c r="BL152" s="357">
        <v>164621</v>
      </c>
      <c r="BM152" s="357">
        <v>4082</v>
      </c>
      <c r="BN152" s="357">
        <v>0</v>
      </c>
      <c r="BO152" s="357">
        <v>0</v>
      </c>
      <c r="BP152" s="357">
        <v>4082</v>
      </c>
      <c r="BQ152" s="357">
        <v>15701322</v>
      </c>
      <c r="BR152" s="357">
        <v>0</v>
      </c>
      <c r="BS152" s="357">
        <v>0</v>
      </c>
      <c r="BT152" s="357">
        <v>0</v>
      </c>
      <c r="BU152" s="357">
        <v>0</v>
      </c>
      <c r="BV152" s="357">
        <v>0</v>
      </c>
      <c r="BW152" s="357">
        <v>15701322</v>
      </c>
      <c r="BX152" s="357">
        <v>0</v>
      </c>
      <c r="BY152" s="357">
        <v>0</v>
      </c>
      <c r="BZ152" s="357">
        <v>15701322</v>
      </c>
      <c r="CA152" s="357">
        <v>38641</v>
      </c>
      <c r="CB152" s="357">
        <v>0</v>
      </c>
      <c r="CC152" s="357">
        <v>0</v>
      </c>
      <c r="CD152" s="357">
        <v>38641</v>
      </c>
      <c r="CE152" s="357">
        <v>6547978</v>
      </c>
      <c r="CF152" s="357">
        <v>0</v>
      </c>
      <c r="CG152" s="357">
        <v>0</v>
      </c>
      <c r="CH152" s="357">
        <v>6547978</v>
      </c>
      <c r="CI152" s="357">
        <v>6586619</v>
      </c>
      <c r="CJ152" s="357">
        <v>0</v>
      </c>
      <c r="CK152" s="357">
        <v>0</v>
      </c>
      <c r="CL152" s="357">
        <v>0</v>
      </c>
      <c r="CM152" s="357">
        <v>0</v>
      </c>
      <c r="CN152" s="357">
        <v>0</v>
      </c>
      <c r="CO152" s="357">
        <v>6586619</v>
      </c>
      <c r="CP152" s="357">
        <v>0</v>
      </c>
      <c r="CQ152" s="357">
        <v>0</v>
      </c>
      <c r="CR152" s="357">
        <v>6586619</v>
      </c>
      <c r="CS152" s="357">
        <v>234527</v>
      </c>
      <c r="CT152" s="357">
        <v>0</v>
      </c>
      <c r="CU152" s="357">
        <v>0</v>
      </c>
      <c r="CV152" s="357">
        <v>234527</v>
      </c>
      <c r="CW152" s="357">
        <v>111454</v>
      </c>
      <c r="CX152" s="357">
        <v>0</v>
      </c>
      <c r="CY152" s="357">
        <v>0</v>
      </c>
      <c r="CZ152" s="357">
        <v>111454</v>
      </c>
      <c r="DA152" s="357">
        <v>1375</v>
      </c>
      <c r="DB152" s="357">
        <v>0</v>
      </c>
      <c r="DC152" s="357">
        <v>0</v>
      </c>
      <c r="DD152" s="357">
        <v>1375</v>
      </c>
      <c r="DE152" s="357">
        <v>2827</v>
      </c>
      <c r="DF152" s="357">
        <v>0</v>
      </c>
      <c r="DG152" s="357">
        <v>0</v>
      </c>
      <c r="DH152" s="357">
        <v>2827</v>
      </c>
      <c r="DI152" s="357">
        <v>118940</v>
      </c>
      <c r="DJ152" s="357">
        <v>0</v>
      </c>
      <c r="DK152" s="357">
        <v>0</v>
      </c>
      <c r="DL152" s="357">
        <v>118940</v>
      </c>
      <c r="DM152" s="357">
        <v>0</v>
      </c>
      <c r="DN152" s="357">
        <v>0</v>
      </c>
      <c r="DO152" s="357">
        <v>0</v>
      </c>
      <c r="DP152" s="357">
        <v>0</v>
      </c>
      <c r="DQ152" s="357">
        <v>469123</v>
      </c>
      <c r="DR152" s="357">
        <v>0</v>
      </c>
      <c r="DS152" s="357">
        <v>0</v>
      </c>
      <c r="DT152" s="357">
        <v>0</v>
      </c>
      <c r="DU152" s="357">
        <v>0</v>
      </c>
      <c r="DV152" s="357">
        <v>0</v>
      </c>
      <c r="DW152" s="357">
        <v>469123</v>
      </c>
      <c r="DX152" s="357">
        <v>0</v>
      </c>
      <c r="DY152" s="357">
        <v>0</v>
      </c>
      <c r="DZ152" s="357">
        <v>469123</v>
      </c>
      <c r="EA152" s="357">
        <v>0</v>
      </c>
      <c r="EB152" s="357">
        <v>0</v>
      </c>
      <c r="EC152" s="357">
        <v>45216</v>
      </c>
      <c r="ED152" s="357">
        <v>0</v>
      </c>
      <c r="EE152" s="357">
        <v>0</v>
      </c>
      <c r="EF152" s="357">
        <v>45216</v>
      </c>
      <c r="EG152" s="357">
        <v>211950</v>
      </c>
      <c r="EH152" s="357">
        <v>0</v>
      </c>
      <c r="EI152" s="357">
        <v>0</v>
      </c>
      <c r="EJ152" s="357">
        <v>211950</v>
      </c>
      <c r="EK152" s="357">
        <v>1000000</v>
      </c>
      <c r="EL152" s="357">
        <v>0</v>
      </c>
      <c r="EM152" s="357">
        <v>0</v>
      </c>
      <c r="EN152" s="357">
        <v>1000000</v>
      </c>
      <c r="EO152" s="357">
        <v>1257166</v>
      </c>
      <c r="EP152" s="357">
        <v>0</v>
      </c>
      <c r="EQ152" s="357">
        <v>0</v>
      </c>
      <c r="ER152" s="357">
        <v>0</v>
      </c>
      <c r="ES152" s="357">
        <v>0</v>
      </c>
      <c r="ET152" s="357">
        <v>0</v>
      </c>
      <c r="EU152" s="357">
        <v>1257166</v>
      </c>
      <c r="EV152" s="357">
        <v>0</v>
      </c>
      <c r="EW152" s="357">
        <v>0</v>
      </c>
      <c r="EX152" s="357">
        <v>1257166</v>
      </c>
      <c r="EY152" s="357">
        <v>108055365</v>
      </c>
      <c r="EZ152" s="357">
        <v>0</v>
      </c>
      <c r="FA152" s="357">
        <v>0</v>
      </c>
      <c r="FB152" s="357">
        <v>108055365</v>
      </c>
      <c r="FC152" s="277">
        <v>0</v>
      </c>
      <c r="FD152" s="205"/>
    </row>
    <row r="153" spans="1:160" ht="12.75">
      <c r="A153" s="169">
        <v>146</v>
      </c>
      <c r="B153" s="172" t="s">
        <v>200</v>
      </c>
      <c r="C153" s="258" t="s">
        <v>201</v>
      </c>
      <c r="D153" s="235">
        <v>41647</v>
      </c>
      <c r="E153" s="357">
        <v>103116486</v>
      </c>
      <c r="F153" s="357">
        <v>0</v>
      </c>
      <c r="G153" s="357">
        <v>0</v>
      </c>
      <c r="H153" s="357">
        <v>103116486</v>
      </c>
      <c r="I153" s="357">
        <v>48567865</v>
      </c>
      <c r="J153" s="357">
        <v>0</v>
      </c>
      <c r="K153" s="357">
        <v>0</v>
      </c>
      <c r="L153" s="357">
        <v>0</v>
      </c>
      <c r="M153" s="357">
        <v>0</v>
      </c>
      <c r="N153" s="357">
        <v>0</v>
      </c>
      <c r="O153" s="357">
        <v>48567865</v>
      </c>
      <c r="P153" s="357">
        <v>0</v>
      </c>
      <c r="Q153" s="357">
        <v>0</v>
      </c>
      <c r="R153" s="357">
        <v>48567865</v>
      </c>
      <c r="S153" s="357">
        <v>11685</v>
      </c>
      <c r="T153" s="357">
        <v>0</v>
      </c>
      <c r="U153" s="357">
        <v>0</v>
      </c>
      <c r="V153" s="357">
        <v>11685</v>
      </c>
      <c r="W153" s="357">
        <v>10571</v>
      </c>
      <c r="X153" s="357">
        <v>0</v>
      </c>
      <c r="Y153" s="357">
        <v>0</v>
      </c>
      <c r="Z153" s="357">
        <v>10571</v>
      </c>
      <c r="AA153" s="357">
        <v>1114</v>
      </c>
      <c r="AB153" s="357">
        <v>0</v>
      </c>
      <c r="AC153" s="357">
        <v>0</v>
      </c>
      <c r="AD153" s="357">
        <v>0</v>
      </c>
      <c r="AE153" s="357">
        <v>0</v>
      </c>
      <c r="AF153" s="357">
        <v>0</v>
      </c>
      <c r="AG153" s="357">
        <v>1114</v>
      </c>
      <c r="AH153" s="357">
        <v>0</v>
      </c>
      <c r="AI153" s="357">
        <v>0</v>
      </c>
      <c r="AJ153" s="357">
        <v>1114</v>
      </c>
      <c r="AK153" s="357">
        <v>1114</v>
      </c>
      <c r="AL153" s="357">
        <v>0</v>
      </c>
      <c r="AM153" s="357">
        <v>0</v>
      </c>
      <c r="AN153" s="357">
        <v>1114</v>
      </c>
      <c r="AO153" s="357">
        <v>1682901</v>
      </c>
      <c r="AP153" s="357">
        <v>0</v>
      </c>
      <c r="AQ153" s="357">
        <v>0</v>
      </c>
      <c r="AR153" s="357">
        <v>1682901</v>
      </c>
      <c r="AS153" s="357">
        <v>0</v>
      </c>
      <c r="AT153" s="357">
        <v>0</v>
      </c>
      <c r="AU153" s="357">
        <v>0</v>
      </c>
      <c r="AV153" s="357">
        <v>0</v>
      </c>
      <c r="AW153" s="357">
        <v>1024002</v>
      </c>
      <c r="AX153" s="357">
        <v>0</v>
      </c>
      <c r="AY153" s="357">
        <v>0</v>
      </c>
      <c r="AZ153" s="357">
        <v>1024002</v>
      </c>
      <c r="BA153" s="357">
        <v>658899</v>
      </c>
      <c r="BB153" s="357">
        <v>0</v>
      </c>
      <c r="BC153" s="357">
        <v>0</v>
      </c>
      <c r="BD153" s="357">
        <v>658899</v>
      </c>
      <c r="BE153" s="357">
        <v>2254630</v>
      </c>
      <c r="BF153" s="357">
        <v>0</v>
      </c>
      <c r="BG153" s="357">
        <v>0</v>
      </c>
      <c r="BH153" s="357">
        <v>2254630</v>
      </c>
      <c r="BI153" s="357">
        <v>15385</v>
      </c>
      <c r="BJ153" s="357">
        <v>0</v>
      </c>
      <c r="BK153" s="357">
        <v>0</v>
      </c>
      <c r="BL153" s="357">
        <v>15385</v>
      </c>
      <c r="BM153" s="357">
        <v>0</v>
      </c>
      <c r="BN153" s="357">
        <v>0</v>
      </c>
      <c r="BO153" s="357">
        <v>0</v>
      </c>
      <c r="BP153" s="357">
        <v>0</v>
      </c>
      <c r="BQ153" s="357">
        <v>2928914</v>
      </c>
      <c r="BR153" s="357">
        <v>0</v>
      </c>
      <c r="BS153" s="357">
        <v>0</v>
      </c>
      <c r="BT153" s="357">
        <v>-240000</v>
      </c>
      <c r="BU153" s="357">
        <v>0</v>
      </c>
      <c r="BV153" s="357">
        <v>0</v>
      </c>
      <c r="BW153" s="357">
        <v>2688914</v>
      </c>
      <c r="BX153" s="357">
        <v>0</v>
      </c>
      <c r="BY153" s="357">
        <v>0</v>
      </c>
      <c r="BZ153" s="357">
        <v>2688914</v>
      </c>
      <c r="CA153" s="357">
        <v>150000</v>
      </c>
      <c r="CB153" s="357">
        <v>0</v>
      </c>
      <c r="CC153" s="357">
        <v>0</v>
      </c>
      <c r="CD153" s="357">
        <v>150000</v>
      </c>
      <c r="CE153" s="357">
        <v>1435045</v>
      </c>
      <c r="CF153" s="357">
        <v>0</v>
      </c>
      <c r="CG153" s="357">
        <v>0</v>
      </c>
      <c r="CH153" s="357">
        <v>1435045</v>
      </c>
      <c r="CI153" s="357">
        <v>1585045</v>
      </c>
      <c r="CJ153" s="357">
        <v>0</v>
      </c>
      <c r="CK153" s="357">
        <v>0</v>
      </c>
      <c r="CL153" s="357">
        <v>541000</v>
      </c>
      <c r="CM153" s="357">
        <v>0</v>
      </c>
      <c r="CN153" s="357">
        <v>0</v>
      </c>
      <c r="CO153" s="357">
        <v>2126045</v>
      </c>
      <c r="CP153" s="357">
        <v>0</v>
      </c>
      <c r="CQ153" s="357">
        <v>0</v>
      </c>
      <c r="CR153" s="357">
        <v>2126045</v>
      </c>
      <c r="CS153" s="357">
        <v>174580</v>
      </c>
      <c r="CT153" s="357">
        <v>0</v>
      </c>
      <c r="CU153" s="357">
        <v>0</v>
      </c>
      <c r="CV153" s="357">
        <v>174580</v>
      </c>
      <c r="CW153" s="357">
        <v>1426</v>
      </c>
      <c r="CX153" s="357">
        <v>0</v>
      </c>
      <c r="CY153" s="357">
        <v>0</v>
      </c>
      <c r="CZ153" s="357">
        <v>1426</v>
      </c>
      <c r="DA153" s="357">
        <v>0</v>
      </c>
      <c r="DB153" s="357">
        <v>0</v>
      </c>
      <c r="DC153" s="357">
        <v>0</v>
      </c>
      <c r="DD153" s="357">
        <v>0</v>
      </c>
      <c r="DE153" s="357">
        <v>0</v>
      </c>
      <c r="DF153" s="357">
        <v>0</v>
      </c>
      <c r="DG153" s="357">
        <v>0</v>
      </c>
      <c r="DH153" s="357">
        <v>0</v>
      </c>
      <c r="DI153" s="357">
        <v>0</v>
      </c>
      <c r="DJ153" s="357">
        <v>0</v>
      </c>
      <c r="DK153" s="357">
        <v>0</v>
      </c>
      <c r="DL153" s="357">
        <v>0</v>
      </c>
      <c r="DM153" s="357">
        <v>0</v>
      </c>
      <c r="DN153" s="357">
        <v>0</v>
      </c>
      <c r="DO153" s="357">
        <v>0</v>
      </c>
      <c r="DP153" s="357">
        <v>0</v>
      </c>
      <c r="DQ153" s="357">
        <v>176006</v>
      </c>
      <c r="DR153" s="357">
        <v>0</v>
      </c>
      <c r="DS153" s="357">
        <v>0</v>
      </c>
      <c r="DT153" s="357">
        <v>32000</v>
      </c>
      <c r="DU153" s="357">
        <v>0</v>
      </c>
      <c r="DV153" s="357">
        <v>0</v>
      </c>
      <c r="DW153" s="357">
        <v>208006</v>
      </c>
      <c r="DX153" s="357">
        <v>0</v>
      </c>
      <c r="DY153" s="357">
        <v>0</v>
      </c>
      <c r="DZ153" s="357">
        <v>208006</v>
      </c>
      <c r="EA153" s="357">
        <v>0</v>
      </c>
      <c r="EB153" s="357">
        <v>0</v>
      </c>
      <c r="EC153" s="357">
        <v>0</v>
      </c>
      <c r="ED153" s="357">
        <v>0</v>
      </c>
      <c r="EE153" s="357">
        <v>0</v>
      </c>
      <c r="EF153" s="357">
        <v>0</v>
      </c>
      <c r="EG153" s="357">
        <v>0</v>
      </c>
      <c r="EH153" s="357">
        <v>0</v>
      </c>
      <c r="EI153" s="357">
        <v>0</v>
      </c>
      <c r="EJ153" s="357">
        <v>0</v>
      </c>
      <c r="EK153" s="357">
        <v>500000</v>
      </c>
      <c r="EL153" s="357">
        <v>0</v>
      </c>
      <c r="EM153" s="357">
        <v>0</v>
      </c>
      <c r="EN153" s="357">
        <v>500000</v>
      </c>
      <c r="EO153" s="357">
        <v>500000</v>
      </c>
      <c r="EP153" s="357">
        <v>0</v>
      </c>
      <c r="EQ153" s="357">
        <v>0</v>
      </c>
      <c r="ER153" s="357">
        <v>0</v>
      </c>
      <c r="ES153" s="357">
        <v>0</v>
      </c>
      <c r="ET153" s="357">
        <v>0</v>
      </c>
      <c r="EU153" s="357">
        <v>500000</v>
      </c>
      <c r="EV153" s="357">
        <v>0</v>
      </c>
      <c r="EW153" s="357">
        <v>0</v>
      </c>
      <c r="EX153" s="357">
        <v>500000</v>
      </c>
      <c r="EY153" s="357">
        <v>43043786</v>
      </c>
      <c r="EZ153" s="357">
        <v>0</v>
      </c>
      <c r="FA153" s="357">
        <v>0</v>
      </c>
      <c r="FB153" s="357">
        <v>43043786</v>
      </c>
      <c r="FC153" s="277">
        <v>0</v>
      </c>
      <c r="FD153" s="205"/>
    </row>
    <row r="154" spans="1:160" ht="12.75">
      <c r="A154" s="169">
        <v>147</v>
      </c>
      <c r="B154" s="172" t="s">
        <v>202</v>
      </c>
      <c r="C154" s="258" t="s">
        <v>203</v>
      </c>
      <c r="D154" s="235">
        <v>41652</v>
      </c>
      <c r="E154" s="357">
        <v>316985164</v>
      </c>
      <c r="F154" s="357">
        <v>0</v>
      </c>
      <c r="G154" s="357">
        <v>0</v>
      </c>
      <c r="H154" s="357">
        <v>316985164</v>
      </c>
      <c r="I154" s="357">
        <v>149300012</v>
      </c>
      <c r="J154" s="357">
        <v>0</v>
      </c>
      <c r="K154" s="357">
        <v>0</v>
      </c>
      <c r="L154" s="357">
        <v>1553097</v>
      </c>
      <c r="M154" s="357">
        <v>0</v>
      </c>
      <c r="N154" s="357">
        <v>0</v>
      </c>
      <c r="O154" s="357">
        <v>150853109</v>
      </c>
      <c r="P154" s="357">
        <v>0</v>
      </c>
      <c r="Q154" s="357">
        <v>0</v>
      </c>
      <c r="R154" s="357">
        <v>150853109</v>
      </c>
      <c r="S154" s="357">
        <v>379876.52</v>
      </c>
      <c r="T154" s="357">
        <v>0</v>
      </c>
      <c r="U154" s="357">
        <v>0</v>
      </c>
      <c r="V154" s="357">
        <v>379876.52</v>
      </c>
      <c r="W154" s="357">
        <v>3478.86</v>
      </c>
      <c r="X154" s="357">
        <v>0</v>
      </c>
      <c r="Y154" s="357">
        <v>0</v>
      </c>
      <c r="Z154" s="357">
        <v>3478.86</v>
      </c>
      <c r="AA154" s="357">
        <v>376397.66</v>
      </c>
      <c r="AB154" s="357">
        <v>0</v>
      </c>
      <c r="AC154" s="357">
        <v>0</v>
      </c>
      <c r="AD154" s="357">
        <v>0</v>
      </c>
      <c r="AE154" s="357">
        <v>0</v>
      </c>
      <c r="AF154" s="357">
        <v>0</v>
      </c>
      <c r="AG154" s="357">
        <v>376397.66</v>
      </c>
      <c r="AH154" s="357">
        <v>0</v>
      </c>
      <c r="AI154" s="357">
        <v>0</v>
      </c>
      <c r="AJ154" s="357">
        <v>376397.66</v>
      </c>
      <c r="AK154" s="357">
        <v>376397.66</v>
      </c>
      <c r="AL154" s="357">
        <v>0</v>
      </c>
      <c r="AM154" s="357">
        <v>0</v>
      </c>
      <c r="AN154" s="357">
        <v>376397.66</v>
      </c>
      <c r="AO154" s="357">
        <v>5246767.28</v>
      </c>
      <c r="AP154" s="357">
        <v>0</v>
      </c>
      <c r="AQ154" s="357">
        <v>0</v>
      </c>
      <c r="AR154" s="357">
        <v>5246767.28</v>
      </c>
      <c r="AS154" s="357">
        <v>0</v>
      </c>
      <c r="AT154" s="357">
        <v>0</v>
      </c>
      <c r="AU154" s="357">
        <v>0</v>
      </c>
      <c r="AV154" s="357">
        <v>0</v>
      </c>
      <c r="AW154" s="357">
        <v>2964179.99</v>
      </c>
      <c r="AX154" s="357">
        <v>0</v>
      </c>
      <c r="AY154" s="357">
        <v>0</v>
      </c>
      <c r="AZ154" s="357">
        <v>2964179.99</v>
      </c>
      <c r="BA154" s="357">
        <v>2282587.29</v>
      </c>
      <c r="BB154" s="357">
        <v>0</v>
      </c>
      <c r="BC154" s="357">
        <v>0</v>
      </c>
      <c r="BD154" s="357">
        <v>2282587.29</v>
      </c>
      <c r="BE154" s="357">
        <v>15300666.6</v>
      </c>
      <c r="BF154" s="357">
        <v>0</v>
      </c>
      <c r="BG154" s="357">
        <v>0</v>
      </c>
      <c r="BH154" s="357">
        <v>15300666.6</v>
      </c>
      <c r="BI154" s="357">
        <v>7615.6</v>
      </c>
      <c r="BJ154" s="357">
        <v>0</v>
      </c>
      <c r="BK154" s="357">
        <v>0</v>
      </c>
      <c r="BL154" s="357">
        <v>7615.6</v>
      </c>
      <c r="BM154" s="357">
        <v>0</v>
      </c>
      <c r="BN154" s="357">
        <v>0</v>
      </c>
      <c r="BO154" s="357">
        <v>0</v>
      </c>
      <c r="BP154" s="357">
        <v>0</v>
      </c>
      <c r="BQ154" s="357">
        <v>17590869.5</v>
      </c>
      <c r="BR154" s="357">
        <v>0</v>
      </c>
      <c r="BS154" s="357">
        <v>0</v>
      </c>
      <c r="BT154" s="357">
        <v>0</v>
      </c>
      <c r="BU154" s="357">
        <v>0</v>
      </c>
      <c r="BV154" s="357">
        <v>0</v>
      </c>
      <c r="BW154" s="357">
        <v>17590869.5</v>
      </c>
      <c r="BX154" s="357">
        <v>0</v>
      </c>
      <c r="BY154" s="357">
        <v>0</v>
      </c>
      <c r="BZ154" s="357">
        <v>17590869.5</v>
      </c>
      <c r="CA154" s="357">
        <v>50000</v>
      </c>
      <c r="CB154" s="357">
        <v>0</v>
      </c>
      <c r="CC154" s="357">
        <v>0</v>
      </c>
      <c r="CD154" s="357">
        <v>50000</v>
      </c>
      <c r="CE154" s="357">
        <v>3231000</v>
      </c>
      <c r="CF154" s="357">
        <v>0</v>
      </c>
      <c r="CG154" s="357">
        <v>0</v>
      </c>
      <c r="CH154" s="357">
        <v>3231000</v>
      </c>
      <c r="CI154" s="357">
        <v>3281000</v>
      </c>
      <c r="CJ154" s="357">
        <v>0</v>
      </c>
      <c r="CK154" s="357">
        <v>0</v>
      </c>
      <c r="CL154" s="357">
        <v>0</v>
      </c>
      <c r="CM154" s="357">
        <v>0</v>
      </c>
      <c r="CN154" s="357">
        <v>0</v>
      </c>
      <c r="CO154" s="357">
        <v>3281000</v>
      </c>
      <c r="CP154" s="357">
        <v>0</v>
      </c>
      <c r="CQ154" s="357">
        <v>0</v>
      </c>
      <c r="CR154" s="357">
        <v>3281000</v>
      </c>
      <c r="CS154" s="357">
        <v>211361.95</v>
      </c>
      <c r="CT154" s="357">
        <v>0</v>
      </c>
      <c r="CU154" s="357">
        <v>0</v>
      </c>
      <c r="CV154" s="357">
        <v>211361.95</v>
      </c>
      <c r="CW154" s="357">
        <v>348889.91</v>
      </c>
      <c r="CX154" s="357">
        <v>0</v>
      </c>
      <c r="CY154" s="357">
        <v>0</v>
      </c>
      <c r="CZ154" s="357">
        <v>348889.91</v>
      </c>
      <c r="DA154" s="357">
        <v>0</v>
      </c>
      <c r="DB154" s="357">
        <v>0</v>
      </c>
      <c r="DC154" s="357">
        <v>0</v>
      </c>
      <c r="DD154" s="357">
        <v>0</v>
      </c>
      <c r="DE154" s="357">
        <v>0</v>
      </c>
      <c r="DF154" s="357">
        <v>0</v>
      </c>
      <c r="DG154" s="357">
        <v>0</v>
      </c>
      <c r="DH154" s="357">
        <v>0</v>
      </c>
      <c r="DI154" s="357">
        <v>0</v>
      </c>
      <c r="DJ154" s="357">
        <v>0</v>
      </c>
      <c r="DK154" s="357">
        <v>0</v>
      </c>
      <c r="DL154" s="357">
        <v>0</v>
      </c>
      <c r="DM154" s="357">
        <v>0</v>
      </c>
      <c r="DN154" s="357">
        <v>0</v>
      </c>
      <c r="DO154" s="357">
        <v>0</v>
      </c>
      <c r="DP154" s="357">
        <v>0</v>
      </c>
      <c r="DQ154" s="357">
        <v>560251.86</v>
      </c>
      <c r="DR154" s="357">
        <v>0</v>
      </c>
      <c r="DS154" s="357">
        <v>0</v>
      </c>
      <c r="DT154" s="357">
        <v>0</v>
      </c>
      <c r="DU154" s="357">
        <v>0</v>
      </c>
      <c r="DV154" s="357">
        <v>0</v>
      </c>
      <c r="DW154" s="357">
        <v>560251.86</v>
      </c>
      <c r="DX154" s="357">
        <v>0</v>
      </c>
      <c r="DY154" s="357">
        <v>0</v>
      </c>
      <c r="DZ154" s="357">
        <v>560251.86</v>
      </c>
      <c r="EA154" s="357">
        <v>0</v>
      </c>
      <c r="EB154" s="357">
        <v>0</v>
      </c>
      <c r="EC154" s="357">
        <v>198291</v>
      </c>
      <c r="ED154" s="357">
        <v>0</v>
      </c>
      <c r="EE154" s="357">
        <v>0</v>
      </c>
      <c r="EF154" s="357">
        <v>198291</v>
      </c>
      <c r="EG154" s="357">
        <v>0</v>
      </c>
      <c r="EH154" s="357">
        <v>0</v>
      </c>
      <c r="EI154" s="357">
        <v>0</v>
      </c>
      <c r="EJ154" s="357">
        <v>0</v>
      </c>
      <c r="EK154" s="357">
        <v>2941000</v>
      </c>
      <c r="EL154" s="357">
        <v>0</v>
      </c>
      <c r="EM154" s="357">
        <v>0</v>
      </c>
      <c r="EN154" s="357">
        <v>2941000</v>
      </c>
      <c r="EO154" s="357">
        <v>3139291</v>
      </c>
      <c r="EP154" s="357">
        <v>0</v>
      </c>
      <c r="EQ154" s="357">
        <v>0</v>
      </c>
      <c r="ER154" s="357">
        <v>0</v>
      </c>
      <c r="ES154" s="357">
        <v>0</v>
      </c>
      <c r="ET154" s="357">
        <v>0</v>
      </c>
      <c r="EU154" s="357">
        <v>3139291</v>
      </c>
      <c r="EV154" s="357">
        <v>0</v>
      </c>
      <c r="EW154" s="357">
        <v>0</v>
      </c>
      <c r="EX154" s="357">
        <v>3139291</v>
      </c>
      <c r="EY154" s="357">
        <v>125905299</v>
      </c>
      <c r="EZ154" s="357">
        <v>0</v>
      </c>
      <c r="FA154" s="357">
        <v>0</v>
      </c>
      <c r="FB154" s="357">
        <v>125905299</v>
      </c>
      <c r="FC154" s="277">
        <v>0</v>
      </c>
      <c r="FD154" s="205"/>
    </row>
    <row r="155" spans="1:160" ht="12.75">
      <c r="A155" s="169">
        <v>148</v>
      </c>
      <c r="B155" s="172" t="s">
        <v>204</v>
      </c>
      <c r="C155" s="258" t="s">
        <v>205</v>
      </c>
      <c r="D155" s="235">
        <v>311213</v>
      </c>
      <c r="E155" s="357">
        <v>163523126</v>
      </c>
      <c r="F155" s="357">
        <v>0</v>
      </c>
      <c r="G155" s="357">
        <v>0</v>
      </c>
      <c r="H155" s="357">
        <v>163523126</v>
      </c>
      <c r="I155" s="357">
        <v>77019392</v>
      </c>
      <c r="J155" s="357">
        <v>0</v>
      </c>
      <c r="K155" s="357">
        <v>0</v>
      </c>
      <c r="L155" s="357">
        <v>0</v>
      </c>
      <c r="M155" s="357">
        <v>0</v>
      </c>
      <c r="N155" s="357">
        <v>0</v>
      </c>
      <c r="O155" s="357">
        <v>77019392</v>
      </c>
      <c r="P155" s="357">
        <v>0</v>
      </c>
      <c r="Q155" s="357">
        <v>0</v>
      </c>
      <c r="R155" s="357">
        <v>77019392</v>
      </c>
      <c r="S155" s="357">
        <v>16952043</v>
      </c>
      <c r="T155" s="357">
        <v>0</v>
      </c>
      <c r="U155" s="357">
        <v>0</v>
      </c>
      <c r="V155" s="357">
        <v>16952043</v>
      </c>
      <c r="W155" s="357">
        <v>0</v>
      </c>
      <c r="X155" s="357">
        <v>0</v>
      </c>
      <c r="Y155" s="357">
        <v>0</v>
      </c>
      <c r="Z155" s="357">
        <v>0</v>
      </c>
      <c r="AA155" s="357">
        <v>16952043</v>
      </c>
      <c r="AB155" s="357">
        <v>0</v>
      </c>
      <c r="AC155" s="357">
        <v>0</v>
      </c>
      <c r="AD155" s="357">
        <v>0</v>
      </c>
      <c r="AE155" s="357">
        <v>0</v>
      </c>
      <c r="AF155" s="357">
        <v>0</v>
      </c>
      <c r="AG155" s="357">
        <v>16952043</v>
      </c>
      <c r="AH155" s="357">
        <v>0</v>
      </c>
      <c r="AI155" s="357">
        <v>0</v>
      </c>
      <c r="AJ155" s="357">
        <v>16952043</v>
      </c>
      <c r="AK155" s="357">
        <v>16952043</v>
      </c>
      <c r="AL155" s="357">
        <v>0</v>
      </c>
      <c r="AM155" s="357">
        <v>0</v>
      </c>
      <c r="AN155" s="357">
        <v>16952043</v>
      </c>
      <c r="AO155" s="357">
        <v>3206450</v>
      </c>
      <c r="AP155" s="357">
        <v>0</v>
      </c>
      <c r="AQ155" s="357">
        <v>0</v>
      </c>
      <c r="AR155" s="357">
        <v>3206450</v>
      </c>
      <c r="AS155" s="357">
        <v>0</v>
      </c>
      <c r="AT155" s="357">
        <v>0</v>
      </c>
      <c r="AU155" s="357">
        <v>0</v>
      </c>
      <c r="AV155" s="357">
        <v>0</v>
      </c>
      <c r="AW155" s="357">
        <v>1608470</v>
      </c>
      <c r="AX155" s="357">
        <v>0</v>
      </c>
      <c r="AY155" s="357">
        <v>0</v>
      </c>
      <c r="AZ155" s="357">
        <v>1608470</v>
      </c>
      <c r="BA155" s="357">
        <v>1597980</v>
      </c>
      <c r="BB155" s="357">
        <v>0</v>
      </c>
      <c r="BC155" s="357">
        <v>0</v>
      </c>
      <c r="BD155" s="357">
        <v>1597980</v>
      </c>
      <c r="BE155" s="357">
        <v>3275342</v>
      </c>
      <c r="BF155" s="357">
        <v>0</v>
      </c>
      <c r="BG155" s="357">
        <v>0</v>
      </c>
      <c r="BH155" s="357">
        <v>3275342</v>
      </c>
      <c r="BI155" s="357">
        <v>43062</v>
      </c>
      <c r="BJ155" s="357">
        <v>0</v>
      </c>
      <c r="BK155" s="357">
        <v>0</v>
      </c>
      <c r="BL155" s="357">
        <v>43062</v>
      </c>
      <c r="BM155" s="357">
        <v>29785</v>
      </c>
      <c r="BN155" s="357">
        <v>0</v>
      </c>
      <c r="BO155" s="357">
        <v>0</v>
      </c>
      <c r="BP155" s="357">
        <v>29785</v>
      </c>
      <c r="BQ155" s="357">
        <v>4946169</v>
      </c>
      <c r="BR155" s="357">
        <v>0</v>
      </c>
      <c r="BS155" s="357">
        <v>0</v>
      </c>
      <c r="BT155" s="357">
        <v>126370</v>
      </c>
      <c r="BU155" s="357">
        <v>0</v>
      </c>
      <c r="BV155" s="357">
        <v>0</v>
      </c>
      <c r="BW155" s="357">
        <v>5072539</v>
      </c>
      <c r="BX155" s="357">
        <v>0</v>
      </c>
      <c r="BY155" s="357">
        <v>0</v>
      </c>
      <c r="BZ155" s="357">
        <v>5072539</v>
      </c>
      <c r="CA155" s="357">
        <v>0</v>
      </c>
      <c r="CB155" s="357">
        <v>0</v>
      </c>
      <c r="CC155" s="357">
        <v>0</v>
      </c>
      <c r="CD155" s="357">
        <v>0</v>
      </c>
      <c r="CE155" s="357">
        <v>1378154</v>
      </c>
      <c r="CF155" s="357">
        <v>0</v>
      </c>
      <c r="CG155" s="357">
        <v>0</v>
      </c>
      <c r="CH155" s="357">
        <v>1378154</v>
      </c>
      <c r="CI155" s="357">
        <v>1378154</v>
      </c>
      <c r="CJ155" s="357">
        <v>0</v>
      </c>
      <c r="CK155" s="357">
        <v>0</v>
      </c>
      <c r="CL155" s="357">
        <v>78533</v>
      </c>
      <c r="CM155" s="357">
        <v>0</v>
      </c>
      <c r="CN155" s="357">
        <v>0</v>
      </c>
      <c r="CO155" s="357">
        <v>1456687</v>
      </c>
      <c r="CP155" s="357">
        <v>0</v>
      </c>
      <c r="CQ155" s="357">
        <v>0</v>
      </c>
      <c r="CR155" s="357">
        <v>1456687</v>
      </c>
      <c r="CS155" s="357">
        <v>101463</v>
      </c>
      <c r="CT155" s="357">
        <v>0</v>
      </c>
      <c r="CU155" s="357">
        <v>0</v>
      </c>
      <c r="CV155" s="357">
        <v>101463</v>
      </c>
      <c r="CW155" s="357">
        <v>25275</v>
      </c>
      <c r="CX155" s="357">
        <v>0</v>
      </c>
      <c r="CY155" s="357">
        <v>0</v>
      </c>
      <c r="CZ155" s="357">
        <v>25275</v>
      </c>
      <c r="DA155" s="357">
        <v>2473</v>
      </c>
      <c r="DB155" s="357">
        <v>0</v>
      </c>
      <c r="DC155" s="357">
        <v>0</v>
      </c>
      <c r="DD155" s="357">
        <v>2473</v>
      </c>
      <c r="DE155" s="357">
        <v>4193</v>
      </c>
      <c r="DF155" s="357">
        <v>0</v>
      </c>
      <c r="DG155" s="357">
        <v>0</v>
      </c>
      <c r="DH155" s="357">
        <v>4193</v>
      </c>
      <c r="DI155" s="357">
        <v>0</v>
      </c>
      <c r="DJ155" s="357">
        <v>0</v>
      </c>
      <c r="DK155" s="357">
        <v>0</v>
      </c>
      <c r="DL155" s="357">
        <v>0</v>
      </c>
      <c r="DM155" s="357">
        <v>0</v>
      </c>
      <c r="DN155" s="357">
        <v>0</v>
      </c>
      <c r="DO155" s="357">
        <v>0</v>
      </c>
      <c r="DP155" s="357">
        <v>0</v>
      </c>
      <c r="DQ155" s="357">
        <v>133404</v>
      </c>
      <c r="DR155" s="357">
        <v>0</v>
      </c>
      <c r="DS155" s="357">
        <v>0</v>
      </c>
      <c r="DT155" s="357">
        <v>-2901</v>
      </c>
      <c r="DU155" s="357">
        <v>0</v>
      </c>
      <c r="DV155" s="357">
        <v>0</v>
      </c>
      <c r="DW155" s="357">
        <v>130503</v>
      </c>
      <c r="DX155" s="357">
        <v>0</v>
      </c>
      <c r="DY155" s="357">
        <v>0</v>
      </c>
      <c r="DZ155" s="357">
        <v>130503</v>
      </c>
      <c r="EA155" s="357">
        <v>0</v>
      </c>
      <c r="EB155" s="357">
        <v>0</v>
      </c>
      <c r="EC155" s="357">
        <v>0</v>
      </c>
      <c r="ED155" s="357">
        <v>0</v>
      </c>
      <c r="EE155" s="357">
        <v>0</v>
      </c>
      <c r="EF155" s="357">
        <v>0</v>
      </c>
      <c r="EG155" s="357">
        <v>35258</v>
      </c>
      <c r="EH155" s="357">
        <v>0</v>
      </c>
      <c r="EI155" s="357">
        <v>0</v>
      </c>
      <c r="EJ155" s="357">
        <v>35258</v>
      </c>
      <c r="EK155" s="357">
        <v>657238</v>
      </c>
      <c r="EL155" s="357">
        <v>0</v>
      </c>
      <c r="EM155" s="357">
        <v>0</v>
      </c>
      <c r="EN155" s="357">
        <v>657238</v>
      </c>
      <c r="EO155" s="357">
        <v>692496</v>
      </c>
      <c r="EP155" s="357">
        <v>0</v>
      </c>
      <c r="EQ155" s="357">
        <v>0</v>
      </c>
      <c r="ER155" s="357">
        <v>0</v>
      </c>
      <c r="ES155" s="357">
        <v>0</v>
      </c>
      <c r="ET155" s="357">
        <v>0</v>
      </c>
      <c r="EU155" s="357">
        <v>692496</v>
      </c>
      <c r="EV155" s="357">
        <v>0</v>
      </c>
      <c r="EW155" s="357">
        <v>0</v>
      </c>
      <c r="EX155" s="357">
        <v>692496</v>
      </c>
      <c r="EY155" s="357">
        <v>52715124</v>
      </c>
      <c r="EZ155" s="357">
        <v>0</v>
      </c>
      <c r="FA155" s="357">
        <v>0</v>
      </c>
      <c r="FB155" s="357">
        <v>52715124</v>
      </c>
      <c r="FC155" s="277">
        <v>0</v>
      </c>
      <c r="FD155" s="205"/>
    </row>
    <row r="156" spans="1:160" ht="12.75">
      <c r="A156" s="169">
        <v>149</v>
      </c>
      <c r="B156" s="172" t="s">
        <v>206</v>
      </c>
      <c r="C156" s="258" t="s">
        <v>207</v>
      </c>
      <c r="D156" s="235">
        <v>311213</v>
      </c>
      <c r="E156" s="357">
        <v>929737460</v>
      </c>
      <c r="F156" s="357">
        <v>0</v>
      </c>
      <c r="G156" s="357">
        <v>1945000</v>
      </c>
      <c r="H156" s="357">
        <v>931682460</v>
      </c>
      <c r="I156" s="357">
        <v>437906344</v>
      </c>
      <c r="J156" s="357">
        <v>0</v>
      </c>
      <c r="K156" s="357">
        <v>916095</v>
      </c>
      <c r="L156" s="357">
        <v>1000000</v>
      </c>
      <c r="M156" s="357">
        <v>0</v>
      </c>
      <c r="N156" s="357">
        <v>100000</v>
      </c>
      <c r="O156" s="357">
        <v>438906344</v>
      </c>
      <c r="P156" s="357">
        <v>0</v>
      </c>
      <c r="Q156" s="357">
        <v>1016095</v>
      </c>
      <c r="R156" s="357">
        <v>439922439</v>
      </c>
      <c r="S156" s="357">
        <v>559111</v>
      </c>
      <c r="T156" s="357">
        <v>0</v>
      </c>
      <c r="U156" s="357">
        <v>0</v>
      </c>
      <c r="V156" s="357">
        <v>559111</v>
      </c>
      <c r="W156" s="357">
        <v>74166</v>
      </c>
      <c r="X156" s="357">
        <v>0</v>
      </c>
      <c r="Y156" s="357">
        <v>0</v>
      </c>
      <c r="Z156" s="357">
        <v>74166</v>
      </c>
      <c r="AA156" s="357">
        <v>484945</v>
      </c>
      <c r="AB156" s="357">
        <v>0</v>
      </c>
      <c r="AC156" s="357">
        <v>0</v>
      </c>
      <c r="AD156" s="357">
        <v>0</v>
      </c>
      <c r="AE156" s="357">
        <v>0</v>
      </c>
      <c r="AF156" s="357">
        <v>0</v>
      </c>
      <c r="AG156" s="357">
        <v>484945</v>
      </c>
      <c r="AH156" s="357">
        <v>0</v>
      </c>
      <c r="AI156" s="357">
        <v>0</v>
      </c>
      <c r="AJ156" s="357">
        <v>484945</v>
      </c>
      <c r="AK156" s="357">
        <v>484945</v>
      </c>
      <c r="AL156" s="357">
        <v>0</v>
      </c>
      <c r="AM156" s="357">
        <v>0</v>
      </c>
      <c r="AN156" s="357">
        <v>484945</v>
      </c>
      <c r="AO156" s="357">
        <v>15389574</v>
      </c>
      <c r="AP156" s="357">
        <v>0</v>
      </c>
      <c r="AQ156" s="357">
        <v>0</v>
      </c>
      <c r="AR156" s="357">
        <v>15389574</v>
      </c>
      <c r="AS156" s="357">
        <v>10000</v>
      </c>
      <c r="AT156" s="357">
        <v>0</v>
      </c>
      <c r="AU156" s="357">
        <v>0</v>
      </c>
      <c r="AV156" s="357">
        <v>10000</v>
      </c>
      <c r="AW156" s="357">
        <v>9168047</v>
      </c>
      <c r="AX156" s="357">
        <v>0</v>
      </c>
      <c r="AY156" s="357">
        <v>21395</v>
      </c>
      <c r="AZ156" s="357">
        <v>9189442</v>
      </c>
      <c r="BA156" s="357">
        <v>6221527</v>
      </c>
      <c r="BB156" s="357">
        <v>0</v>
      </c>
      <c r="BC156" s="357">
        <v>-21395</v>
      </c>
      <c r="BD156" s="357">
        <v>6200132</v>
      </c>
      <c r="BE156" s="357">
        <v>21219679</v>
      </c>
      <c r="BF156" s="357">
        <v>0</v>
      </c>
      <c r="BG156" s="357">
        <v>0</v>
      </c>
      <c r="BH156" s="357">
        <v>21219679</v>
      </c>
      <c r="BI156" s="357">
        <v>296977</v>
      </c>
      <c r="BJ156" s="357">
        <v>0</v>
      </c>
      <c r="BK156" s="357">
        <v>0</v>
      </c>
      <c r="BL156" s="357">
        <v>296977</v>
      </c>
      <c r="BM156" s="357">
        <v>11134</v>
      </c>
      <c r="BN156" s="357">
        <v>0</v>
      </c>
      <c r="BO156" s="357">
        <v>0</v>
      </c>
      <c r="BP156" s="357">
        <v>11134</v>
      </c>
      <c r="BQ156" s="357">
        <v>27749317</v>
      </c>
      <c r="BR156" s="357">
        <v>0</v>
      </c>
      <c r="BS156" s="357">
        <v>-21395</v>
      </c>
      <c r="BT156" s="357">
        <v>700000</v>
      </c>
      <c r="BU156" s="357">
        <v>0</v>
      </c>
      <c r="BV156" s="357">
        <v>0</v>
      </c>
      <c r="BW156" s="357">
        <v>28449317</v>
      </c>
      <c r="BX156" s="357">
        <v>0</v>
      </c>
      <c r="BY156" s="357">
        <v>-21395</v>
      </c>
      <c r="BZ156" s="357">
        <v>28427922</v>
      </c>
      <c r="CA156" s="357">
        <v>500000</v>
      </c>
      <c r="CB156" s="357">
        <v>0</v>
      </c>
      <c r="CC156" s="357">
        <v>0</v>
      </c>
      <c r="CD156" s="357">
        <v>500000</v>
      </c>
      <c r="CE156" s="357">
        <v>22500000</v>
      </c>
      <c r="CF156" s="357">
        <v>0</v>
      </c>
      <c r="CG156" s="357">
        <v>0</v>
      </c>
      <c r="CH156" s="357">
        <v>22500000</v>
      </c>
      <c r="CI156" s="357">
        <v>23000000</v>
      </c>
      <c r="CJ156" s="357">
        <v>0</v>
      </c>
      <c r="CK156" s="357">
        <v>0</v>
      </c>
      <c r="CL156" s="357">
        <v>0</v>
      </c>
      <c r="CM156" s="357">
        <v>0</v>
      </c>
      <c r="CN156" s="357">
        <v>0</v>
      </c>
      <c r="CO156" s="357">
        <v>23000000</v>
      </c>
      <c r="CP156" s="357">
        <v>0</v>
      </c>
      <c r="CQ156" s="357">
        <v>0</v>
      </c>
      <c r="CR156" s="357">
        <v>23000000</v>
      </c>
      <c r="CS156" s="357">
        <v>50503</v>
      </c>
      <c r="CT156" s="357">
        <v>0</v>
      </c>
      <c r="CU156" s="357">
        <v>0</v>
      </c>
      <c r="CV156" s="357">
        <v>50503</v>
      </c>
      <c r="CW156" s="357">
        <v>500000</v>
      </c>
      <c r="CX156" s="357">
        <v>0</v>
      </c>
      <c r="CY156" s="357">
        <v>0</v>
      </c>
      <c r="CZ156" s="357">
        <v>500000</v>
      </c>
      <c r="DA156" s="357">
        <v>20345</v>
      </c>
      <c r="DB156" s="357">
        <v>0</v>
      </c>
      <c r="DC156" s="357">
        <v>0</v>
      </c>
      <c r="DD156" s="357">
        <v>20345</v>
      </c>
      <c r="DE156" s="357">
        <v>6266</v>
      </c>
      <c r="DF156" s="357">
        <v>0</v>
      </c>
      <c r="DG156" s="357">
        <v>0</v>
      </c>
      <c r="DH156" s="357">
        <v>6266</v>
      </c>
      <c r="DI156" s="357">
        <v>7499</v>
      </c>
      <c r="DJ156" s="357">
        <v>0</v>
      </c>
      <c r="DK156" s="357">
        <v>0</v>
      </c>
      <c r="DL156" s="357">
        <v>7499</v>
      </c>
      <c r="DM156" s="357">
        <v>500000</v>
      </c>
      <c r="DN156" s="357">
        <v>0</v>
      </c>
      <c r="DO156" s="357">
        <v>165000</v>
      </c>
      <c r="DP156" s="357">
        <v>665000</v>
      </c>
      <c r="DQ156" s="357">
        <v>1084613</v>
      </c>
      <c r="DR156" s="357">
        <v>0</v>
      </c>
      <c r="DS156" s="357">
        <v>165000</v>
      </c>
      <c r="DT156" s="357">
        <v>0</v>
      </c>
      <c r="DU156" s="357">
        <v>0</v>
      </c>
      <c r="DV156" s="357">
        <v>55000</v>
      </c>
      <c r="DW156" s="357">
        <v>1084613</v>
      </c>
      <c r="DX156" s="357">
        <v>0</v>
      </c>
      <c r="DY156" s="357">
        <v>220000</v>
      </c>
      <c r="DZ156" s="357">
        <v>1304613</v>
      </c>
      <c r="EA156" s="357">
        <v>220000</v>
      </c>
      <c r="EB156" s="357">
        <v>0</v>
      </c>
      <c r="EC156" s="357">
        <v>200000</v>
      </c>
      <c r="ED156" s="357">
        <v>0</v>
      </c>
      <c r="EE156" s="357">
        <v>0</v>
      </c>
      <c r="EF156" s="357">
        <v>200000</v>
      </c>
      <c r="EG156" s="357">
        <v>200000</v>
      </c>
      <c r="EH156" s="357">
        <v>0</v>
      </c>
      <c r="EI156" s="357">
        <v>0</v>
      </c>
      <c r="EJ156" s="357">
        <v>200000</v>
      </c>
      <c r="EK156" s="357">
        <v>3000000</v>
      </c>
      <c r="EL156" s="357">
        <v>0</v>
      </c>
      <c r="EM156" s="357">
        <v>0</v>
      </c>
      <c r="EN156" s="357">
        <v>3000000</v>
      </c>
      <c r="EO156" s="357">
        <v>3400000</v>
      </c>
      <c r="EP156" s="357">
        <v>0</v>
      </c>
      <c r="EQ156" s="357">
        <v>0</v>
      </c>
      <c r="ER156" s="357">
        <v>0</v>
      </c>
      <c r="ES156" s="357">
        <v>0</v>
      </c>
      <c r="ET156" s="357">
        <v>0</v>
      </c>
      <c r="EU156" s="357">
        <v>3400000</v>
      </c>
      <c r="EV156" s="357">
        <v>0</v>
      </c>
      <c r="EW156" s="357">
        <v>0</v>
      </c>
      <c r="EX156" s="357">
        <v>3400000</v>
      </c>
      <c r="EY156" s="357">
        <v>382487469</v>
      </c>
      <c r="EZ156" s="357">
        <v>0</v>
      </c>
      <c r="FA156" s="357">
        <v>817490</v>
      </c>
      <c r="FB156" s="357">
        <v>383304959</v>
      </c>
      <c r="FC156" s="277">
        <v>0</v>
      </c>
      <c r="FD156" s="205"/>
    </row>
    <row r="157" spans="1:160" ht="12.75">
      <c r="A157" s="169">
        <v>150</v>
      </c>
      <c r="B157" s="172" t="s">
        <v>208</v>
      </c>
      <c r="C157" s="258" t="s">
        <v>209</v>
      </c>
      <c r="D157" s="235">
        <v>41639</v>
      </c>
      <c r="E157" s="357">
        <v>260342986</v>
      </c>
      <c r="F157" s="357">
        <v>0</v>
      </c>
      <c r="G157" s="357">
        <v>0</v>
      </c>
      <c r="H157" s="357">
        <v>260342986</v>
      </c>
      <c r="I157" s="357">
        <v>122621546</v>
      </c>
      <c r="J157" s="357">
        <v>0</v>
      </c>
      <c r="K157" s="357">
        <v>0</v>
      </c>
      <c r="L157" s="357">
        <v>1522218</v>
      </c>
      <c r="M157" s="357">
        <v>0</v>
      </c>
      <c r="N157" s="357">
        <v>0</v>
      </c>
      <c r="O157" s="357">
        <v>124143764</v>
      </c>
      <c r="P157" s="357">
        <v>0</v>
      </c>
      <c r="Q157" s="357">
        <v>0</v>
      </c>
      <c r="R157" s="357">
        <v>124143764</v>
      </c>
      <c r="S157" s="357">
        <v>17856.03</v>
      </c>
      <c r="T157" s="357">
        <v>0</v>
      </c>
      <c r="U157" s="357">
        <v>0</v>
      </c>
      <c r="V157" s="357">
        <v>17856.03</v>
      </c>
      <c r="W157" s="357">
        <v>43564.2</v>
      </c>
      <c r="X157" s="357">
        <v>0</v>
      </c>
      <c r="Y157" s="357">
        <v>0</v>
      </c>
      <c r="Z157" s="357">
        <v>43564.2</v>
      </c>
      <c r="AA157" s="357">
        <v>-25708.17</v>
      </c>
      <c r="AB157" s="357">
        <v>0</v>
      </c>
      <c r="AC157" s="357">
        <v>0</v>
      </c>
      <c r="AD157" s="357">
        <v>0</v>
      </c>
      <c r="AE157" s="357">
        <v>0</v>
      </c>
      <c r="AF157" s="357">
        <v>0</v>
      </c>
      <c r="AG157" s="357">
        <v>-25708.17</v>
      </c>
      <c r="AH157" s="357">
        <v>0</v>
      </c>
      <c r="AI157" s="357">
        <v>0</v>
      </c>
      <c r="AJ157" s="357">
        <v>-25708.17</v>
      </c>
      <c r="AK157" s="357">
        <v>-25708.17</v>
      </c>
      <c r="AL157" s="357">
        <v>0</v>
      </c>
      <c r="AM157" s="357">
        <v>0</v>
      </c>
      <c r="AN157" s="357">
        <v>-25708.17</v>
      </c>
      <c r="AO157" s="357">
        <v>7846568.14</v>
      </c>
      <c r="AP157" s="357">
        <v>0</v>
      </c>
      <c r="AQ157" s="357">
        <v>0</v>
      </c>
      <c r="AR157" s="357">
        <v>7846568.14</v>
      </c>
      <c r="AS157" s="357">
        <v>60000</v>
      </c>
      <c r="AT157" s="357">
        <v>0</v>
      </c>
      <c r="AU157" s="357">
        <v>0</v>
      </c>
      <c r="AV157" s="357">
        <v>60000</v>
      </c>
      <c r="AW157" s="357">
        <v>2377544.91</v>
      </c>
      <c r="AX157" s="357">
        <v>0</v>
      </c>
      <c r="AY157" s="357">
        <v>0</v>
      </c>
      <c r="AZ157" s="357">
        <v>2377544.91</v>
      </c>
      <c r="BA157" s="357">
        <v>5469023.23</v>
      </c>
      <c r="BB157" s="357">
        <v>0</v>
      </c>
      <c r="BC157" s="357">
        <v>0</v>
      </c>
      <c r="BD157" s="357">
        <v>5469023.23</v>
      </c>
      <c r="BE157" s="357">
        <v>7603657.46</v>
      </c>
      <c r="BF157" s="357">
        <v>0</v>
      </c>
      <c r="BG157" s="357">
        <v>0</v>
      </c>
      <c r="BH157" s="357">
        <v>7603657.46</v>
      </c>
      <c r="BI157" s="357">
        <v>42358.16</v>
      </c>
      <c r="BJ157" s="357">
        <v>0</v>
      </c>
      <c r="BK157" s="357">
        <v>0</v>
      </c>
      <c r="BL157" s="357">
        <v>42358.16</v>
      </c>
      <c r="BM157" s="357">
        <v>0</v>
      </c>
      <c r="BN157" s="357">
        <v>0</v>
      </c>
      <c r="BO157" s="357">
        <v>0</v>
      </c>
      <c r="BP157" s="357">
        <v>0</v>
      </c>
      <c r="BQ157" s="357">
        <v>13115038.9</v>
      </c>
      <c r="BR157" s="357">
        <v>0</v>
      </c>
      <c r="BS157" s="357">
        <v>0</v>
      </c>
      <c r="BT157" s="357">
        <v>763000</v>
      </c>
      <c r="BU157" s="357">
        <v>0</v>
      </c>
      <c r="BV157" s="357">
        <v>0</v>
      </c>
      <c r="BW157" s="357">
        <v>13878038.9</v>
      </c>
      <c r="BX157" s="357">
        <v>0</v>
      </c>
      <c r="BY157" s="357">
        <v>0</v>
      </c>
      <c r="BZ157" s="357">
        <v>13878038.9</v>
      </c>
      <c r="CA157" s="357">
        <v>100000</v>
      </c>
      <c r="CB157" s="357">
        <v>0</v>
      </c>
      <c r="CC157" s="357">
        <v>0</v>
      </c>
      <c r="CD157" s="357">
        <v>100000</v>
      </c>
      <c r="CE157" s="357">
        <v>3992767</v>
      </c>
      <c r="CF157" s="357">
        <v>0</v>
      </c>
      <c r="CG157" s="357">
        <v>0</v>
      </c>
      <c r="CH157" s="357">
        <v>3992767</v>
      </c>
      <c r="CI157" s="357">
        <v>4092767</v>
      </c>
      <c r="CJ157" s="357">
        <v>0</v>
      </c>
      <c r="CK157" s="357">
        <v>0</v>
      </c>
      <c r="CL157" s="357">
        <v>0</v>
      </c>
      <c r="CM157" s="357">
        <v>0</v>
      </c>
      <c r="CN157" s="357">
        <v>0</v>
      </c>
      <c r="CO157" s="357">
        <v>4092767</v>
      </c>
      <c r="CP157" s="357">
        <v>0</v>
      </c>
      <c r="CQ157" s="357">
        <v>0</v>
      </c>
      <c r="CR157" s="357">
        <v>4092767</v>
      </c>
      <c r="CS157" s="357">
        <v>337631.58</v>
      </c>
      <c r="CT157" s="357">
        <v>0</v>
      </c>
      <c r="CU157" s="357">
        <v>0</v>
      </c>
      <c r="CV157" s="357">
        <v>337631.58</v>
      </c>
      <c r="CW157" s="357">
        <v>145924.76</v>
      </c>
      <c r="CX157" s="357">
        <v>0</v>
      </c>
      <c r="CY157" s="357">
        <v>0</v>
      </c>
      <c r="CZ157" s="357">
        <v>145924.76</v>
      </c>
      <c r="DA157" s="357">
        <v>0</v>
      </c>
      <c r="DB157" s="357">
        <v>0</v>
      </c>
      <c r="DC157" s="357">
        <v>0</v>
      </c>
      <c r="DD157" s="357">
        <v>0</v>
      </c>
      <c r="DE157" s="357">
        <v>0</v>
      </c>
      <c r="DF157" s="357">
        <v>0</v>
      </c>
      <c r="DG157" s="357">
        <v>0</v>
      </c>
      <c r="DH157" s="357">
        <v>0</v>
      </c>
      <c r="DI157" s="357">
        <v>0</v>
      </c>
      <c r="DJ157" s="357">
        <v>0</v>
      </c>
      <c r="DK157" s="357">
        <v>0</v>
      </c>
      <c r="DL157" s="357">
        <v>0</v>
      </c>
      <c r="DM157" s="357">
        <v>0</v>
      </c>
      <c r="DN157" s="357">
        <v>0</v>
      </c>
      <c r="DO157" s="357">
        <v>0</v>
      </c>
      <c r="DP157" s="357">
        <v>0</v>
      </c>
      <c r="DQ157" s="357">
        <v>483556.34</v>
      </c>
      <c r="DR157" s="357">
        <v>0</v>
      </c>
      <c r="DS157" s="357">
        <v>0</v>
      </c>
      <c r="DT157" s="357">
        <v>0</v>
      </c>
      <c r="DU157" s="357">
        <v>0</v>
      </c>
      <c r="DV157" s="357">
        <v>0</v>
      </c>
      <c r="DW157" s="357">
        <v>483556.34</v>
      </c>
      <c r="DX157" s="357">
        <v>0</v>
      </c>
      <c r="DY157" s="357">
        <v>0</v>
      </c>
      <c r="DZ157" s="357">
        <v>483556.34</v>
      </c>
      <c r="EA157" s="357">
        <v>0</v>
      </c>
      <c r="EB157" s="357">
        <v>0</v>
      </c>
      <c r="EC157" s="357">
        <v>120000</v>
      </c>
      <c r="ED157" s="357">
        <v>0</v>
      </c>
      <c r="EE157" s="357">
        <v>0</v>
      </c>
      <c r="EF157" s="357">
        <v>120000</v>
      </c>
      <c r="EG157" s="357">
        <v>380480</v>
      </c>
      <c r="EH157" s="357">
        <v>0</v>
      </c>
      <c r="EI157" s="357">
        <v>0</v>
      </c>
      <c r="EJ157" s="357">
        <v>380480</v>
      </c>
      <c r="EK157" s="357">
        <v>1750000</v>
      </c>
      <c r="EL157" s="357">
        <v>0</v>
      </c>
      <c r="EM157" s="357">
        <v>0</v>
      </c>
      <c r="EN157" s="357">
        <v>1750000</v>
      </c>
      <c r="EO157" s="357">
        <v>2250480</v>
      </c>
      <c r="EP157" s="357">
        <v>0</v>
      </c>
      <c r="EQ157" s="357">
        <v>0</v>
      </c>
      <c r="ER157" s="357">
        <v>0</v>
      </c>
      <c r="ES157" s="357">
        <v>0</v>
      </c>
      <c r="ET157" s="357">
        <v>0</v>
      </c>
      <c r="EU157" s="357">
        <v>2250480</v>
      </c>
      <c r="EV157" s="357">
        <v>0</v>
      </c>
      <c r="EW157" s="357">
        <v>0</v>
      </c>
      <c r="EX157" s="357">
        <v>2250480</v>
      </c>
      <c r="EY157" s="357">
        <v>103464630</v>
      </c>
      <c r="EZ157" s="357">
        <v>0</v>
      </c>
      <c r="FA157" s="357">
        <v>0</v>
      </c>
      <c r="FB157" s="357">
        <v>103464630</v>
      </c>
      <c r="FC157" s="277">
        <v>0</v>
      </c>
      <c r="FD157" s="205"/>
    </row>
    <row r="158" spans="1:160" ht="12.75">
      <c r="A158" s="169">
        <v>151</v>
      </c>
      <c r="B158" s="172" t="s">
        <v>210</v>
      </c>
      <c r="C158" s="258" t="s">
        <v>211</v>
      </c>
      <c r="D158" s="235">
        <v>240114</v>
      </c>
      <c r="E158" s="357">
        <v>62246656</v>
      </c>
      <c r="F158" s="357">
        <v>0</v>
      </c>
      <c r="G158" s="357">
        <v>0</v>
      </c>
      <c r="H158" s="357">
        <v>62246656</v>
      </c>
      <c r="I158" s="357">
        <v>29318175</v>
      </c>
      <c r="J158" s="357">
        <v>0</v>
      </c>
      <c r="K158" s="357">
        <v>0</v>
      </c>
      <c r="L158" s="357">
        <v>87500</v>
      </c>
      <c r="M158" s="357">
        <v>0</v>
      </c>
      <c r="N158" s="357">
        <v>0</v>
      </c>
      <c r="O158" s="357">
        <v>29405675</v>
      </c>
      <c r="P158" s="357">
        <v>0</v>
      </c>
      <c r="Q158" s="357">
        <v>0</v>
      </c>
      <c r="R158" s="357">
        <v>29405675</v>
      </c>
      <c r="S158" s="357">
        <v>80915.08</v>
      </c>
      <c r="T158" s="357">
        <v>0</v>
      </c>
      <c r="U158" s="357">
        <v>0</v>
      </c>
      <c r="V158" s="357">
        <v>80915.08</v>
      </c>
      <c r="W158" s="357">
        <v>6457</v>
      </c>
      <c r="X158" s="357">
        <v>0</v>
      </c>
      <c r="Y158" s="357">
        <v>0</v>
      </c>
      <c r="Z158" s="357">
        <v>6457</v>
      </c>
      <c r="AA158" s="357">
        <v>74458.08</v>
      </c>
      <c r="AB158" s="357">
        <v>0</v>
      </c>
      <c r="AC158" s="357">
        <v>0</v>
      </c>
      <c r="AD158" s="357">
        <v>0</v>
      </c>
      <c r="AE158" s="357">
        <v>0</v>
      </c>
      <c r="AF158" s="357">
        <v>0</v>
      </c>
      <c r="AG158" s="357">
        <v>74458.08</v>
      </c>
      <c r="AH158" s="357">
        <v>0</v>
      </c>
      <c r="AI158" s="357">
        <v>0</v>
      </c>
      <c r="AJ158" s="357">
        <v>74458.08</v>
      </c>
      <c r="AK158" s="357">
        <v>74458.08</v>
      </c>
      <c r="AL158" s="357">
        <v>0</v>
      </c>
      <c r="AM158" s="357">
        <v>0</v>
      </c>
      <c r="AN158" s="357">
        <v>74458.08</v>
      </c>
      <c r="AO158" s="357">
        <v>2126096.97</v>
      </c>
      <c r="AP158" s="357">
        <v>0</v>
      </c>
      <c r="AQ158" s="357">
        <v>0</v>
      </c>
      <c r="AR158" s="357">
        <v>2126096.97</v>
      </c>
      <c r="AS158" s="357">
        <v>0</v>
      </c>
      <c r="AT158" s="357">
        <v>0</v>
      </c>
      <c r="AU158" s="357">
        <v>0</v>
      </c>
      <c r="AV158" s="357">
        <v>0</v>
      </c>
      <c r="AW158" s="357">
        <v>440930.2</v>
      </c>
      <c r="AX158" s="357">
        <v>0</v>
      </c>
      <c r="AY158" s="357">
        <v>0</v>
      </c>
      <c r="AZ158" s="357">
        <v>440930.2</v>
      </c>
      <c r="BA158" s="357">
        <v>1685166.77</v>
      </c>
      <c r="BB158" s="357">
        <v>0</v>
      </c>
      <c r="BC158" s="357">
        <v>0</v>
      </c>
      <c r="BD158" s="357">
        <v>1685166.77</v>
      </c>
      <c r="BE158" s="357">
        <v>1980797.85</v>
      </c>
      <c r="BF158" s="357">
        <v>0</v>
      </c>
      <c r="BG158" s="357">
        <v>0</v>
      </c>
      <c r="BH158" s="357">
        <v>1980797.85</v>
      </c>
      <c r="BI158" s="357">
        <v>74323.2</v>
      </c>
      <c r="BJ158" s="357">
        <v>0</v>
      </c>
      <c r="BK158" s="357">
        <v>0</v>
      </c>
      <c r="BL158" s="357">
        <v>74323.2</v>
      </c>
      <c r="BM158" s="357">
        <v>11550.19</v>
      </c>
      <c r="BN158" s="357">
        <v>0</v>
      </c>
      <c r="BO158" s="357">
        <v>0</v>
      </c>
      <c r="BP158" s="357">
        <v>11550.19</v>
      </c>
      <c r="BQ158" s="357">
        <v>3751838.01</v>
      </c>
      <c r="BR158" s="357">
        <v>0</v>
      </c>
      <c r="BS158" s="357">
        <v>0</v>
      </c>
      <c r="BT158" s="357">
        <v>0</v>
      </c>
      <c r="BU158" s="357">
        <v>0</v>
      </c>
      <c r="BV158" s="357">
        <v>0</v>
      </c>
      <c r="BW158" s="357">
        <v>3751838.01</v>
      </c>
      <c r="BX158" s="357">
        <v>0</v>
      </c>
      <c r="BY158" s="357">
        <v>0</v>
      </c>
      <c r="BZ158" s="357">
        <v>3751838.01</v>
      </c>
      <c r="CA158" s="357">
        <v>10000</v>
      </c>
      <c r="CB158" s="357">
        <v>0</v>
      </c>
      <c r="CC158" s="357">
        <v>0</v>
      </c>
      <c r="CD158" s="357">
        <v>10000</v>
      </c>
      <c r="CE158" s="357">
        <v>639360.4</v>
      </c>
      <c r="CF158" s="357">
        <v>0</v>
      </c>
      <c r="CG158" s="357">
        <v>0</v>
      </c>
      <c r="CH158" s="357">
        <v>639360.4</v>
      </c>
      <c r="CI158" s="357">
        <v>649360.4</v>
      </c>
      <c r="CJ158" s="357">
        <v>0</v>
      </c>
      <c r="CK158" s="357">
        <v>0</v>
      </c>
      <c r="CL158" s="357">
        <v>0</v>
      </c>
      <c r="CM158" s="357">
        <v>0</v>
      </c>
      <c r="CN158" s="357">
        <v>0</v>
      </c>
      <c r="CO158" s="357">
        <v>649360.4</v>
      </c>
      <c r="CP158" s="357">
        <v>0</v>
      </c>
      <c r="CQ158" s="357">
        <v>0</v>
      </c>
      <c r="CR158" s="357">
        <v>649360.4</v>
      </c>
      <c r="CS158" s="357">
        <v>162485.81</v>
      </c>
      <c r="CT158" s="357">
        <v>0</v>
      </c>
      <c r="CU158" s="357">
        <v>0</v>
      </c>
      <c r="CV158" s="357">
        <v>162485.81</v>
      </c>
      <c r="CW158" s="357">
        <v>14247.75</v>
      </c>
      <c r="CX158" s="357">
        <v>0</v>
      </c>
      <c r="CY158" s="357">
        <v>0</v>
      </c>
      <c r="CZ158" s="357">
        <v>14247.75</v>
      </c>
      <c r="DA158" s="357">
        <v>0</v>
      </c>
      <c r="DB158" s="357">
        <v>0</v>
      </c>
      <c r="DC158" s="357">
        <v>0</v>
      </c>
      <c r="DD158" s="357">
        <v>0</v>
      </c>
      <c r="DE158" s="357">
        <v>0</v>
      </c>
      <c r="DF158" s="357">
        <v>0</v>
      </c>
      <c r="DG158" s="357">
        <v>0</v>
      </c>
      <c r="DH158" s="357">
        <v>0</v>
      </c>
      <c r="DI158" s="357">
        <v>0</v>
      </c>
      <c r="DJ158" s="357">
        <v>0</v>
      </c>
      <c r="DK158" s="357">
        <v>0</v>
      </c>
      <c r="DL158" s="357">
        <v>0</v>
      </c>
      <c r="DM158" s="357">
        <v>0</v>
      </c>
      <c r="DN158" s="357">
        <v>0</v>
      </c>
      <c r="DO158" s="357">
        <v>0</v>
      </c>
      <c r="DP158" s="357">
        <v>0</v>
      </c>
      <c r="DQ158" s="357">
        <v>176733.56</v>
      </c>
      <c r="DR158" s="357">
        <v>0</v>
      </c>
      <c r="DS158" s="357">
        <v>0</v>
      </c>
      <c r="DT158" s="357">
        <v>0</v>
      </c>
      <c r="DU158" s="357">
        <v>0</v>
      </c>
      <c r="DV158" s="357">
        <v>0</v>
      </c>
      <c r="DW158" s="357">
        <v>176733.56</v>
      </c>
      <c r="DX158" s="357">
        <v>0</v>
      </c>
      <c r="DY158" s="357">
        <v>0</v>
      </c>
      <c r="DZ158" s="357">
        <v>176733.56</v>
      </c>
      <c r="EA158" s="357">
        <v>0</v>
      </c>
      <c r="EB158" s="357">
        <v>0</v>
      </c>
      <c r="EC158" s="357">
        <v>0</v>
      </c>
      <c r="ED158" s="357">
        <v>0</v>
      </c>
      <c r="EE158" s="357">
        <v>0</v>
      </c>
      <c r="EF158" s="357">
        <v>0</v>
      </c>
      <c r="EG158" s="357">
        <v>0</v>
      </c>
      <c r="EH158" s="357">
        <v>0</v>
      </c>
      <c r="EI158" s="357">
        <v>0</v>
      </c>
      <c r="EJ158" s="357">
        <v>0</v>
      </c>
      <c r="EK158" s="357">
        <v>812000</v>
      </c>
      <c r="EL158" s="357">
        <v>0</v>
      </c>
      <c r="EM158" s="357">
        <v>0</v>
      </c>
      <c r="EN158" s="357">
        <v>812000</v>
      </c>
      <c r="EO158" s="357">
        <v>812000</v>
      </c>
      <c r="EP158" s="357">
        <v>0</v>
      </c>
      <c r="EQ158" s="357">
        <v>0</v>
      </c>
      <c r="ER158" s="357">
        <v>0</v>
      </c>
      <c r="ES158" s="357">
        <v>0</v>
      </c>
      <c r="ET158" s="357">
        <v>0</v>
      </c>
      <c r="EU158" s="357">
        <v>812000</v>
      </c>
      <c r="EV158" s="357">
        <v>0</v>
      </c>
      <c r="EW158" s="357">
        <v>0</v>
      </c>
      <c r="EX158" s="357">
        <v>812000</v>
      </c>
      <c r="EY158" s="357">
        <v>23941285</v>
      </c>
      <c r="EZ158" s="357">
        <v>0</v>
      </c>
      <c r="FA158" s="357">
        <v>0</v>
      </c>
      <c r="FB158" s="357">
        <v>23941285</v>
      </c>
      <c r="FC158" s="277">
        <v>0</v>
      </c>
      <c r="FD158" s="205"/>
    </row>
    <row r="159" spans="1:160" ht="12.75">
      <c r="A159" s="169">
        <v>152</v>
      </c>
      <c r="B159" s="172" t="s">
        <v>212</v>
      </c>
      <c r="C159" s="258" t="s">
        <v>213</v>
      </c>
      <c r="D159" s="235">
        <v>41653</v>
      </c>
      <c r="E159" s="357">
        <v>138697622</v>
      </c>
      <c r="F159" s="357">
        <v>0</v>
      </c>
      <c r="G159" s="357">
        <v>0</v>
      </c>
      <c r="H159" s="357">
        <v>138697622</v>
      </c>
      <c r="I159" s="357">
        <v>65326580</v>
      </c>
      <c r="J159" s="357">
        <v>0</v>
      </c>
      <c r="K159" s="357">
        <v>0</v>
      </c>
      <c r="L159" s="357">
        <v>0</v>
      </c>
      <c r="M159" s="357">
        <v>0</v>
      </c>
      <c r="N159" s="357">
        <v>0</v>
      </c>
      <c r="O159" s="357">
        <v>65326580</v>
      </c>
      <c r="P159" s="357">
        <v>0</v>
      </c>
      <c r="Q159" s="357">
        <v>0</v>
      </c>
      <c r="R159" s="357">
        <v>65326580</v>
      </c>
      <c r="S159" s="357">
        <v>99407.13</v>
      </c>
      <c r="T159" s="357">
        <v>0</v>
      </c>
      <c r="U159" s="357">
        <v>0</v>
      </c>
      <c r="V159" s="357">
        <v>99407.13</v>
      </c>
      <c r="W159" s="357">
        <v>11578.13</v>
      </c>
      <c r="X159" s="357">
        <v>0</v>
      </c>
      <c r="Y159" s="357">
        <v>0</v>
      </c>
      <c r="Z159" s="357">
        <v>11578.13</v>
      </c>
      <c r="AA159" s="357">
        <v>87829</v>
      </c>
      <c r="AB159" s="357">
        <v>0</v>
      </c>
      <c r="AC159" s="357">
        <v>0</v>
      </c>
      <c r="AD159" s="357">
        <v>0</v>
      </c>
      <c r="AE159" s="357">
        <v>0</v>
      </c>
      <c r="AF159" s="357">
        <v>0</v>
      </c>
      <c r="AG159" s="357">
        <v>87829</v>
      </c>
      <c r="AH159" s="357">
        <v>0</v>
      </c>
      <c r="AI159" s="357">
        <v>0</v>
      </c>
      <c r="AJ159" s="357">
        <v>87829</v>
      </c>
      <c r="AK159" s="357">
        <v>87829</v>
      </c>
      <c r="AL159" s="357">
        <v>0</v>
      </c>
      <c r="AM159" s="357">
        <v>0</v>
      </c>
      <c r="AN159" s="357">
        <v>87829</v>
      </c>
      <c r="AO159" s="357">
        <v>4571683.12</v>
      </c>
      <c r="AP159" s="357">
        <v>0</v>
      </c>
      <c r="AQ159" s="357">
        <v>0</v>
      </c>
      <c r="AR159" s="357">
        <v>4571683.12</v>
      </c>
      <c r="AS159" s="357">
        <v>0</v>
      </c>
      <c r="AT159" s="357">
        <v>0</v>
      </c>
      <c r="AU159" s="357">
        <v>0</v>
      </c>
      <c r="AV159" s="357">
        <v>0</v>
      </c>
      <c r="AW159" s="357">
        <v>1151940.16</v>
      </c>
      <c r="AX159" s="357">
        <v>0</v>
      </c>
      <c r="AY159" s="357">
        <v>0</v>
      </c>
      <c r="AZ159" s="357">
        <v>1151940.16</v>
      </c>
      <c r="BA159" s="357">
        <v>3419742.96</v>
      </c>
      <c r="BB159" s="357">
        <v>0</v>
      </c>
      <c r="BC159" s="357">
        <v>0</v>
      </c>
      <c r="BD159" s="357">
        <v>3419742.96</v>
      </c>
      <c r="BE159" s="357">
        <v>5965960.69</v>
      </c>
      <c r="BF159" s="357">
        <v>0</v>
      </c>
      <c r="BG159" s="357">
        <v>0</v>
      </c>
      <c r="BH159" s="357">
        <v>5965960.69</v>
      </c>
      <c r="BI159" s="357">
        <v>0</v>
      </c>
      <c r="BJ159" s="357">
        <v>0</v>
      </c>
      <c r="BK159" s="357">
        <v>0</v>
      </c>
      <c r="BL159" s="357">
        <v>0</v>
      </c>
      <c r="BM159" s="357">
        <v>0</v>
      </c>
      <c r="BN159" s="357">
        <v>0</v>
      </c>
      <c r="BO159" s="357">
        <v>0</v>
      </c>
      <c r="BP159" s="357">
        <v>0</v>
      </c>
      <c r="BQ159" s="357">
        <v>9385703.65</v>
      </c>
      <c r="BR159" s="357">
        <v>0</v>
      </c>
      <c r="BS159" s="357">
        <v>0</v>
      </c>
      <c r="BT159" s="357">
        <v>0</v>
      </c>
      <c r="BU159" s="357">
        <v>0</v>
      </c>
      <c r="BV159" s="357">
        <v>0</v>
      </c>
      <c r="BW159" s="357">
        <v>9385703.65</v>
      </c>
      <c r="BX159" s="357">
        <v>0</v>
      </c>
      <c r="BY159" s="357">
        <v>0</v>
      </c>
      <c r="BZ159" s="357">
        <v>9385703.65</v>
      </c>
      <c r="CA159" s="357">
        <v>0</v>
      </c>
      <c r="CB159" s="357">
        <v>0</v>
      </c>
      <c r="CC159" s="357">
        <v>0</v>
      </c>
      <c r="CD159" s="357">
        <v>0</v>
      </c>
      <c r="CE159" s="357">
        <v>1111039.35</v>
      </c>
      <c r="CF159" s="357">
        <v>0</v>
      </c>
      <c r="CG159" s="357">
        <v>0</v>
      </c>
      <c r="CH159" s="357">
        <v>1111039.35</v>
      </c>
      <c r="CI159" s="357">
        <v>1111039.35</v>
      </c>
      <c r="CJ159" s="357">
        <v>0</v>
      </c>
      <c r="CK159" s="357">
        <v>0</v>
      </c>
      <c r="CL159" s="357">
        <v>1389727.26</v>
      </c>
      <c r="CM159" s="357">
        <v>0</v>
      </c>
      <c r="CN159" s="357">
        <v>0</v>
      </c>
      <c r="CO159" s="357">
        <v>2500766.61</v>
      </c>
      <c r="CP159" s="357">
        <v>0</v>
      </c>
      <c r="CQ159" s="357">
        <v>0</v>
      </c>
      <c r="CR159" s="357">
        <v>2500766.61</v>
      </c>
      <c r="CS159" s="357">
        <v>259371.43</v>
      </c>
      <c r="CT159" s="357">
        <v>0</v>
      </c>
      <c r="CU159" s="357">
        <v>0</v>
      </c>
      <c r="CV159" s="357">
        <v>259371.43</v>
      </c>
      <c r="CW159" s="357">
        <v>34359.45</v>
      </c>
      <c r="CX159" s="357">
        <v>0</v>
      </c>
      <c r="CY159" s="357">
        <v>0</v>
      </c>
      <c r="CZ159" s="357">
        <v>34359.45</v>
      </c>
      <c r="DA159" s="357">
        <v>0</v>
      </c>
      <c r="DB159" s="357">
        <v>0</v>
      </c>
      <c r="DC159" s="357">
        <v>0</v>
      </c>
      <c r="DD159" s="357">
        <v>0</v>
      </c>
      <c r="DE159" s="357">
        <v>0</v>
      </c>
      <c r="DF159" s="357">
        <v>0</v>
      </c>
      <c r="DG159" s="357">
        <v>0</v>
      </c>
      <c r="DH159" s="357">
        <v>0</v>
      </c>
      <c r="DI159" s="357">
        <v>0</v>
      </c>
      <c r="DJ159" s="357">
        <v>0</v>
      </c>
      <c r="DK159" s="357">
        <v>0</v>
      </c>
      <c r="DL159" s="357">
        <v>0</v>
      </c>
      <c r="DM159" s="357">
        <v>0</v>
      </c>
      <c r="DN159" s="357">
        <v>0</v>
      </c>
      <c r="DO159" s="357">
        <v>0</v>
      </c>
      <c r="DP159" s="357">
        <v>0</v>
      </c>
      <c r="DQ159" s="357">
        <v>293730.88</v>
      </c>
      <c r="DR159" s="357">
        <v>0</v>
      </c>
      <c r="DS159" s="357">
        <v>0</v>
      </c>
      <c r="DT159" s="357">
        <v>0</v>
      </c>
      <c r="DU159" s="357">
        <v>0</v>
      </c>
      <c r="DV159" s="357">
        <v>0</v>
      </c>
      <c r="DW159" s="357">
        <v>293730.88</v>
      </c>
      <c r="DX159" s="357">
        <v>0</v>
      </c>
      <c r="DY159" s="357">
        <v>0</v>
      </c>
      <c r="DZ159" s="357">
        <v>293730.88</v>
      </c>
      <c r="EA159" s="357">
        <v>0</v>
      </c>
      <c r="EB159" s="357">
        <v>0</v>
      </c>
      <c r="EC159" s="357">
        <v>0</v>
      </c>
      <c r="ED159" s="357">
        <v>0</v>
      </c>
      <c r="EE159" s="357">
        <v>0</v>
      </c>
      <c r="EF159" s="357">
        <v>0</v>
      </c>
      <c r="EG159" s="357">
        <v>79463.43</v>
      </c>
      <c r="EH159" s="357">
        <v>0</v>
      </c>
      <c r="EI159" s="357">
        <v>0</v>
      </c>
      <c r="EJ159" s="357">
        <v>79463.43</v>
      </c>
      <c r="EK159" s="357">
        <v>1580110.85</v>
      </c>
      <c r="EL159" s="357">
        <v>0</v>
      </c>
      <c r="EM159" s="357">
        <v>0</v>
      </c>
      <c r="EN159" s="357">
        <v>1580110.85</v>
      </c>
      <c r="EO159" s="357">
        <v>1659574.28</v>
      </c>
      <c r="EP159" s="357">
        <v>0</v>
      </c>
      <c r="EQ159" s="357">
        <v>0</v>
      </c>
      <c r="ER159" s="357">
        <v>0</v>
      </c>
      <c r="ES159" s="357">
        <v>0</v>
      </c>
      <c r="ET159" s="357">
        <v>0</v>
      </c>
      <c r="EU159" s="357">
        <v>1659574.28</v>
      </c>
      <c r="EV159" s="357">
        <v>0</v>
      </c>
      <c r="EW159" s="357">
        <v>0</v>
      </c>
      <c r="EX159" s="357">
        <v>1659574.28</v>
      </c>
      <c r="EY159" s="357">
        <v>51398975.6</v>
      </c>
      <c r="EZ159" s="357">
        <v>0</v>
      </c>
      <c r="FA159" s="357">
        <v>0</v>
      </c>
      <c r="FB159" s="357">
        <v>51398975.6</v>
      </c>
      <c r="FC159" s="277">
        <v>0</v>
      </c>
      <c r="FD159" s="205"/>
    </row>
    <row r="160" spans="1:160" ht="12.75">
      <c r="A160" s="169">
        <v>153</v>
      </c>
      <c r="B160" s="172" t="s">
        <v>214</v>
      </c>
      <c r="C160" s="258" t="s">
        <v>215</v>
      </c>
      <c r="D160" s="235">
        <v>41547</v>
      </c>
      <c r="E160" s="357">
        <v>81628803</v>
      </c>
      <c r="F160" s="357">
        <v>0</v>
      </c>
      <c r="G160" s="357">
        <v>0</v>
      </c>
      <c r="H160" s="357">
        <v>81628803</v>
      </c>
      <c r="I160" s="357">
        <v>38447166</v>
      </c>
      <c r="J160" s="357">
        <v>0</v>
      </c>
      <c r="K160" s="357">
        <v>0</v>
      </c>
      <c r="L160" s="357">
        <v>18000</v>
      </c>
      <c r="M160" s="357">
        <v>0</v>
      </c>
      <c r="N160" s="357">
        <v>0</v>
      </c>
      <c r="O160" s="357">
        <v>38465166</v>
      </c>
      <c r="P160" s="357">
        <v>0</v>
      </c>
      <c r="Q160" s="357">
        <v>0</v>
      </c>
      <c r="R160" s="357">
        <v>38465166</v>
      </c>
      <c r="S160" s="357">
        <v>67350</v>
      </c>
      <c r="T160" s="357">
        <v>0</v>
      </c>
      <c r="U160" s="357">
        <v>0</v>
      </c>
      <c r="V160" s="357">
        <v>67350</v>
      </c>
      <c r="W160" s="357">
        <v>0</v>
      </c>
      <c r="X160" s="357">
        <v>0</v>
      </c>
      <c r="Y160" s="357">
        <v>0</v>
      </c>
      <c r="Z160" s="357">
        <v>0</v>
      </c>
      <c r="AA160" s="357">
        <v>67350</v>
      </c>
      <c r="AB160" s="357">
        <v>0</v>
      </c>
      <c r="AC160" s="357">
        <v>0</v>
      </c>
      <c r="AD160" s="357">
        <v>0</v>
      </c>
      <c r="AE160" s="357">
        <v>0</v>
      </c>
      <c r="AF160" s="357">
        <v>0</v>
      </c>
      <c r="AG160" s="357">
        <v>67350</v>
      </c>
      <c r="AH160" s="357">
        <v>0</v>
      </c>
      <c r="AI160" s="357">
        <v>0</v>
      </c>
      <c r="AJ160" s="357">
        <v>67350</v>
      </c>
      <c r="AK160" s="357">
        <v>67350</v>
      </c>
      <c r="AL160" s="357">
        <v>0</v>
      </c>
      <c r="AM160" s="357">
        <v>0</v>
      </c>
      <c r="AN160" s="357">
        <v>67350</v>
      </c>
      <c r="AO160" s="357">
        <v>1549094</v>
      </c>
      <c r="AP160" s="357">
        <v>0</v>
      </c>
      <c r="AQ160" s="357">
        <v>0</v>
      </c>
      <c r="AR160" s="357">
        <v>1549094</v>
      </c>
      <c r="AS160" s="357">
        <v>0</v>
      </c>
      <c r="AT160" s="357">
        <v>0</v>
      </c>
      <c r="AU160" s="357">
        <v>0</v>
      </c>
      <c r="AV160" s="357">
        <v>0</v>
      </c>
      <c r="AW160" s="357">
        <v>771300</v>
      </c>
      <c r="AX160" s="357">
        <v>0</v>
      </c>
      <c r="AY160" s="357">
        <v>0</v>
      </c>
      <c r="AZ160" s="357">
        <v>771300</v>
      </c>
      <c r="BA160" s="357">
        <v>777794</v>
      </c>
      <c r="BB160" s="357">
        <v>0</v>
      </c>
      <c r="BC160" s="357">
        <v>0</v>
      </c>
      <c r="BD160" s="357">
        <v>777794</v>
      </c>
      <c r="BE160" s="357">
        <v>1013374</v>
      </c>
      <c r="BF160" s="357">
        <v>0</v>
      </c>
      <c r="BG160" s="357">
        <v>0</v>
      </c>
      <c r="BH160" s="357">
        <v>1013374</v>
      </c>
      <c r="BI160" s="357">
        <v>56939</v>
      </c>
      <c r="BJ160" s="357">
        <v>0</v>
      </c>
      <c r="BK160" s="357">
        <v>0</v>
      </c>
      <c r="BL160" s="357">
        <v>56939</v>
      </c>
      <c r="BM160" s="357">
        <v>6429</v>
      </c>
      <c r="BN160" s="357">
        <v>0</v>
      </c>
      <c r="BO160" s="357">
        <v>0</v>
      </c>
      <c r="BP160" s="357">
        <v>6429</v>
      </c>
      <c r="BQ160" s="357">
        <v>1854536</v>
      </c>
      <c r="BR160" s="357">
        <v>0</v>
      </c>
      <c r="BS160" s="357">
        <v>0</v>
      </c>
      <c r="BT160" s="357">
        <v>1560335</v>
      </c>
      <c r="BU160" s="357">
        <v>0</v>
      </c>
      <c r="BV160" s="357">
        <v>0</v>
      </c>
      <c r="BW160" s="357">
        <v>3414871</v>
      </c>
      <c r="BX160" s="357">
        <v>0</v>
      </c>
      <c r="BY160" s="357">
        <v>0</v>
      </c>
      <c r="BZ160" s="357">
        <v>3414871</v>
      </c>
      <c r="CA160" s="357">
        <v>200000</v>
      </c>
      <c r="CB160" s="357">
        <v>0</v>
      </c>
      <c r="CC160" s="357">
        <v>0</v>
      </c>
      <c r="CD160" s="357">
        <v>200000</v>
      </c>
      <c r="CE160" s="357">
        <v>1250538</v>
      </c>
      <c r="CF160" s="357">
        <v>0</v>
      </c>
      <c r="CG160" s="357">
        <v>0</v>
      </c>
      <c r="CH160" s="357">
        <v>1250538</v>
      </c>
      <c r="CI160" s="357">
        <v>1450538</v>
      </c>
      <c r="CJ160" s="357">
        <v>0</v>
      </c>
      <c r="CK160" s="357">
        <v>0</v>
      </c>
      <c r="CL160" s="357">
        <v>0</v>
      </c>
      <c r="CM160" s="357">
        <v>0</v>
      </c>
      <c r="CN160" s="357">
        <v>0</v>
      </c>
      <c r="CO160" s="357">
        <v>1450538</v>
      </c>
      <c r="CP160" s="357">
        <v>0</v>
      </c>
      <c r="CQ160" s="357">
        <v>0</v>
      </c>
      <c r="CR160" s="357">
        <v>1450538</v>
      </c>
      <c r="CS160" s="357">
        <v>32681</v>
      </c>
      <c r="CT160" s="357">
        <v>0</v>
      </c>
      <c r="CU160" s="357">
        <v>0</v>
      </c>
      <c r="CV160" s="357">
        <v>32681</v>
      </c>
      <c r="CW160" s="357">
        <v>40164</v>
      </c>
      <c r="CX160" s="357">
        <v>0</v>
      </c>
      <c r="CY160" s="357">
        <v>0</v>
      </c>
      <c r="CZ160" s="357">
        <v>40164</v>
      </c>
      <c r="DA160" s="357">
        <v>0</v>
      </c>
      <c r="DB160" s="357">
        <v>0</v>
      </c>
      <c r="DC160" s="357">
        <v>0</v>
      </c>
      <c r="DD160" s="357">
        <v>0</v>
      </c>
      <c r="DE160" s="357">
        <v>3856</v>
      </c>
      <c r="DF160" s="357">
        <v>0</v>
      </c>
      <c r="DG160" s="357">
        <v>0</v>
      </c>
      <c r="DH160" s="357">
        <v>3856</v>
      </c>
      <c r="DI160" s="357">
        <v>0</v>
      </c>
      <c r="DJ160" s="357">
        <v>0</v>
      </c>
      <c r="DK160" s="357">
        <v>0</v>
      </c>
      <c r="DL160" s="357">
        <v>0</v>
      </c>
      <c r="DM160" s="357">
        <v>0</v>
      </c>
      <c r="DN160" s="357">
        <v>0</v>
      </c>
      <c r="DO160" s="357">
        <v>0</v>
      </c>
      <c r="DP160" s="357">
        <v>0</v>
      </c>
      <c r="DQ160" s="357">
        <v>76701</v>
      </c>
      <c r="DR160" s="357">
        <v>0</v>
      </c>
      <c r="DS160" s="357">
        <v>0</v>
      </c>
      <c r="DT160" s="357">
        <v>8949</v>
      </c>
      <c r="DU160" s="357">
        <v>0</v>
      </c>
      <c r="DV160" s="357">
        <v>0</v>
      </c>
      <c r="DW160" s="357">
        <v>85650</v>
      </c>
      <c r="DX160" s="357">
        <v>0</v>
      </c>
      <c r="DY160" s="357">
        <v>0</v>
      </c>
      <c r="DZ160" s="357">
        <v>85650</v>
      </c>
      <c r="EA160" s="357">
        <v>0</v>
      </c>
      <c r="EB160" s="357">
        <v>0</v>
      </c>
      <c r="EC160" s="357">
        <v>0</v>
      </c>
      <c r="ED160" s="357">
        <v>0</v>
      </c>
      <c r="EE160" s="357">
        <v>0</v>
      </c>
      <c r="EF160" s="357">
        <v>0</v>
      </c>
      <c r="EG160" s="357">
        <v>796252</v>
      </c>
      <c r="EH160" s="357">
        <v>0</v>
      </c>
      <c r="EI160" s="357">
        <v>0</v>
      </c>
      <c r="EJ160" s="357">
        <v>796252</v>
      </c>
      <c r="EK160" s="357">
        <v>537000</v>
      </c>
      <c r="EL160" s="357">
        <v>0</v>
      </c>
      <c r="EM160" s="357">
        <v>0</v>
      </c>
      <c r="EN160" s="357">
        <v>537000</v>
      </c>
      <c r="EO160" s="357">
        <v>1333252</v>
      </c>
      <c r="EP160" s="357">
        <v>0</v>
      </c>
      <c r="EQ160" s="357">
        <v>0</v>
      </c>
      <c r="ER160" s="357">
        <v>0</v>
      </c>
      <c r="ES160" s="357">
        <v>0</v>
      </c>
      <c r="ET160" s="357">
        <v>0</v>
      </c>
      <c r="EU160" s="357">
        <v>1333252</v>
      </c>
      <c r="EV160" s="357">
        <v>0</v>
      </c>
      <c r="EW160" s="357">
        <v>0</v>
      </c>
      <c r="EX160" s="357">
        <v>1333252</v>
      </c>
      <c r="EY160" s="357">
        <v>32113505</v>
      </c>
      <c r="EZ160" s="357">
        <v>0</v>
      </c>
      <c r="FA160" s="357">
        <v>0</v>
      </c>
      <c r="FB160" s="357">
        <v>32113505</v>
      </c>
      <c r="FC160" s="277">
        <v>0</v>
      </c>
      <c r="FD160" s="205"/>
    </row>
    <row r="161" spans="1:160" ht="12.75">
      <c r="A161" s="169">
        <v>154</v>
      </c>
      <c r="B161" s="172" t="s">
        <v>216</v>
      </c>
      <c r="C161" s="258" t="s">
        <v>217</v>
      </c>
      <c r="D161" s="235">
        <v>41639</v>
      </c>
      <c r="E161" s="357">
        <v>103364450</v>
      </c>
      <c r="F161" s="357">
        <v>0</v>
      </c>
      <c r="G161" s="357">
        <v>0</v>
      </c>
      <c r="H161" s="357">
        <v>103364450</v>
      </c>
      <c r="I161" s="357">
        <v>48684656</v>
      </c>
      <c r="J161" s="357">
        <v>0</v>
      </c>
      <c r="K161" s="357">
        <v>0</v>
      </c>
      <c r="L161" s="357">
        <v>0</v>
      </c>
      <c r="M161" s="357">
        <v>0</v>
      </c>
      <c r="N161" s="357">
        <v>0</v>
      </c>
      <c r="O161" s="357">
        <v>48684656</v>
      </c>
      <c r="P161" s="357">
        <v>0</v>
      </c>
      <c r="Q161" s="357">
        <v>0</v>
      </c>
      <c r="R161" s="357">
        <v>48684656</v>
      </c>
      <c r="S161" s="357">
        <v>12415</v>
      </c>
      <c r="T161" s="357">
        <v>0</v>
      </c>
      <c r="U161" s="357">
        <v>0</v>
      </c>
      <c r="V161" s="357">
        <v>12415</v>
      </c>
      <c r="W161" s="357">
        <v>17498</v>
      </c>
      <c r="X161" s="357">
        <v>0</v>
      </c>
      <c r="Y161" s="357">
        <v>0</v>
      </c>
      <c r="Z161" s="357">
        <v>17498</v>
      </c>
      <c r="AA161" s="357">
        <v>-5083</v>
      </c>
      <c r="AB161" s="357">
        <v>0</v>
      </c>
      <c r="AC161" s="357">
        <v>0</v>
      </c>
      <c r="AD161" s="357">
        <v>0</v>
      </c>
      <c r="AE161" s="357">
        <v>0</v>
      </c>
      <c r="AF161" s="357">
        <v>0</v>
      </c>
      <c r="AG161" s="357">
        <v>-5083</v>
      </c>
      <c r="AH161" s="357">
        <v>0</v>
      </c>
      <c r="AI161" s="357">
        <v>0</v>
      </c>
      <c r="AJ161" s="357">
        <v>-5083</v>
      </c>
      <c r="AK161" s="357">
        <v>-5083</v>
      </c>
      <c r="AL161" s="357">
        <v>0</v>
      </c>
      <c r="AM161" s="357">
        <v>0</v>
      </c>
      <c r="AN161" s="357">
        <v>-5083</v>
      </c>
      <c r="AO161" s="357">
        <v>1774738</v>
      </c>
      <c r="AP161" s="357">
        <v>0</v>
      </c>
      <c r="AQ161" s="357">
        <v>0</v>
      </c>
      <c r="AR161" s="357">
        <v>1774738</v>
      </c>
      <c r="AS161" s="357">
        <v>10000</v>
      </c>
      <c r="AT161" s="357">
        <v>0</v>
      </c>
      <c r="AU161" s="357">
        <v>0</v>
      </c>
      <c r="AV161" s="357">
        <v>10000</v>
      </c>
      <c r="AW161" s="357">
        <v>994302</v>
      </c>
      <c r="AX161" s="357">
        <v>0</v>
      </c>
      <c r="AY161" s="357">
        <v>0</v>
      </c>
      <c r="AZ161" s="357">
        <v>994302</v>
      </c>
      <c r="BA161" s="357">
        <v>780436</v>
      </c>
      <c r="BB161" s="357">
        <v>0</v>
      </c>
      <c r="BC161" s="357">
        <v>0</v>
      </c>
      <c r="BD161" s="357">
        <v>780436</v>
      </c>
      <c r="BE161" s="357">
        <v>3560762</v>
      </c>
      <c r="BF161" s="357">
        <v>0</v>
      </c>
      <c r="BG161" s="357">
        <v>0</v>
      </c>
      <c r="BH161" s="357">
        <v>3560762</v>
      </c>
      <c r="BI161" s="357">
        <v>76501</v>
      </c>
      <c r="BJ161" s="357">
        <v>0</v>
      </c>
      <c r="BK161" s="357">
        <v>0</v>
      </c>
      <c r="BL161" s="357">
        <v>76501</v>
      </c>
      <c r="BM161" s="357">
        <v>0</v>
      </c>
      <c r="BN161" s="357">
        <v>0</v>
      </c>
      <c r="BO161" s="357">
        <v>0</v>
      </c>
      <c r="BP161" s="357">
        <v>0</v>
      </c>
      <c r="BQ161" s="357">
        <v>4417699</v>
      </c>
      <c r="BR161" s="357">
        <v>0</v>
      </c>
      <c r="BS161" s="357">
        <v>0</v>
      </c>
      <c r="BT161" s="357">
        <v>0</v>
      </c>
      <c r="BU161" s="357">
        <v>0</v>
      </c>
      <c r="BV161" s="357">
        <v>0</v>
      </c>
      <c r="BW161" s="357">
        <v>4417699</v>
      </c>
      <c r="BX161" s="357">
        <v>0</v>
      </c>
      <c r="BY161" s="357">
        <v>0</v>
      </c>
      <c r="BZ161" s="357">
        <v>4417699</v>
      </c>
      <c r="CA161" s="357">
        <v>15000</v>
      </c>
      <c r="CB161" s="357">
        <v>0</v>
      </c>
      <c r="CC161" s="357">
        <v>0</v>
      </c>
      <c r="CD161" s="357">
        <v>15000</v>
      </c>
      <c r="CE161" s="357">
        <v>1104416</v>
      </c>
      <c r="CF161" s="357">
        <v>0</v>
      </c>
      <c r="CG161" s="357">
        <v>0</v>
      </c>
      <c r="CH161" s="357">
        <v>1104416</v>
      </c>
      <c r="CI161" s="357">
        <v>1119416</v>
      </c>
      <c r="CJ161" s="357">
        <v>0</v>
      </c>
      <c r="CK161" s="357">
        <v>0</v>
      </c>
      <c r="CL161" s="357">
        <v>0</v>
      </c>
      <c r="CM161" s="357">
        <v>0</v>
      </c>
      <c r="CN161" s="357">
        <v>0</v>
      </c>
      <c r="CO161" s="357">
        <v>1119416</v>
      </c>
      <c r="CP161" s="357">
        <v>0</v>
      </c>
      <c r="CQ161" s="357">
        <v>0</v>
      </c>
      <c r="CR161" s="357">
        <v>1119416</v>
      </c>
      <c r="CS161" s="357">
        <v>33024</v>
      </c>
      <c r="CT161" s="357">
        <v>0</v>
      </c>
      <c r="CU161" s="357">
        <v>0</v>
      </c>
      <c r="CV161" s="357">
        <v>33024</v>
      </c>
      <c r="CW161" s="357">
        <v>1410</v>
      </c>
      <c r="CX161" s="357">
        <v>0</v>
      </c>
      <c r="CY161" s="357">
        <v>0</v>
      </c>
      <c r="CZ161" s="357">
        <v>1410</v>
      </c>
      <c r="DA161" s="357">
        <v>3718</v>
      </c>
      <c r="DB161" s="357">
        <v>0</v>
      </c>
      <c r="DC161" s="357">
        <v>0</v>
      </c>
      <c r="DD161" s="357">
        <v>3718</v>
      </c>
      <c r="DE161" s="357">
        <v>0</v>
      </c>
      <c r="DF161" s="357">
        <v>0</v>
      </c>
      <c r="DG161" s="357">
        <v>0</v>
      </c>
      <c r="DH161" s="357">
        <v>0</v>
      </c>
      <c r="DI161" s="357">
        <v>0</v>
      </c>
      <c r="DJ161" s="357">
        <v>0</v>
      </c>
      <c r="DK161" s="357">
        <v>0</v>
      </c>
      <c r="DL161" s="357">
        <v>0</v>
      </c>
      <c r="DM161" s="357">
        <v>0</v>
      </c>
      <c r="DN161" s="357">
        <v>0</v>
      </c>
      <c r="DO161" s="357">
        <v>0</v>
      </c>
      <c r="DP161" s="357">
        <v>0</v>
      </c>
      <c r="DQ161" s="357">
        <v>38152</v>
      </c>
      <c r="DR161" s="357">
        <v>0</v>
      </c>
      <c r="DS161" s="357">
        <v>0</v>
      </c>
      <c r="DT161" s="357">
        <v>0</v>
      </c>
      <c r="DU161" s="357">
        <v>0</v>
      </c>
      <c r="DV161" s="357">
        <v>0</v>
      </c>
      <c r="DW161" s="357">
        <v>38152</v>
      </c>
      <c r="DX161" s="357">
        <v>0</v>
      </c>
      <c r="DY161" s="357">
        <v>0</v>
      </c>
      <c r="DZ161" s="357">
        <v>38152</v>
      </c>
      <c r="EA161" s="357">
        <v>0</v>
      </c>
      <c r="EB161" s="357">
        <v>0</v>
      </c>
      <c r="EC161" s="357">
        <v>90000</v>
      </c>
      <c r="ED161" s="357">
        <v>0</v>
      </c>
      <c r="EE161" s="357">
        <v>0</v>
      </c>
      <c r="EF161" s="357">
        <v>90000</v>
      </c>
      <c r="EG161" s="357">
        <v>156000</v>
      </c>
      <c r="EH161" s="357">
        <v>0</v>
      </c>
      <c r="EI161" s="357">
        <v>0</v>
      </c>
      <c r="EJ161" s="357">
        <v>156000</v>
      </c>
      <c r="EK161" s="357">
        <v>750000</v>
      </c>
      <c r="EL161" s="357">
        <v>0</v>
      </c>
      <c r="EM161" s="357">
        <v>0</v>
      </c>
      <c r="EN161" s="357">
        <v>750000</v>
      </c>
      <c r="EO161" s="357">
        <v>996000</v>
      </c>
      <c r="EP161" s="357">
        <v>0</v>
      </c>
      <c r="EQ161" s="357">
        <v>0</v>
      </c>
      <c r="ER161" s="357">
        <v>0</v>
      </c>
      <c r="ES161" s="357">
        <v>0</v>
      </c>
      <c r="ET161" s="357">
        <v>0</v>
      </c>
      <c r="EU161" s="357">
        <v>996000</v>
      </c>
      <c r="EV161" s="357">
        <v>0</v>
      </c>
      <c r="EW161" s="357">
        <v>0</v>
      </c>
      <c r="EX161" s="357">
        <v>996000</v>
      </c>
      <c r="EY161" s="357">
        <v>42118472</v>
      </c>
      <c r="EZ161" s="357">
        <v>0</v>
      </c>
      <c r="FA161" s="357">
        <v>0</v>
      </c>
      <c r="FB161" s="357">
        <v>42118472</v>
      </c>
      <c r="FC161" s="277">
        <v>0</v>
      </c>
      <c r="FD161" s="205"/>
    </row>
    <row r="162" spans="1:160" ht="12.75">
      <c r="A162" s="169">
        <v>155</v>
      </c>
      <c r="B162" s="172" t="s">
        <v>218</v>
      </c>
      <c r="C162" s="258" t="s">
        <v>219</v>
      </c>
      <c r="D162" s="235">
        <v>41639</v>
      </c>
      <c r="E162" s="357">
        <v>427245777</v>
      </c>
      <c r="F162" s="357">
        <v>0</v>
      </c>
      <c r="G162" s="357">
        <v>89706655</v>
      </c>
      <c r="H162" s="357">
        <v>516952432</v>
      </c>
      <c r="I162" s="357">
        <v>201232761</v>
      </c>
      <c r="J162" s="357">
        <v>0</v>
      </c>
      <c r="K162" s="357">
        <v>42251835</v>
      </c>
      <c r="L162" s="357">
        <v>-2000000</v>
      </c>
      <c r="M162" s="357">
        <v>0</v>
      </c>
      <c r="N162" s="357">
        <v>0</v>
      </c>
      <c r="O162" s="357">
        <v>199232761</v>
      </c>
      <c r="P162" s="357">
        <v>0</v>
      </c>
      <c r="Q162" s="357">
        <v>42251835</v>
      </c>
      <c r="R162" s="357">
        <v>241484596</v>
      </c>
      <c r="S162" s="357">
        <v>192895</v>
      </c>
      <c r="T162" s="357">
        <v>0</v>
      </c>
      <c r="U162" s="357">
        <v>69682</v>
      </c>
      <c r="V162" s="357">
        <v>262577</v>
      </c>
      <c r="W162" s="357">
        <v>69848</v>
      </c>
      <c r="X162" s="357">
        <v>0</v>
      </c>
      <c r="Y162" s="357">
        <v>21714</v>
      </c>
      <c r="Z162" s="357">
        <v>91562</v>
      </c>
      <c r="AA162" s="357">
        <v>123047</v>
      </c>
      <c r="AB162" s="357">
        <v>0</v>
      </c>
      <c r="AC162" s="357">
        <v>47968</v>
      </c>
      <c r="AD162" s="357">
        <v>0</v>
      </c>
      <c r="AE162" s="357">
        <v>0</v>
      </c>
      <c r="AF162" s="357">
        <v>0</v>
      </c>
      <c r="AG162" s="357">
        <v>123047</v>
      </c>
      <c r="AH162" s="357">
        <v>0</v>
      </c>
      <c r="AI162" s="357">
        <v>47968</v>
      </c>
      <c r="AJ162" s="357">
        <v>171015</v>
      </c>
      <c r="AK162" s="357">
        <v>123047</v>
      </c>
      <c r="AL162" s="357">
        <v>0</v>
      </c>
      <c r="AM162" s="357">
        <v>47968</v>
      </c>
      <c r="AN162" s="357">
        <v>171015</v>
      </c>
      <c r="AO162" s="357">
        <v>7306135</v>
      </c>
      <c r="AP162" s="357">
        <v>0</v>
      </c>
      <c r="AQ162" s="357">
        <v>417941</v>
      </c>
      <c r="AR162" s="357">
        <v>7724076</v>
      </c>
      <c r="AS162" s="357">
        <v>365307</v>
      </c>
      <c r="AT162" s="357">
        <v>0</v>
      </c>
      <c r="AU162" s="357">
        <v>20897</v>
      </c>
      <c r="AV162" s="357">
        <v>386204</v>
      </c>
      <c r="AW162" s="357">
        <v>3312871</v>
      </c>
      <c r="AX162" s="357">
        <v>0</v>
      </c>
      <c r="AY162" s="357">
        <v>921468</v>
      </c>
      <c r="AZ162" s="357">
        <v>4234339</v>
      </c>
      <c r="BA162" s="357">
        <v>3993264</v>
      </c>
      <c r="BB162" s="357">
        <v>0</v>
      </c>
      <c r="BC162" s="357">
        <v>-503527</v>
      </c>
      <c r="BD162" s="357">
        <v>3489737</v>
      </c>
      <c r="BE162" s="357">
        <v>15906077</v>
      </c>
      <c r="BF162" s="357">
        <v>0</v>
      </c>
      <c r="BG162" s="357">
        <v>9849</v>
      </c>
      <c r="BH162" s="357">
        <v>15915926</v>
      </c>
      <c r="BI162" s="357">
        <v>4685</v>
      </c>
      <c r="BJ162" s="357">
        <v>0</v>
      </c>
      <c r="BK162" s="357">
        <v>0</v>
      </c>
      <c r="BL162" s="357">
        <v>4685</v>
      </c>
      <c r="BM162" s="357">
        <v>0</v>
      </c>
      <c r="BN162" s="357">
        <v>0</v>
      </c>
      <c r="BO162" s="357">
        <v>0</v>
      </c>
      <c r="BP162" s="357">
        <v>0</v>
      </c>
      <c r="BQ162" s="357">
        <v>19904026</v>
      </c>
      <c r="BR162" s="357">
        <v>0</v>
      </c>
      <c r="BS162" s="357">
        <v>-493678</v>
      </c>
      <c r="BT162" s="357">
        <v>1891667</v>
      </c>
      <c r="BU162" s="357">
        <v>0</v>
      </c>
      <c r="BV162" s="357">
        <v>49368</v>
      </c>
      <c r="BW162" s="357">
        <v>21795693</v>
      </c>
      <c r="BX162" s="357">
        <v>0</v>
      </c>
      <c r="BY162" s="357">
        <v>-444310</v>
      </c>
      <c r="BZ162" s="357">
        <v>21351383</v>
      </c>
      <c r="CA162" s="357">
        <v>330000</v>
      </c>
      <c r="CB162" s="357">
        <v>0</v>
      </c>
      <c r="CC162" s="357">
        <v>20000</v>
      </c>
      <c r="CD162" s="357">
        <v>350000</v>
      </c>
      <c r="CE162" s="357">
        <v>8009114</v>
      </c>
      <c r="CF162" s="357">
        <v>0</v>
      </c>
      <c r="CG162" s="357">
        <v>8387714</v>
      </c>
      <c r="CH162" s="357">
        <v>16396828</v>
      </c>
      <c r="CI162" s="357">
        <v>8339114</v>
      </c>
      <c r="CJ162" s="357">
        <v>0</v>
      </c>
      <c r="CK162" s="357">
        <v>8407714</v>
      </c>
      <c r="CL162" s="357">
        <v>386805</v>
      </c>
      <c r="CM162" s="357">
        <v>0</v>
      </c>
      <c r="CN162" s="357">
        <v>0</v>
      </c>
      <c r="CO162" s="357">
        <v>8725919</v>
      </c>
      <c r="CP162" s="357">
        <v>0</v>
      </c>
      <c r="CQ162" s="357">
        <v>8407714</v>
      </c>
      <c r="CR162" s="357">
        <v>17133633</v>
      </c>
      <c r="CS162" s="357">
        <v>18459</v>
      </c>
      <c r="CT162" s="357">
        <v>0</v>
      </c>
      <c r="CU162" s="357">
        <v>9656</v>
      </c>
      <c r="CV162" s="357">
        <v>28115</v>
      </c>
      <c r="CW162" s="357">
        <v>70647</v>
      </c>
      <c r="CX162" s="357">
        <v>0</v>
      </c>
      <c r="CY162" s="357">
        <v>0</v>
      </c>
      <c r="CZ162" s="357">
        <v>70647</v>
      </c>
      <c r="DA162" s="357">
        <v>0</v>
      </c>
      <c r="DB162" s="357">
        <v>0</v>
      </c>
      <c r="DC162" s="357">
        <v>0</v>
      </c>
      <c r="DD162" s="357">
        <v>0</v>
      </c>
      <c r="DE162" s="357">
        <v>0</v>
      </c>
      <c r="DF162" s="357">
        <v>0</v>
      </c>
      <c r="DG162" s="357">
        <v>0</v>
      </c>
      <c r="DH162" s="357">
        <v>0</v>
      </c>
      <c r="DI162" s="357">
        <v>0</v>
      </c>
      <c r="DJ162" s="357">
        <v>0</v>
      </c>
      <c r="DK162" s="357">
        <v>0</v>
      </c>
      <c r="DL162" s="357">
        <v>0</v>
      </c>
      <c r="DM162" s="357">
        <v>0</v>
      </c>
      <c r="DN162" s="357">
        <v>0</v>
      </c>
      <c r="DO162" s="357">
        <v>0</v>
      </c>
      <c r="DP162" s="357">
        <v>0</v>
      </c>
      <c r="DQ162" s="357">
        <v>89106</v>
      </c>
      <c r="DR162" s="357">
        <v>0</v>
      </c>
      <c r="DS162" s="357">
        <v>9656</v>
      </c>
      <c r="DT162" s="357">
        <v>0</v>
      </c>
      <c r="DU162" s="357">
        <v>0</v>
      </c>
      <c r="DV162" s="357">
        <v>0</v>
      </c>
      <c r="DW162" s="357">
        <v>89106</v>
      </c>
      <c r="DX162" s="357">
        <v>0</v>
      </c>
      <c r="DY162" s="357">
        <v>9656</v>
      </c>
      <c r="DZ162" s="357">
        <v>98762</v>
      </c>
      <c r="EA162" s="357">
        <v>0</v>
      </c>
      <c r="EB162" s="357">
        <v>0</v>
      </c>
      <c r="EC162" s="357">
        <v>400000</v>
      </c>
      <c r="ED162" s="357">
        <v>0</v>
      </c>
      <c r="EE162" s="357">
        <v>0</v>
      </c>
      <c r="EF162" s="357">
        <v>400000</v>
      </c>
      <c r="EG162" s="357">
        <v>66969</v>
      </c>
      <c r="EH162" s="357">
        <v>0</v>
      </c>
      <c r="EI162" s="357">
        <v>7362</v>
      </c>
      <c r="EJ162" s="357">
        <v>74331</v>
      </c>
      <c r="EK162" s="357">
        <v>2130281</v>
      </c>
      <c r="EL162" s="357">
        <v>0</v>
      </c>
      <c r="EM162" s="357">
        <v>171417</v>
      </c>
      <c r="EN162" s="357">
        <v>2301698</v>
      </c>
      <c r="EO162" s="357">
        <v>2597250</v>
      </c>
      <c r="EP162" s="357">
        <v>0</v>
      </c>
      <c r="EQ162" s="357">
        <v>178779</v>
      </c>
      <c r="ER162" s="357">
        <v>0</v>
      </c>
      <c r="ES162" s="357">
        <v>0</v>
      </c>
      <c r="ET162" s="357">
        <v>0</v>
      </c>
      <c r="EU162" s="357">
        <v>2597250</v>
      </c>
      <c r="EV162" s="357">
        <v>0</v>
      </c>
      <c r="EW162" s="357">
        <v>178779</v>
      </c>
      <c r="EX162" s="357">
        <v>2776029</v>
      </c>
      <c r="EY162" s="357">
        <v>165901746</v>
      </c>
      <c r="EZ162" s="357">
        <v>0</v>
      </c>
      <c r="FA162" s="357">
        <v>34052028</v>
      </c>
      <c r="FB162" s="357">
        <v>199953774</v>
      </c>
      <c r="FC162" s="277">
        <v>0</v>
      </c>
      <c r="FD162" s="205"/>
    </row>
    <row r="163" spans="1:160" ht="12.75">
      <c r="A163" s="169">
        <v>156</v>
      </c>
      <c r="B163" s="172" t="s">
        <v>220</v>
      </c>
      <c r="C163" s="258" t="s">
        <v>221</v>
      </c>
      <c r="D163" s="235">
        <v>210114</v>
      </c>
      <c r="E163" s="357">
        <v>170329118</v>
      </c>
      <c r="F163" s="357">
        <v>0</v>
      </c>
      <c r="G163" s="357">
        <v>0</v>
      </c>
      <c r="H163" s="357">
        <v>170329118</v>
      </c>
      <c r="I163" s="357">
        <v>80225015</v>
      </c>
      <c r="J163" s="357">
        <v>0</v>
      </c>
      <c r="K163" s="357">
        <v>0</v>
      </c>
      <c r="L163" s="357">
        <v>-1394300</v>
      </c>
      <c r="M163" s="357">
        <v>0</v>
      </c>
      <c r="N163" s="357">
        <v>0</v>
      </c>
      <c r="O163" s="357">
        <v>78830715</v>
      </c>
      <c r="P163" s="357">
        <v>0</v>
      </c>
      <c r="Q163" s="357">
        <v>0</v>
      </c>
      <c r="R163" s="357">
        <v>78830715</v>
      </c>
      <c r="S163" s="357">
        <v>191917</v>
      </c>
      <c r="T163" s="357">
        <v>0</v>
      </c>
      <c r="U163" s="357">
        <v>0</v>
      </c>
      <c r="V163" s="357">
        <v>191917</v>
      </c>
      <c r="W163" s="357">
        <v>399641</v>
      </c>
      <c r="X163" s="357">
        <v>0</v>
      </c>
      <c r="Y163" s="357">
        <v>0</v>
      </c>
      <c r="Z163" s="357">
        <v>399641</v>
      </c>
      <c r="AA163" s="357">
        <v>-207724</v>
      </c>
      <c r="AB163" s="357">
        <v>0</v>
      </c>
      <c r="AC163" s="357">
        <v>0</v>
      </c>
      <c r="AD163" s="357">
        <v>0</v>
      </c>
      <c r="AE163" s="357">
        <v>0</v>
      </c>
      <c r="AF163" s="357">
        <v>0</v>
      </c>
      <c r="AG163" s="357">
        <v>-207724</v>
      </c>
      <c r="AH163" s="357">
        <v>0</v>
      </c>
      <c r="AI163" s="357">
        <v>0</v>
      </c>
      <c r="AJ163" s="357">
        <v>-207724</v>
      </c>
      <c r="AK163" s="357">
        <v>-207724</v>
      </c>
      <c r="AL163" s="357">
        <v>0</v>
      </c>
      <c r="AM163" s="357">
        <v>0</v>
      </c>
      <c r="AN163" s="357">
        <v>-207724</v>
      </c>
      <c r="AO163" s="357">
        <v>2552166.87</v>
      </c>
      <c r="AP163" s="357">
        <v>0</v>
      </c>
      <c r="AQ163" s="357">
        <v>0</v>
      </c>
      <c r="AR163" s="357">
        <v>2552166.87</v>
      </c>
      <c r="AS163" s="357">
        <v>0</v>
      </c>
      <c r="AT163" s="357">
        <v>0</v>
      </c>
      <c r="AU163" s="357">
        <v>0</v>
      </c>
      <c r="AV163" s="357">
        <v>0</v>
      </c>
      <c r="AW163" s="357">
        <v>1646052.1</v>
      </c>
      <c r="AX163" s="357">
        <v>0</v>
      </c>
      <c r="AY163" s="357">
        <v>0</v>
      </c>
      <c r="AZ163" s="357">
        <v>1646052.1</v>
      </c>
      <c r="BA163" s="357">
        <v>906114.77</v>
      </c>
      <c r="BB163" s="357">
        <v>0</v>
      </c>
      <c r="BC163" s="357">
        <v>0</v>
      </c>
      <c r="BD163" s="357">
        <v>906114.77</v>
      </c>
      <c r="BE163" s="357">
        <v>4683988.85</v>
      </c>
      <c r="BF163" s="357">
        <v>0</v>
      </c>
      <c r="BG163" s="357">
        <v>0</v>
      </c>
      <c r="BH163" s="357">
        <v>4683988.85</v>
      </c>
      <c r="BI163" s="357">
        <v>17795.44</v>
      </c>
      <c r="BJ163" s="357">
        <v>0</v>
      </c>
      <c r="BK163" s="357">
        <v>0</v>
      </c>
      <c r="BL163" s="357">
        <v>17795.44</v>
      </c>
      <c r="BM163" s="357">
        <v>0</v>
      </c>
      <c r="BN163" s="357">
        <v>0</v>
      </c>
      <c r="BO163" s="357">
        <v>0</v>
      </c>
      <c r="BP163" s="357">
        <v>0</v>
      </c>
      <c r="BQ163" s="357">
        <v>5607899.06</v>
      </c>
      <c r="BR163" s="357">
        <v>0</v>
      </c>
      <c r="BS163" s="357">
        <v>0</v>
      </c>
      <c r="BT163" s="357">
        <v>93679.78</v>
      </c>
      <c r="BU163" s="357">
        <v>0</v>
      </c>
      <c r="BV163" s="357">
        <v>0</v>
      </c>
      <c r="BW163" s="357">
        <v>5701578.84</v>
      </c>
      <c r="BX163" s="357">
        <v>0</v>
      </c>
      <c r="BY163" s="357">
        <v>0</v>
      </c>
      <c r="BZ163" s="357">
        <v>5701578.84</v>
      </c>
      <c r="CA163" s="357">
        <v>92379</v>
      </c>
      <c r="CB163" s="357">
        <v>0</v>
      </c>
      <c r="CC163" s="357">
        <v>0</v>
      </c>
      <c r="CD163" s="357">
        <v>92379</v>
      </c>
      <c r="CE163" s="357">
        <v>2710795</v>
      </c>
      <c r="CF163" s="357">
        <v>0</v>
      </c>
      <c r="CG163" s="357">
        <v>0</v>
      </c>
      <c r="CH163" s="357">
        <v>2710795</v>
      </c>
      <c r="CI163" s="357">
        <v>2803174</v>
      </c>
      <c r="CJ163" s="357">
        <v>0</v>
      </c>
      <c r="CK163" s="357">
        <v>0</v>
      </c>
      <c r="CL163" s="357">
        <v>56063.48</v>
      </c>
      <c r="CM163" s="357">
        <v>0</v>
      </c>
      <c r="CN163" s="357">
        <v>0</v>
      </c>
      <c r="CO163" s="357">
        <v>2859237.48</v>
      </c>
      <c r="CP163" s="357">
        <v>0</v>
      </c>
      <c r="CQ163" s="357">
        <v>0</v>
      </c>
      <c r="CR163" s="357">
        <v>2859237.48</v>
      </c>
      <c r="CS163" s="357">
        <v>138613</v>
      </c>
      <c r="CT163" s="357">
        <v>0</v>
      </c>
      <c r="CU163" s="357">
        <v>0</v>
      </c>
      <c r="CV163" s="357">
        <v>138613</v>
      </c>
      <c r="CW163" s="357">
        <v>65994</v>
      </c>
      <c r="CX163" s="357">
        <v>0</v>
      </c>
      <c r="CY163" s="357">
        <v>0</v>
      </c>
      <c r="CZ163" s="357">
        <v>65994</v>
      </c>
      <c r="DA163" s="357">
        <v>155.45</v>
      </c>
      <c r="DB163" s="357">
        <v>0</v>
      </c>
      <c r="DC163" s="357">
        <v>0</v>
      </c>
      <c r="DD163" s="357">
        <v>155.45</v>
      </c>
      <c r="DE163" s="357">
        <v>0</v>
      </c>
      <c r="DF163" s="357">
        <v>0</v>
      </c>
      <c r="DG163" s="357">
        <v>0</v>
      </c>
      <c r="DH163" s="357">
        <v>0</v>
      </c>
      <c r="DI163" s="357">
        <v>0</v>
      </c>
      <c r="DJ163" s="357">
        <v>0</v>
      </c>
      <c r="DK163" s="357">
        <v>0</v>
      </c>
      <c r="DL163" s="357">
        <v>0</v>
      </c>
      <c r="DM163" s="357">
        <v>0</v>
      </c>
      <c r="DN163" s="357">
        <v>0</v>
      </c>
      <c r="DO163" s="357">
        <v>0</v>
      </c>
      <c r="DP163" s="357">
        <v>0</v>
      </c>
      <c r="DQ163" s="357">
        <v>204762.45</v>
      </c>
      <c r="DR163" s="357">
        <v>0</v>
      </c>
      <c r="DS163" s="357">
        <v>0</v>
      </c>
      <c r="DT163" s="357">
        <v>0</v>
      </c>
      <c r="DU163" s="357">
        <v>0</v>
      </c>
      <c r="DV163" s="357">
        <v>0</v>
      </c>
      <c r="DW163" s="357">
        <v>204762.45</v>
      </c>
      <c r="DX163" s="357">
        <v>0</v>
      </c>
      <c r="DY163" s="357">
        <v>0</v>
      </c>
      <c r="DZ163" s="357">
        <v>204762.45</v>
      </c>
      <c r="EA163" s="357">
        <v>0</v>
      </c>
      <c r="EB163" s="357">
        <v>0</v>
      </c>
      <c r="EC163" s="357">
        <v>0</v>
      </c>
      <c r="ED163" s="357">
        <v>0</v>
      </c>
      <c r="EE163" s="357">
        <v>0</v>
      </c>
      <c r="EF163" s="357">
        <v>0</v>
      </c>
      <c r="EG163" s="357">
        <v>30166</v>
      </c>
      <c r="EH163" s="357">
        <v>0</v>
      </c>
      <c r="EI163" s="357">
        <v>0</v>
      </c>
      <c r="EJ163" s="357">
        <v>30166</v>
      </c>
      <c r="EK163" s="357">
        <v>1029466.82</v>
      </c>
      <c r="EL163" s="357">
        <v>0</v>
      </c>
      <c r="EM163" s="357">
        <v>0</v>
      </c>
      <c r="EN163" s="357">
        <v>1029466.82</v>
      </c>
      <c r="EO163" s="357">
        <v>1059632.82</v>
      </c>
      <c r="EP163" s="357">
        <v>0</v>
      </c>
      <c r="EQ163" s="357">
        <v>0</v>
      </c>
      <c r="ER163" s="357">
        <v>0</v>
      </c>
      <c r="ES163" s="357">
        <v>0</v>
      </c>
      <c r="ET163" s="357">
        <v>0</v>
      </c>
      <c r="EU163" s="357">
        <v>1059632.82</v>
      </c>
      <c r="EV163" s="357">
        <v>0</v>
      </c>
      <c r="EW163" s="357">
        <v>0</v>
      </c>
      <c r="EX163" s="357">
        <v>1059632.82</v>
      </c>
      <c r="EY163" s="357">
        <v>69213227.4</v>
      </c>
      <c r="EZ163" s="357">
        <v>0</v>
      </c>
      <c r="FA163" s="357">
        <v>0</v>
      </c>
      <c r="FB163" s="357">
        <v>69213227.4</v>
      </c>
      <c r="FC163" s="277">
        <v>0</v>
      </c>
      <c r="FD163" s="205"/>
    </row>
    <row r="164" spans="1:160" ht="12.75">
      <c r="A164" s="169">
        <v>157</v>
      </c>
      <c r="B164" s="172" t="s">
        <v>222</v>
      </c>
      <c r="C164" s="258" t="s">
        <v>223</v>
      </c>
      <c r="D164" s="235">
        <v>41661</v>
      </c>
      <c r="E164" s="357">
        <v>141254055</v>
      </c>
      <c r="F164" s="357">
        <v>0</v>
      </c>
      <c r="G164" s="357">
        <v>0</v>
      </c>
      <c r="H164" s="357">
        <v>141254055</v>
      </c>
      <c r="I164" s="357">
        <v>66530660</v>
      </c>
      <c r="J164" s="357">
        <v>0</v>
      </c>
      <c r="K164" s="357">
        <v>0</v>
      </c>
      <c r="L164" s="357">
        <v>0</v>
      </c>
      <c r="M164" s="357">
        <v>0</v>
      </c>
      <c r="N164" s="357">
        <v>0</v>
      </c>
      <c r="O164" s="357">
        <v>66530660</v>
      </c>
      <c r="P164" s="357">
        <v>0</v>
      </c>
      <c r="Q164" s="357">
        <v>0</v>
      </c>
      <c r="R164" s="357">
        <v>66530660</v>
      </c>
      <c r="S164" s="357">
        <v>29451</v>
      </c>
      <c r="T164" s="357">
        <v>0</v>
      </c>
      <c r="U164" s="357">
        <v>0</v>
      </c>
      <c r="V164" s="357">
        <v>29451</v>
      </c>
      <c r="W164" s="357">
        <v>49824</v>
      </c>
      <c r="X164" s="357">
        <v>0</v>
      </c>
      <c r="Y164" s="357">
        <v>0</v>
      </c>
      <c r="Z164" s="357">
        <v>49824</v>
      </c>
      <c r="AA164" s="357">
        <v>-20373</v>
      </c>
      <c r="AB164" s="357">
        <v>0</v>
      </c>
      <c r="AC164" s="357">
        <v>0</v>
      </c>
      <c r="AD164" s="357">
        <v>0</v>
      </c>
      <c r="AE164" s="357">
        <v>0</v>
      </c>
      <c r="AF164" s="357">
        <v>0</v>
      </c>
      <c r="AG164" s="357">
        <v>-20373</v>
      </c>
      <c r="AH164" s="357">
        <v>0</v>
      </c>
      <c r="AI164" s="357">
        <v>0</v>
      </c>
      <c r="AJ164" s="357">
        <v>-20373</v>
      </c>
      <c r="AK164" s="357">
        <v>-20373</v>
      </c>
      <c r="AL164" s="357">
        <v>0</v>
      </c>
      <c r="AM164" s="357">
        <v>0</v>
      </c>
      <c r="AN164" s="357">
        <v>-20373</v>
      </c>
      <c r="AO164" s="357">
        <v>3201424</v>
      </c>
      <c r="AP164" s="357">
        <v>0</v>
      </c>
      <c r="AQ164" s="357">
        <v>0</v>
      </c>
      <c r="AR164" s="357">
        <v>3201424</v>
      </c>
      <c r="AS164" s="357">
        <v>100370</v>
      </c>
      <c r="AT164" s="357">
        <v>0</v>
      </c>
      <c r="AU164" s="357">
        <v>0</v>
      </c>
      <c r="AV164" s="357">
        <v>100370</v>
      </c>
      <c r="AW164" s="357">
        <v>1351593</v>
      </c>
      <c r="AX164" s="357">
        <v>0</v>
      </c>
      <c r="AY164" s="357">
        <v>0</v>
      </c>
      <c r="AZ164" s="357">
        <v>1351593</v>
      </c>
      <c r="BA164" s="357">
        <v>1849831</v>
      </c>
      <c r="BB164" s="357">
        <v>0</v>
      </c>
      <c r="BC164" s="357">
        <v>0</v>
      </c>
      <c r="BD164" s="357">
        <v>1849831</v>
      </c>
      <c r="BE164" s="357">
        <v>3652402</v>
      </c>
      <c r="BF164" s="357">
        <v>0</v>
      </c>
      <c r="BG164" s="357">
        <v>0</v>
      </c>
      <c r="BH164" s="357">
        <v>3652402</v>
      </c>
      <c r="BI164" s="357">
        <v>103192</v>
      </c>
      <c r="BJ164" s="357">
        <v>0</v>
      </c>
      <c r="BK164" s="357">
        <v>0</v>
      </c>
      <c r="BL164" s="357">
        <v>103192</v>
      </c>
      <c r="BM164" s="357">
        <v>5429</v>
      </c>
      <c r="BN164" s="357">
        <v>0</v>
      </c>
      <c r="BO164" s="357">
        <v>0</v>
      </c>
      <c r="BP164" s="357">
        <v>5429</v>
      </c>
      <c r="BQ164" s="357">
        <v>5610854</v>
      </c>
      <c r="BR164" s="357">
        <v>0</v>
      </c>
      <c r="BS164" s="357">
        <v>0</v>
      </c>
      <c r="BT164" s="357">
        <v>0</v>
      </c>
      <c r="BU164" s="357">
        <v>0</v>
      </c>
      <c r="BV164" s="357">
        <v>0</v>
      </c>
      <c r="BW164" s="357">
        <v>5610854</v>
      </c>
      <c r="BX164" s="357">
        <v>0</v>
      </c>
      <c r="BY164" s="357">
        <v>0</v>
      </c>
      <c r="BZ164" s="357">
        <v>5610854</v>
      </c>
      <c r="CA164" s="357">
        <v>0</v>
      </c>
      <c r="CB164" s="357">
        <v>0</v>
      </c>
      <c r="CC164" s="357">
        <v>0</v>
      </c>
      <c r="CD164" s="357">
        <v>0</v>
      </c>
      <c r="CE164" s="357">
        <v>2672034</v>
      </c>
      <c r="CF164" s="357">
        <v>0</v>
      </c>
      <c r="CG164" s="357">
        <v>0</v>
      </c>
      <c r="CH164" s="357">
        <v>2672034</v>
      </c>
      <c r="CI164" s="357">
        <v>2672034</v>
      </c>
      <c r="CJ164" s="357">
        <v>0</v>
      </c>
      <c r="CK164" s="357">
        <v>0</v>
      </c>
      <c r="CL164" s="357">
        <v>335000</v>
      </c>
      <c r="CM164" s="357">
        <v>0</v>
      </c>
      <c r="CN164" s="357">
        <v>0</v>
      </c>
      <c r="CO164" s="357">
        <v>3007034</v>
      </c>
      <c r="CP164" s="357">
        <v>0</v>
      </c>
      <c r="CQ164" s="357">
        <v>0</v>
      </c>
      <c r="CR164" s="357">
        <v>3007034</v>
      </c>
      <c r="CS164" s="357">
        <v>115503</v>
      </c>
      <c r="CT164" s="357">
        <v>0</v>
      </c>
      <c r="CU164" s="357">
        <v>0</v>
      </c>
      <c r="CV164" s="357">
        <v>115503</v>
      </c>
      <c r="CW164" s="357">
        <v>8921</v>
      </c>
      <c r="CX164" s="357">
        <v>0</v>
      </c>
      <c r="CY164" s="357">
        <v>0</v>
      </c>
      <c r="CZ164" s="357">
        <v>8921</v>
      </c>
      <c r="DA164" s="357">
        <v>7881</v>
      </c>
      <c r="DB164" s="357">
        <v>0</v>
      </c>
      <c r="DC164" s="357">
        <v>0</v>
      </c>
      <c r="DD164" s="357">
        <v>7881</v>
      </c>
      <c r="DE164" s="357">
        <v>3362</v>
      </c>
      <c r="DF164" s="357">
        <v>0</v>
      </c>
      <c r="DG164" s="357">
        <v>0</v>
      </c>
      <c r="DH164" s="357">
        <v>3362</v>
      </c>
      <c r="DI164" s="357">
        <v>0</v>
      </c>
      <c r="DJ164" s="357">
        <v>0</v>
      </c>
      <c r="DK164" s="357">
        <v>0</v>
      </c>
      <c r="DL164" s="357">
        <v>0</v>
      </c>
      <c r="DM164" s="357">
        <v>0</v>
      </c>
      <c r="DN164" s="357">
        <v>0</v>
      </c>
      <c r="DO164" s="357">
        <v>0</v>
      </c>
      <c r="DP164" s="357">
        <v>0</v>
      </c>
      <c r="DQ164" s="357">
        <v>135667</v>
      </c>
      <c r="DR164" s="357">
        <v>0</v>
      </c>
      <c r="DS164" s="357">
        <v>0</v>
      </c>
      <c r="DT164" s="357">
        <v>57000</v>
      </c>
      <c r="DU164" s="357">
        <v>0</v>
      </c>
      <c r="DV164" s="357">
        <v>0</v>
      </c>
      <c r="DW164" s="357">
        <v>192667</v>
      </c>
      <c r="DX164" s="357">
        <v>0</v>
      </c>
      <c r="DY164" s="357">
        <v>0</v>
      </c>
      <c r="DZ164" s="357">
        <v>192667</v>
      </c>
      <c r="EA164" s="357">
        <v>0</v>
      </c>
      <c r="EB164" s="357">
        <v>0</v>
      </c>
      <c r="EC164" s="357">
        <v>9000</v>
      </c>
      <c r="ED164" s="357">
        <v>0</v>
      </c>
      <c r="EE164" s="357">
        <v>0</v>
      </c>
      <c r="EF164" s="357">
        <v>9000</v>
      </c>
      <c r="EG164" s="357">
        <v>167559</v>
      </c>
      <c r="EH164" s="357">
        <v>0</v>
      </c>
      <c r="EI164" s="357">
        <v>0</v>
      </c>
      <c r="EJ164" s="357">
        <v>167559</v>
      </c>
      <c r="EK164" s="357">
        <v>538600</v>
      </c>
      <c r="EL164" s="357">
        <v>0</v>
      </c>
      <c r="EM164" s="357">
        <v>0</v>
      </c>
      <c r="EN164" s="357">
        <v>538600</v>
      </c>
      <c r="EO164" s="357">
        <v>715159</v>
      </c>
      <c r="EP164" s="357">
        <v>0</v>
      </c>
      <c r="EQ164" s="357">
        <v>0</v>
      </c>
      <c r="ER164" s="357">
        <v>0</v>
      </c>
      <c r="ES164" s="357">
        <v>0</v>
      </c>
      <c r="ET164" s="357">
        <v>0</v>
      </c>
      <c r="EU164" s="357">
        <v>715159</v>
      </c>
      <c r="EV164" s="357">
        <v>0</v>
      </c>
      <c r="EW164" s="357">
        <v>0</v>
      </c>
      <c r="EX164" s="357">
        <v>715159</v>
      </c>
      <c r="EY164" s="357">
        <v>57025319</v>
      </c>
      <c r="EZ164" s="357">
        <v>0</v>
      </c>
      <c r="FA164" s="357">
        <v>0</v>
      </c>
      <c r="FB164" s="357">
        <v>57025319</v>
      </c>
      <c r="FC164" s="277">
        <v>0</v>
      </c>
      <c r="FD164" s="205"/>
    </row>
    <row r="165" spans="1:160" ht="12.75">
      <c r="A165" s="169">
        <v>158</v>
      </c>
      <c r="B165" s="172" t="s">
        <v>224</v>
      </c>
      <c r="C165" s="258" t="s">
        <v>225</v>
      </c>
      <c r="D165" s="235">
        <v>270114</v>
      </c>
      <c r="E165" s="357">
        <v>35432431</v>
      </c>
      <c r="F165" s="357">
        <v>0</v>
      </c>
      <c r="G165" s="357">
        <v>0</v>
      </c>
      <c r="H165" s="357">
        <v>35432431</v>
      </c>
      <c r="I165" s="357">
        <v>16688675</v>
      </c>
      <c r="J165" s="357">
        <v>0</v>
      </c>
      <c r="K165" s="357">
        <v>0</v>
      </c>
      <c r="L165" s="357">
        <v>255000</v>
      </c>
      <c r="M165" s="357">
        <v>0</v>
      </c>
      <c r="N165" s="357">
        <v>0</v>
      </c>
      <c r="O165" s="357">
        <v>16943675</v>
      </c>
      <c r="P165" s="357">
        <v>0</v>
      </c>
      <c r="Q165" s="357">
        <v>0</v>
      </c>
      <c r="R165" s="357">
        <v>16943675</v>
      </c>
      <c r="S165" s="357">
        <v>28187</v>
      </c>
      <c r="T165" s="357">
        <v>0</v>
      </c>
      <c r="U165" s="357">
        <v>0</v>
      </c>
      <c r="V165" s="357">
        <v>28187</v>
      </c>
      <c r="W165" s="357">
        <v>0</v>
      </c>
      <c r="X165" s="357">
        <v>0</v>
      </c>
      <c r="Y165" s="357">
        <v>0</v>
      </c>
      <c r="Z165" s="357">
        <v>0</v>
      </c>
      <c r="AA165" s="357">
        <v>28187</v>
      </c>
      <c r="AB165" s="357">
        <v>0</v>
      </c>
      <c r="AC165" s="357">
        <v>0</v>
      </c>
      <c r="AD165" s="357">
        <v>0</v>
      </c>
      <c r="AE165" s="357">
        <v>0</v>
      </c>
      <c r="AF165" s="357">
        <v>0</v>
      </c>
      <c r="AG165" s="357">
        <v>28187</v>
      </c>
      <c r="AH165" s="357">
        <v>0</v>
      </c>
      <c r="AI165" s="357">
        <v>0</v>
      </c>
      <c r="AJ165" s="357">
        <v>28187</v>
      </c>
      <c r="AK165" s="357">
        <v>28187</v>
      </c>
      <c r="AL165" s="357">
        <v>0</v>
      </c>
      <c r="AM165" s="357">
        <v>0</v>
      </c>
      <c r="AN165" s="357">
        <v>28187</v>
      </c>
      <c r="AO165" s="357">
        <v>1706837</v>
      </c>
      <c r="AP165" s="357">
        <v>0</v>
      </c>
      <c r="AQ165" s="357">
        <v>0</v>
      </c>
      <c r="AR165" s="357">
        <v>1706837</v>
      </c>
      <c r="AS165" s="357">
        <v>15000</v>
      </c>
      <c r="AT165" s="357">
        <v>0</v>
      </c>
      <c r="AU165" s="357">
        <v>0</v>
      </c>
      <c r="AV165" s="357">
        <v>15000</v>
      </c>
      <c r="AW165" s="357">
        <v>275944</v>
      </c>
      <c r="AX165" s="357">
        <v>0</v>
      </c>
      <c r="AY165" s="357">
        <v>0</v>
      </c>
      <c r="AZ165" s="357">
        <v>275944</v>
      </c>
      <c r="BA165" s="357">
        <v>1430893</v>
      </c>
      <c r="BB165" s="357">
        <v>0</v>
      </c>
      <c r="BC165" s="357">
        <v>0</v>
      </c>
      <c r="BD165" s="357">
        <v>1430893</v>
      </c>
      <c r="BE165" s="357">
        <v>894373.21</v>
      </c>
      <c r="BF165" s="357">
        <v>0</v>
      </c>
      <c r="BG165" s="357">
        <v>0</v>
      </c>
      <c r="BH165" s="357">
        <v>894373.21</v>
      </c>
      <c r="BI165" s="357">
        <v>24129</v>
      </c>
      <c r="BJ165" s="357">
        <v>0</v>
      </c>
      <c r="BK165" s="357">
        <v>0</v>
      </c>
      <c r="BL165" s="357">
        <v>24129</v>
      </c>
      <c r="BM165" s="357">
        <v>11460</v>
      </c>
      <c r="BN165" s="357">
        <v>0</v>
      </c>
      <c r="BO165" s="357">
        <v>0</v>
      </c>
      <c r="BP165" s="357">
        <v>11460</v>
      </c>
      <c r="BQ165" s="357">
        <v>2360855.21</v>
      </c>
      <c r="BR165" s="357">
        <v>0</v>
      </c>
      <c r="BS165" s="357">
        <v>0</v>
      </c>
      <c r="BT165" s="357">
        <v>25000</v>
      </c>
      <c r="BU165" s="357">
        <v>0</v>
      </c>
      <c r="BV165" s="357">
        <v>0</v>
      </c>
      <c r="BW165" s="357">
        <v>2385855.21</v>
      </c>
      <c r="BX165" s="357">
        <v>0</v>
      </c>
      <c r="BY165" s="357">
        <v>0</v>
      </c>
      <c r="BZ165" s="357">
        <v>2385855.21</v>
      </c>
      <c r="CA165" s="357">
        <v>6000</v>
      </c>
      <c r="CB165" s="357">
        <v>0</v>
      </c>
      <c r="CC165" s="357">
        <v>0</v>
      </c>
      <c r="CD165" s="357">
        <v>6000</v>
      </c>
      <c r="CE165" s="357">
        <v>431688.3</v>
      </c>
      <c r="CF165" s="357">
        <v>0</v>
      </c>
      <c r="CG165" s="357">
        <v>0</v>
      </c>
      <c r="CH165" s="357">
        <v>431688.3</v>
      </c>
      <c r="CI165" s="357">
        <v>437688.3</v>
      </c>
      <c r="CJ165" s="357">
        <v>0</v>
      </c>
      <c r="CK165" s="357">
        <v>0</v>
      </c>
      <c r="CL165" s="357">
        <v>0</v>
      </c>
      <c r="CM165" s="357">
        <v>0</v>
      </c>
      <c r="CN165" s="357">
        <v>0</v>
      </c>
      <c r="CO165" s="357">
        <v>437688.3</v>
      </c>
      <c r="CP165" s="357">
        <v>0</v>
      </c>
      <c r="CQ165" s="357">
        <v>0</v>
      </c>
      <c r="CR165" s="357">
        <v>437688.3</v>
      </c>
      <c r="CS165" s="357">
        <v>33685</v>
      </c>
      <c r="CT165" s="357">
        <v>0</v>
      </c>
      <c r="CU165" s="357">
        <v>0</v>
      </c>
      <c r="CV165" s="357">
        <v>33685</v>
      </c>
      <c r="CW165" s="357">
        <v>12947</v>
      </c>
      <c r="CX165" s="357">
        <v>0</v>
      </c>
      <c r="CY165" s="357">
        <v>0</v>
      </c>
      <c r="CZ165" s="357">
        <v>12947</v>
      </c>
      <c r="DA165" s="357">
        <v>0</v>
      </c>
      <c r="DB165" s="357">
        <v>0</v>
      </c>
      <c r="DC165" s="357">
        <v>0</v>
      </c>
      <c r="DD165" s="357">
        <v>0</v>
      </c>
      <c r="DE165" s="357">
        <v>819</v>
      </c>
      <c r="DF165" s="357">
        <v>0</v>
      </c>
      <c r="DG165" s="357">
        <v>0</v>
      </c>
      <c r="DH165" s="357">
        <v>819</v>
      </c>
      <c r="DI165" s="357">
        <v>0</v>
      </c>
      <c r="DJ165" s="357">
        <v>0</v>
      </c>
      <c r="DK165" s="357">
        <v>0</v>
      </c>
      <c r="DL165" s="357">
        <v>0</v>
      </c>
      <c r="DM165" s="357">
        <v>0</v>
      </c>
      <c r="DN165" s="357">
        <v>0</v>
      </c>
      <c r="DO165" s="357">
        <v>0</v>
      </c>
      <c r="DP165" s="357">
        <v>0</v>
      </c>
      <c r="DQ165" s="357">
        <v>47451</v>
      </c>
      <c r="DR165" s="357">
        <v>0</v>
      </c>
      <c r="DS165" s="357">
        <v>0</v>
      </c>
      <c r="DT165" s="357">
        <v>0</v>
      </c>
      <c r="DU165" s="357">
        <v>0</v>
      </c>
      <c r="DV165" s="357">
        <v>0</v>
      </c>
      <c r="DW165" s="357">
        <v>47451</v>
      </c>
      <c r="DX165" s="357">
        <v>0</v>
      </c>
      <c r="DY165" s="357">
        <v>0</v>
      </c>
      <c r="DZ165" s="357">
        <v>47451</v>
      </c>
      <c r="EA165" s="357">
        <v>0</v>
      </c>
      <c r="EB165" s="357">
        <v>0</v>
      </c>
      <c r="EC165" s="357">
        <v>0</v>
      </c>
      <c r="ED165" s="357">
        <v>0</v>
      </c>
      <c r="EE165" s="357">
        <v>0</v>
      </c>
      <c r="EF165" s="357">
        <v>0</v>
      </c>
      <c r="EG165" s="357">
        <v>5159.34</v>
      </c>
      <c r="EH165" s="357">
        <v>0</v>
      </c>
      <c r="EI165" s="357">
        <v>0</v>
      </c>
      <c r="EJ165" s="357">
        <v>5159.34</v>
      </c>
      <c r="EK165" s="357">
        <v>315030.61</v>
      </c>
      <c r="EL165" s="357">
        <v>0</v>
      </c>
      <c r="EM165" s="357">
        <v>0</v>
      </c>
      <c r="EN165" s="357">
        <v>315030.61</v>
      </c>
      <c r="EO165" s="357">
        <v>320189.95</v>
      </c>
      <c r="EP165" s="357">
        <v>0</v>
      </c>
      <c r="EQ165" s="357">
        <v>0</v>
      </c>
      <c r="ER165" s="357">
        <v>0</v>
      </c>
      <c r="ES165" s="357">
        <v>0</v>
      </c>
      <c r="ET165" s="357">
        <v>0</v>
      </c>
      <c r="EU165" s="357">
        <v>320189.95</v>
      </c>
      <c r="EV165" s="357">
        <v>0</v>
      </c>
      <c r="EW165" s="357">
        <v>0</v>
      </c>
      <c r="EX165" s="357">
        <v>320189.95</v>
      </c>
      <c r="EY165" s="357">
        <v>13724303.5</v>
      </c>
      <c r="EZ165" s="357">
        <v>0</v>
      </c>
      <c r="FA165" s="357">
        <v>0</v>
      </c>
      <c r="FB165" s="357">
        <v>13724303.5</v>
      </c>
      <c r="FC165" s="277">
        <v>0</v>
      </c>
      <c r="FD165" s="205"/>
    </row>
    <row r="166" spans="1:160" ht="12.75">
      <c r="A166" s="169">
        <v>159</v>
      </c>
      <c r="B166" s="172" t="s">
        <v>226</v>
      </c>
      <c r="C166" s="258" t="s">
        <v>227</v>
      </c>
      <c r="D166" s="235">
        <v>41598</v>
      </c>
      <c r="E166" s="357">
        <v>41964839</v>
      </c>
      <c r="F166" s="357">
        <v>0</v>
      </c>
      <c r="G166" s="357">
        <v>0</v>
      </c>
      <c r="H166" s="357">
        <v>41964839</v>
      </c>
      <c r="I166" s="357">
        <v>19765439</v>
      </c>
      <c r="J166" s="357">
        <v>0</v>
      </c>
      <c r="K166" s="357">
        <v>0</v>
      </c>
      <c r="L166" s="357">
        <v>0</v>
      </c>
      <c r="M166" s="357">
        <v>0</v>
      </c>
      <c r="N166" s="357">
        <v>0</v>
      </c>
      <c r="O166" s="357">
        <v>19765439</v>
      </c>
      <c r="P166" s="357">
        <v>0</v>
      </c>
      <c r="Q166" s="357">
        <v>0</v>
      </c>
      <c r="R166" s="357">
        <v>19765439</v>
      </c>
      <c r="S166" s="357">
        <v>47525</v>
      </c>
      <c r="T166" s="357">
        <v>0</v>
      </c>
      <c r="U166" s="357">
        <v>0</v>
      </c>
      <c r="V166" s="357">
        <v>47525</v>
      </c>
      <c r="W166" s="357">
        <v>86</v>
      </c>
      <c r="X166" s="357">
        <v>0</v>
      </c>
      <c r="Y166" s="357">
        <v>0</v>
      </c>
      <c r="Z166" s="357">
        <v>86</v>
      </c>
      <c r="AA166" s="357">
        <v>47439</v>
      </c>
      <c r="AB166" s="357">
        <v>0</v>
      </c>
      <c r="AC166" s="357">
        <v>0</v>
      </c>
      <c r="AD166" s="357">
        <v>0</v>
      </c>
      <c r="AE166" s="357">
        <v>0</v>
      </c>
      <c r="AF166" s="357">
        <v>0</v>
      </c>
      <c r="AG166" s="357">
        <v>47439</v>
      </c>
      <c r="AH166" s="357">
        <v>0</v>
      </c>
      <c r="AI166" s="357">
        <v>0</v>
      </c>
      <c r="AJ166" s="357">
        <v>47439</v>
      </c>
      <c r="AK166" s="357">
        <v>47439</v>
      </c>
      <c r="AL166" s="357">
        <v>0</v>
      </c>
      <c r="AM166" s="357">
        <v>0</v>
      </c>
      <c r="AN166" s="357">
        <v>47439</v>
      </c>
      <c r="AO166" s="357">
        <v>1903296</v>
      </c>
      <c r="AP166" s="357">
        <v>0</v>
      </c>
      <c r="AQ166" s="357">
        <v>0</v>
      </c>
      <c r="AR166" s="357">
        <v>1903296</v>
      </c>
      <c r="AS166" s="357">
        <v>0</v>
      </c>
      <c r="AT166" s="357">
        <v>0</v>
      </c>
      <c r="AU166" s="357">
        <v>0</v>
      </c>
      <c r="AV166" s="357">
        <v>0</v>
      </c>
      <c r="AW166" s="357">
        <v>344893</v>
      </c>
      <c r="AX166" s="357">
        <v>0</v>
      </c>
      <c r="AY166" s="357">
        <v>0</v>
      </c>
      <c r="AZ166" s="357">
        <v>344893</v>
      </c>
      <c r="BA166" s="357">
        <v>1558403</v>
      </c>
      <c r="BB166" s="357">
        <v>0</v>
      </c>
      <c r="BC166" s="357">
        <v>0</v>
      </c>
      <c r="BD166" s="357">
        <v>1558403</v>
      </c>
      <c r="BE166" s="357">
        <v>1627501</v>
      </c>
      <c r="BF166" s="357">
        <v>0</v>
      </c>
      <c r="BG166" s="357">
        <v>0</v>
      </c>
      <c r="BH166" s="357">
        <v>1627501</v>
      </c>
      <c r="BI166" s="357">
        <v>42339</v>
      </c>
      <c r="BJ166" s="357">
        <v>0</v>
      </c>
      <c r="BK166" s="357">
        <v>0</v>
      </c>
      <c r="BL166" s="357">
        <v>42339</v>
      </c>
      <c r="BM166" s="357">
        <v>57335</v>
      </c>
      <c r="BN166" s="357">
        <v>0</v>
      </c>
      <c r="BO166" s="357">
        <v>0</v>
      </c>
      <c r="BP166" s="357">
        <v>57335</v>
      </c>
      <c r="BQ166" s="357">
        <v>3285578</v>
      </c>
      <c r="BR166" s="357">
        <v>0</v>
      </c>
      <c r="BS166" s="357">
        <v>0</v>
      </c>
      <c r="BT166" s="357">
        <v>0</v>
      </c>
      <c r="BU166" s="357">
        <v>0</v>
      </c>
      <c r="BV166" s="357">
        <v>0</v>
      </c>
      <c r="BW166" s="357">
        <v>3285578</v>
      </c>
      <c r="BX166" s="357">
        <v>0</v>
      </c>
      <c r="BY166" s="357">
        <v>0</v>
      </c>
      <c r="BZ166" s="357">
        <v>3285578</v>
      </c>
      <c r="CA166" s="357">
        <v>19944</v>
      </c>
      <c r="CB166" s="357">
        <v>0</v>
      </c>
      <c r="CC166" s="357">
        <v>0</v>
      </c>
      <c r="CD166" s="357">
        <v>19944</v>
      </c>
      <c r="CE166" s="357">
        <v>216597</v>
      </c>
      <c r="CF166" s="357">
        <v>0</v>
      </c>
      <c r="CG166" s="357">
        <v>0</v>
      </c>
      <c r="CH166" s="357">
        <v>216597</v>
      </c>
      <c r="CI166" s="357">
        <v>236541</v>
      </c>
      <c r="CJ166" s="357">
        <v>0</v>
      </c>
      <c r="CK166" s="357">
        <v>0</v>
      </c>
      <c r="CL166" s="357">
        <v>145000</v>
      </c>
      <c r="CM166" s="357">
        <v>0</v>
      </c>
      <c r="CN166" s="357">
        <v>0</v>
      </c>
      <c r="CO166" s="357">
        <v>381541</v>
      </c>
      <c r="CP166" s="357">
        <v>0</v>
      </c>
      <c r="CQ166" s="357">
        <v>0</v>
      </c>
      <c r="CR166" s="357">
        <v>381541</v>
      </c>
      <c r="CS166" s="357">
        <v>87105</v>
      </c>
      <c r="CT166" s="357">
        <v>0</v>
      </c>
      <c r="CU166" s="357">
        <v>0</v>
      </c>
      <c r="CV166" s="357">
        <v>87105</v>
      </c>
      <c r="CW166" s="357">
        <v>56028</v>
      </c>
      <c r="CX166" s="357">
        <v>0</v>
      </c>
      <c r="CY166" s="357">
        <v>0</v>
      </c>
      <c r="CZ166" s="357">
        <v>56028</v>
      </c>
      <c r="DA166" s="357">
        <v>10496</v>
      </c>
      <c r="DB166" s="357">
        <v>0</v>
      </c>
      <c r="DC166" s="357">
        <v>0</v>
      </c>
      <c r="DD166" s="357">
        <v>10496</v>
      </c>
      <c r="DE166" s="357">
        <v>31925</v>
      </c>
      <c r="DF166" s="357">
        <v>0</v>
      </c>
      <c r="DG166" s="357">
        <v>0</v>
      </c>
      <c r="DH166" s="357">
        <v>31925</v>
      </c>
      <c r="DI166" s="357">
        <v>30593</v>
      </c>
      <c r="DJ166" s="357">
        <v>0</v>
      </c>
      <c r="DK166" s="357">
        <v>0</v>
      </c>
      <c r="DL166" s="357">
        <v>30593</v>
      </c>
      <c r="DM166" s="357">
        <v>0</v>
      </c>
      <c r="DN166" s="357">
        <v>0</v>
      </c>
      <c r="DO166" s="357">
        <v>0</v>
      </c>
      <c r="DP166" s="357">
        <v>0</v>
      </c>
      <c r="DQ166" s="357">
        <v>216147</v>
      </c>
      <c r="DR166" s="357">
        <v>0</v>
      </c>
      <c r="DS166" s="357">
        <v>0</v>
      </c>
      <c r="DT166" s="357">
        <v>0</v>
      </c>
      <c r="DU166" s="357">
        <v>0</v>
      </c>
      <c r="DV166" s="357">
        <v>0</v>
      </c>
      <c r="DW166" s="357">
        <v>216147</v>
      </c>
      <c r="DX166" s="357">
        <v>0</v>
      </c>
      <c r="DY166" s="357">
        <v>0</v>
      </c>
      <c r="DZ166" s="357">
        <v>216147</v>
      </c>
      <c r="EA166" s="357">
        <v>0</v>
      </c>
      <c r="EB166" s="357">
        <v>0</v>
      </c>
      <c r="EC166" s="357">
        <v>0</v>
      </c>
      <c r="ED166" s="357">
        <v>0</v>
      </c>
      <c r="EE166" s="357">
        <v>0</v>
      </c>
      <c r="EF166" s="357">
        <v>0</v>
      </c>
      <c r="EG166" s="357">
        <v>4271</v>
      </c>
      <c r="EH166" s="357">
        <v>0</v>
      </c>
      <c r="EI166" s="357">
        <v>0</v>
      </c>
      <c r="EJ166" s="357">
        <v>4271</v>
      </c>
      <c r="EK166" s="357">
        <v>331680</v>
      </c>
      <c r="EL166" s="357">
        <v>0</v>
      </c>
      <c r="EM166" s="357">
        <v>0</v>
      </c>
      <c r="EN166" s="357">
        <v>331680</v>
      </c>
      <c r="EO166" s="357">
        <v>335951</v>
      </c>
      <c r="EP166" s="357">
        <v>0</v>
      </c>
      <c r="EQ166" s="357">
        <v>0</v>
      </c>
      <c r="ER166" s="357">
        <v>0</v>
      </c>
      <c r="ES166" s="357">
        <v>0</v>
      </c>
      <c r="ET166" s="357">
        <v>0</v>
      </c>
      <c r="EU166" s="357">
        <v>335951</v>
      </c>
      <c r="EV166" s="357">
        <v>0</v>
      </c>
      <c r="EW166" s="357">
        <v>0</v>
      </c>
      <c r="EX166" s="357">
        <v>335951</v>
      </c>
      <c r="EY166" s="357">
        <v>15498783</v>
      </c>
      <c r="EZ166" s="357">
        <v>0</v>
      </c>
      <c r="FA166" s="357">
        <v>0</v>
      </c>
      <c r="FB166" s="357">
        <v>15498783</v>
      </c>
      <c r="FC166" s="277">
        <v>0</v>
      </c>
      <c r="FD166" s="205"/>
    </row>
    <row r="167" spans="1:160" ht="12.75">
      <c r="A167" s="169">
        <v>160</v>
      </c>
      <c r="B167" s="172" t="s">
        <v>228</v>
      </c>
      <c r="C167" s="258" t="s">
        <v>229</v>
      </c>
      <c r="D167" s="235">
        <v>41667</v>
      </c>
      <c r="E167" s="357">
        <v>842281000</v>
      </c>
      <c r="F167" s="357">
        <v>0</v>
      </c>
      <c r="G167" s="357">
        <v>13190875</v>
      </c>
      <c r="H167" s="357">
        <v>855471875</v>
      </c>
      <c r="I167" s="357">
        <v>396714351</v>
      </c>
      <c r="J167" s="357">
        <v>0</v>
      </c>
      <c r="K167" s="357">
        <v>6212902</v>
      </c>
      <c r="L167" s="357">
        <v>14382</v>
      </c>
      <c r="M167" s="357">
        <v>0</v>
      </c>
      <c r="N167" s="357">
        <v>0</v>
      </c>
      <c r="O167" s="357">
        <v>396728733</v>
      </c>
      <c r="P167" s="357">
        <v>0</v>
      </c>
      <c r="Q167" s="357">
        <v>6212902</v>
      </c>
      <c r="R167" s="357">
        <v>402941635</v>
      </c>
      <c r="S167" s="357">
        <v>591933</v>
      </c>
      <c r="T167" s="357">
        <v>0</v>
      </c>
      <c r="U167" s="357">
        <v>233</v>
      </c>
      <c r="V167" s="357">
        <v>592166</v>
      </c>
      <c r="W167" s="357">
        <v>124480</v>
      </c>
      <c r="X167" s="357">
        <v>0</v>
      </c>
      <c r="Y167" s="357">
        <v>0</v>
      </c>
      <c r="Z167" s="357">
        <v>124480</v>
      </c>
      <c r="AA167" s="357">
        <v>467453</v>
      </c>
      <c r="AB167" s="357">
        <v>0</v>
      </c>
      <c r="AC167" s="357">
        <v>233</v>
      </c>
      <c r="AD167" s="357">
        <v>0</v>
      </c>
      <c r="AE167" s="357">
        <v>0</v>
      </c>
      <c r="AF167" s="357">
        <v>0</v>
      </c>
      <c r="AG167" s="357">
        <v>467453</v>
      </c>
      <c r="AH167" s="357">
        <v>0</v>
      </c>
      <c r="AI167" s="357">
        <v>233</v>
      </c>
      <c r="AJ167" s="357">
        <v>467686</v>
      </c>
      <c r="AK167" s="357">
        <v>467453</v>
      </c>
      <c r="AL167" s="357">
        <v>0</v>
      </c>
      <c r="AM167" s="357">
        <v>233</v>
      </c>
      <c r="AN167" s="357">
        <v>467686</v>
      </c>
      <c r="AO167" s="357">
        <v>9089998</v>
      </c>
      <c r="AP167" s="357">
        <v>0</v>
      </c>
      <c r="AQ167" s="357">
        <v>22521</v>
      </c>
      <c r="AR167" s="357">
        <v>9112519</v>
      </c>
      <c r="AS167" s="357">
        <v>0</v>
      </c>
      <c r="AT167" s="357">
        <v>0</v>
      </c>
      <c r="AU167" s="357">
        <v>0</v>
      </c>
      <c r="AV167" s="357">
        <v>0</v>
      </c>
      <c r="AW167" s="357">
        <v>6837558</v>
      </c>
      <c r="AX167" s="357">
        <v>0</v>
      </c>
      <c r="AY167" s="357">
        <v>135026</v>
      </c>
      <c r="AZ167" s="357">
        <v>6972584</v>
      </c>
      <c r="BA167" s="357">
        <v>2252440</v>
      </c>
      <c r="BB167" s="357">
        <v>0</v>
      </c>
      <c r="BC167" s="357">
        <v>-112505</v>
      </c>
      <c r="BD167" s="357">
        <v>2139935</v>
      </c>
      <c r="BE167" s="357">
        <v>24883156</v>
      </c>
      <c r="BF167" s="357">
        <v>0</v>
      </c>
      <c r="BG167" s="357">
        <v>0</v>
      </c>
      <c r="BH167" s="357">
        <v>24883156</v>
      </c>
      <c r="BI167" s="357">
        <v>99496</v>
      </c>
      <c r="BJ167" s="357">
        <v>0</v>
      </c>
      <c r="BK167" s="357">
        <v>0</v>
      </c>
      <c r="BL167" s="357">
        <v>99496</v>
      </c>
      <c r="BM167" s="357">
        <v>0</v>
      </c>
      <c r="BN167" s="357">
        <v>0</v>
      </c>
      <c r="BO167" s="357">
        <v>0</v>
      </c>
      <c r="BP167" s="357">
        <v>0</v>
      </c>
      <c r="BQ167" s="357">
        <v>27235092</v>
      </c>
      <c r="BR167" s="357">
        <v>0</v>
      </c>
      <c r="BS167" s="357">
        <v>-112505</v>
      </c>
      <c r="BT167" s="357">
        <v>0</v>
      </c>
      <c r="BU167" s="357">
        <v>0</v>
      </c>
      <c r="BV167" s="357">
        <v>0</v>
      </c>
      <c r="BW167" s="357">
        <v>27235092</v>
      </c>
      <c r="BX167" s="357">
        <v>0</v>
      </c>
      <c r="BY167" s="357">
        <v>-112505</v>
      </c>
      <c r="BZ167" s="357">
        <v>27122587</v>
      </c>
      <c r="CA167" s="357">
        <v>0</v>
      </c>
      <c r="CB167" s="357">
        <v>0</v>
      </c>
      <c r="CC167" s="357">
        <v>0</v>
      </c>
      <c r="CD167" s="357">
        <v>0</v>
      </c>
      <c r="CE167" s="357">
        <v>32502631</v>
      </c>
      <c r="CF167" s="357">
        <v>0</v>
      </c>
      <c r="CG167" s="357">
        <v>205990</v>
      </c>
      <c r="CH167" s="357">
        <v>32708621</v>
      </c>
      <c r="CI167" s="357">
        <v>32502631</v>
      </c>
      <c r="CJ167" s="357">
        <v>0</v>
      </c>
      <c r="CK167" s="357">
        <v>205990</v>
      </c>
      <c r="CL167" s="357">
        <v>0</v>
      </c>
      <c r="CM167" s="357">
        <v>0</v>
      </c>
      <c r="CN167" s="357">
        <v>0</v>
      </c>
      <c r="CO167" s="357">
        <v>32502631</v>
      </c>
      <c r="CP167" s="357">
        <v>0</v>
      </c>
      <c r="CQ167" s="357">
        <v>205990</v>
      </c>
      <c r="CR167" s="357">
        <v>32708621</v>
      </c>
      <c r="CS167" s="357">
        <v>650346</v>
      </c>
      <c r="CT167" s="357">
        <v>0</v>
      </c>
      <c r="CU167" s="357">
        <v>0</v>
      </c>
      <c r="CV167" s="357">
        <v>650346</v>
      </c>
      <c r="CW167" s="357">
        <v>1121648</v>
      </c>
      <c r="CX167" s="357">
        <v>0</v>
      </c>
      <c r="CY167" s="357">
        <v>0</v>
      </c>
      <c r="CZ167" s="357">
        <v>1121648</v>
      </c>
      <c r="DA167" s="357">
        <v>0</v>
      </c>
      <c r="DB167" s="357">
        <v>0</v>
      </c>
      <c r="DC167" s="357">
        <v>0</v>
      </c>
      <c r="DD167" s="357">
        <v>0</v>
      </c>
      <c r="DE167" s="357">
        <v>0</v>
      </c>
      <c r="DF167" s="357">
        <v>0</v>
      </c>
      <c r="DG167" s="357">
        <v>0</v>
      </c>
      <c r="DH167" s="357">
        <v>0</v>
      </c>
      <c r="DI167" s="357">
        <v>0</v>
      </c>
      <c r="DJ167" s="357">
        <v>0</v>
      </c>
      <c r="DK167" s="357">
        <v>0</v>
      </c>
      <c r="DL167" s="357">
        <v>0</v>
      </c>
      <c r="DM167" s="357">
        <v>0</v>
      </c>
      <c r="DN167" s="357">
        <v>0</v>
      </c>
      <c r="DO167" s="357">
        <v>372117</v>
      </c>
      <c r="DP167" s="357">
        <v>372117</v>
      </c>
      <c r="DQ167" s="357">
        <v>1771994</v>
      </c>
      <c r="DR167" s="357">
        <v>0</v>
      </c>
      <c r="DS167" s="357">
        <v>372117</v>
      </c>
      <c r="DT167" s="357">
        <v>0</v>
      </c>
      <c r="DU167" s="357">
        <v>0</v>
      </c>
      <c r="DV167" s="357">
        <v>0</v>
      </c>
      <c r="DW167" s="357">
        <v>1771994</v>
      </c>
      <c r="DX167" s="357">
        <v>0</v>
      </c>
      <c r="DY167" s="357">
        <v>372117</v>
      </c>
      <c r="DZ167" s="357">
        <v>2144111</v>
      </c>
      <c r="EA167" s="357">
        <v>0</v>
      </c>
      <c r="EB167" s="357">
        <v>0</v>
      </c>
      <c r="EC167" s="357">
        <v>0</v>
      </c>
      <c r="ED167" s="357">
        <v>0</v>
      </c>
      <c r="EE167" s="357">
        <v>0</v>
      </c>
      <c r="EF167" s="357">
        <v>0</v>
      </c>
      <c r="EG167" s="357">
        <v>0</v>
      </c>
      <c r="EH167" s="357">
        <v>0</v>
      </c>
      <c r="EI167" s="357">
        <v>0</v>
      </c>
      <c r="EJ167" s="357">
        <v>0</v>
      </c>
      <c r="EK167" s="357">
        <v>3289605</v>
      </c>
      <c r="EL167" s="357">
        <v>0</v>
      </c>
      <c r="EM167" s="357">
        <v>0</v>
      </c>
      <c r="EN167" s="357">
        <v>3289605</v>
      </c>
      <c r="EO167" s="357">
        <v>3289605</v>
      </c>
      <c r="EP167" s="357">
        <v>0</v>
      </c>
      <c r="EQ167" s="357">
        <v>0</v>
      </c>
      <c r="ER167" s="357">
        <v>0</v>
      </c>
      <c r="ES167" s="357">
        <v>0</v>
      </c>
      <c r="ET167" s="357">
        <v>0</v>
      </c>
      <c r="EU167" s="357">
        <v>3289605</v>
      </c>
      <c r="EV167" s="357">
        <v>0</v>
      </c>
      <c r="EW167" s="357">
        <v>0</v>
      </c>
      <c r="EX167" s="357">
        <v>3289605</v>
      </c>
      <c r="EY167" s="357">
        <v>331461958</v>
      </c>
      <c r="EZ167" s="357">
        <v>0</v>
      </c>
      <c r="FA167" s="357">
        <v>5747067</v>
      </c>
      <c r="FB167" s="357">
        <v>337209025</v>
      </c>
      <c r="FC167" s="277">
        <v>0</v>
      </c>
      <c r="FD167" s="205"/>
    </row>
    <row r="168" spans="1:160" ht="12.75">
      <c r="A168" s="169">
        <v>161</v>
      </c>
      <c r="B168" s="172" t="s">
        <v>230</v>
      </c>
      <c r="C168" s="258" t="s">
        <v>231</v>
      </c>
      <c r="D168" s="235">
        <v>41610</v>
      </c>
      <c r="E168" s="357">
        <v>71939368</v>
      </c>
      <c r="F168" s="357">
        <v>0</v>
      </c>
      <c r="G168" s="357">
        <v>0</v>
      </c>
      <c r="H168" s="357">
        <v>71939368</v>
      </c>
      <c r="I168" s="357">
        <v>33883442</v>
      </c>
      <c r="J168" s="357">
        <v>0</v>
      </c>
      <c r="K168" s="357">
        <v>0</v>
      </c>
      <c r="L168" s="357">
        <v>80000</v>
      </c>
      <c r="M168" s="357">
        <v>0</v>
      </c>
      <c r="N168" s="357">
        <v>0</v>
      </c>
      <c r="O168" s="357">
        <v>33963442</v>
      </c>
      <c r="P168" s="357">
        <v>0</v>
      </c>
      <c r="Q168" s="357">
        <v>0</v>
      </c>
      <c r="R168" s="357">
        <v>33963442</v>
      </c>
      <c r="S168" s="357">
        <v>10266</v>
      </c>
      <c r="T168" s="357">
        <v>0</v>
      </c>
      <c r="U168" s="357">
        <v>0</v>
      </c>
      <c r="V168" s="357">
        <v>10266</v>
      </c>
      <c r="W168" s="357">
        <v>28989</v>
      </c>
      <c r="X168" s="357">
        <v>0</v>
      </c>
      <c r="Y168" s="357">
        <v>0</v>
      </c>
      <c r="Z168" s="357">
        <v>28989</v>
      </c>
      <c r="AA168" s="357">
        <v>-18723</v>
      </c>
      <c r="AB168" s="357">
        <v>0</v>
      </c>
      <c r="AC168" s="357">
        <v>0</v>
      </c>
      <c r="AD168" s="357">
        <v>0</v>
      </c>
      <c r="AE168" s="357">
        <v>0</v>
      </c>
      <c r="AF168" s="357">
        <v>0</v>
      </c>
      <c r="AG168" s="357">
        <v>-18723</v>
      </c>
      <c r="AH168" s="357">
        <v>0</v>
      </c>
      <c r="AI168" s="357">
        <v>0</v>
      </c>
      <c r="AJ168" s="357">
        <v>-18723</v>
      </c>
      <c r="AK168" s="357">
        <v>-18723</v>
      </c>
      <c r="AL168" s="357">
        <v>0</v>
      </c>
      <c r="AM168" s="357">
        <v>0</v>
      </c>
      <c r="AN168" s="357">
        <v>-18723</v>
      </c>
      <c r="AO168" s="357">
        <v>1607176</v>
      </c>
      <c r="AP168" s="357">
        <v>0</v>
      </c>
      <c r="AQ168" s="357">
        <v>0</v>
      </c>
      <c r="AR168" s="357">
        <v>1607176</v>
      </c>
      <c r="AS168" s="357">
        <v>0</v>
      </c>
      <c r="AT168" s="357">
        <v>0</v>
      </c>
      <c r="AU168" s="357">
        <v>0</v>
      </c>
      <c r="AV168" s="357">
        <v>0</v>
      </c>
      <c r="AW168" s="357">
        <v>679032</v>
      </c>
      <c r="AX168" s="357">
        <v>0</v>
      </c>
      <c r="AY168" s="357">
        <v>0</v>
      </c>
      <c r="AZ168" s="357">
        <v>679032</v>
      </c>
      <c r="BA168" s="357">
        <v>928144</v>
      </c>
      <c r="BB168" s="357">
        <v>0</v>
      </c>
      <c r="BC168" s="357">
        <v>0</v>
      </c>
      <c r="BD168" s="357">
        <v>928144</v>
      </c>
      <c r="BE168" s="357">
        <v>1892208</v>
      </c>
      <c r="BF168" s="357">
        <v>0</v>
      </c>
      <c r="BG168" s="357">
        <v>0</v>
      </c>
      <c r="BH168" s="357">
        <v>1892208</v>
      </c>
      <c r="BI168" s="357">
        <v>15424</v>
      </c>
      <c r="BJ168" s="357">
        <v>0</v>
      </c>
      <c r="BK168" s="357">
        <v>0</v>
      </c>
      <c r="BL168" s="357">
        <v>15424</v>
      </c>
      <c r="BM168" s="357">
        <v>0</v>
      </c>
      <c r="BN168" s="357">
        <v>0</v>
      </c>
      <c r="BO168" s="357">
        <v>0</v>
      </c>
      <c r="BP168" s="357">
        <v>0</v>
      </c>
      <c r="BQ168" s="357">
        <v>2835776</v>
      </c>
      <c r="BR168" s="357">
        <v>0</v>
      </c>
      <c r="BS168" s="357">
        <v>0</v>
      </c>
      <c r="BT168" s="357">
        <v>100000</v>
      </c>
      <c r="BU168" s="357">
        <v>0</v>
      </c>
      <c r="BV168" s="357">
        <v>0</v>
      </c>
      <c r="BW168" s="357">
        <v>2935776</v>
      </c>
      <c r="BX168" s="357">
        <v>0</v>
      </c>
      <c r="BY168" s="357">
        <v>0</v>
      </c>
      <c r="BZ168" s="357">
        <v>2935776</v>
      </c>
      <c r="CA168" s="357">
        <v>0</v>
      </c>
      <c r="CB168" s="357">
        <v>0</v>
      </c>
      <c r="CC168" s="357">
        <v>0</v>
      </c>
      <c r="CD168" s="357">
        <v>0</v>
      </c>
      <c r="CE168" s="357">
        <v>809749</v>
      </c>
      <c r="CF168" s="357">
        <v>0</v>
      </c>
      <c r="CG168" s="357">
        <v>0</v>
      </c>
      <c r="CH168" s="357">
        <v>809749</v>
      </c>
      <c r="CI168" s="357">
        <v>809749</v>
      </c>
      <c r="CJ168" s="357">
        <v>0</v>
      </c>
      <c r="CK168" s="357">
        <v>0</v>
      </c>
      <c r="CL168" s="357">
        <v>0</v>
      </c>
      <c r="CM168" s="357">
        <v>0</v>
      </c>
      <c r="CN168" s="357">
        <v>0</v>
      </c>
      <c r="CO168" s="357">
        <v>809749</v>
      </c>
      <c r="CP168" s="357">
        <v>0</v>
      </c>
      <c r="CQ168" s="357">
        <v>0</v>
      </c>
      <c r="CR168" s="357">
        <v>809749</v>
      </c>
      <c r="CS168" s="357">
        <v>7890</v>
      </c>
      <c r="CT168" s="357">
        <v>0</v>
      </c>
      <c r="CU168" s="357">
        <v>0</v>
      </c>
      <c r="CV168" s="357">
        <v>7890</v>
      </c>
      <c r="CW168" s="357">
        <v>88495</v>
      </c>
      <c r="CX168" s="357">
        <v>0</v>
      </c>
      <c r="CY168" s="357">
        <v>0</v>
      </c>
      <c r="CZ168" s="357">
        <v>88495</v>
      </c>
      <c r="DA168" s="357">
        <v>0</v>
      </c>
      <c r="DB168" s="357">
        <v>0</v>
      </c>
      <c r="DC168" s="357">
        <v>0</v>
      </c>
      <c r="DD168" s="357">
        <v>0</v>
      </c>
      <c r="DE168" s="357">
        <v>0</v>
      </c>
      <c r="DF168" s="357">
        <v>0</v>
      </c>
      <c r="DG168" s="357">
        <v>0</v>
      </c>
      <c r="DH168" s="357">
        <v>0</v>
      </c>
      <c r="DI168" s="357">
        <v>0</v>
      </c>
      <c r="DJ168" s="357">
        <v>0</v>
      </c>
      <c r="DK168" s="357">
        <v>0</v>
      </c>
      <c r="DL168" s="357">
        <v>0</v>
      </c>
      <c r="DM168" s="357">
        <v>68143</v>
      </c>
      <c r="DN168" s="357">
        <v>0</v>
      </c>
      <c r="DO168" s="357">
        <v>0</v>
      </c>
      <c r="DP168" s="357">
        <v>68143</v>
      </c>
      <c r="DQ168" s="357">
        <v>164528</v>
      </c>
      <c r="DR168" s="357">
        <v>0</v>
      </c>
      <c r="DS168" s="357">
        <v>0</v>
      </c>
      <c r="DT168" s="357">
        <v>0</v>
      </c>
      <c r="DU168" s="357">
        <v>0</v>
      </c>
      <c r="DV168" s="357">
        <v>0</v>
      </c>
      <c r="DW168" s="357">
        <v>164528</v>
      </c>
      <c r="DX168" s="357">
        <v>0</v>
      </c>
      <c r="DY168" s="357">
        <v>0</v>
      </c>
      <c r="DZ168" s="357">
        <v>164528</v>
      </c>
      <c r="EA168" s="357">
        <v>0</v>
      </c>
      <c r="EB168" s="357">
        <v>0</v>
      </c>
      <c r="EC168" s="357">
        <v>50000</v>
      </c>
      <c r="ED168" s="357">
        <v>0</v>
      </c>
      <c r="EE168" s="357">
        <v>0</v>
      </c>
      <c r="EF168" s="357">
        <v>50000</v>
      </c>
      <c r="EG168" s="357">
        <v>0</v>
      </c>
      <c r="EH168" s="357">
        <v>0</v>
      </c>
      <c r="EI168" s="357">
        <v>0</v>
      </c>
      <c r="EJ168" s="357">
        <v>0</v>
      </c>
      <c r="EK168" s="357">
        <v>457000</v>
      </c>
      <c r="EL168" s="357">
        <v>0</v>
      </c>
      <c r="EM168" s="357">
        <v>0</v>
      </c>
      <c r="EN168" s="357">
        <v>457000</v>
      </c>
      <c r="EO168" s="357">
        <v>507000</v>
      </c>
      <c r="EP168" s="357">
        <v>0</v>
      </c>
      <c r="EQ168" s="357">
        <v>0</v>
      </c>
      <c r="ER168" s="357">
        <v>0</v>
      </c>
      <c r="ES168" s="357">
        <v>0</v>
      </c>
      <c r="ET168" s="357">
        <v>0</v>
      </c>
      <c r="EU168" s="357">
        <v>507000</v>
      </c>
      <c r="EV168" s="357">
        <v>0</v>
      </c>
      <c r="EW168" s="357">
        <v>0</v>
      </c>
      <c r="EX168" s="357">
        <v>507000</v>
      </c>
      <c r="EY168" s="357">
        <v>29565112</v>
      </c>
      <c r="EZ168" s="357">
        <v>0</v>
      </c>
      <c r="FA168" s="357">
        <v>0</v>
      </c>
      <c r="FB168" s="357">
        <v>29565112</v>
      </c>
      <c r="FC168" s="277">
        <v>0</v>
      </c>
      <c r="FD168" s="205"/>
    </row>
    <row r="169" spans="1:160" ht="12.75">
      <c r="A169" s="169">
        <v>162</v>
      </c>
      <c r="B169" s="172" t="s">
        <v>232</v>
      </c>
      <c r="C169" s="258" t="s">
        <v>233</v>
      </c>
      <c r="D169" s="235">
        <v>41654</v>
      </c>
      <c r="E169" s="357">
        <v>224985686</v>
      </c>
      <c r="F169" s="357">
        <v>0</v>
      </c>
      <c r="G169" s="357">
        <v>0</v>
      </c>
      <c r="H169" s="357">
        <v>224985686</v>
      </c>
      <c r="I169" s="357">
        <v>105968258</v>
      </c>
      <c r="J169" s="357">
        <v>0</v>
      </c>
      <c r="K169" s="357">
        <v>0</v>
      </c>
      <c r="L169" s="357">
        <v>-1290828</v>
      </c>
      <c r="M169" s="357">
        <v>0</v>
      </c>
      <c r="N169" s="357">
        <v>0</v>
      </c>
      <c r="O169" s="357">
        <v>104677430</v>
      </c>
      <c r="P169" s="357">
        <v>0</v>
      </c>
      <c r="Q169" s="357">
        <v>0</v>
      </c>
      <c r="R169" s="357">
        <v>104677430</v>
      </c>
      <c r="S169" s="357">
        <v>1047528.99</v>
      </c>
      <c r="T169" s="357">
        <v>0</v>
      </c>
      <c r="U169" s="357">
        <v>0</v>
      </c>
      <c r="V169" s="357">
        <v>1047528.99</v>
      </c>
      <c r="W169" s="357">
        <v>34463.58</v>
      </c>
      <c r="X169" s="357">
        <v>0</v>
      </c>
      <c r="Y169" s="357">
        <v>0</v>
      </c>
      <c r="Z169" s="357">
        <v>34463.58</v>
      </c>
      <c r="AA169" s="357">
        <v>1013065.41</v>
      </c>
      <c r="AB169" s="357">
        <v>0</v>
      </c>
      <c r="AC169" s="357">
        <v>0</v>
      </c>
      <c r="AD169" s="357">
        <v>0</v>
      </c>
      <c r="AE169" s="357">
        <v>0</v>
      </c>
      <c r="AF169" s="357">
        <v>0</v>
      </c>
      <c r="AG169" s="357">
        <v>1013065.41</v>
      </c>
      <c r="AH169" s="357">
        <v>0</v>
      </c>
      <c r="AI169" s="357">
        <v>0</v>
      </c>
      <c r="AJ169" s="357">
        <v>1013065.41</v>
      </c>
      <c r="AK169" s="357">
        <v>1013065.41</v>
      </c>
      <c r="AL169" s="357">
        <v>0</v>
      </c>
      <c r="AM169" s="357">
        <v>0</v>
      </c>
      <c r="AN169" s="357">
        <v>1013065.41</v>
      </c>
      <c r="AO169" s="357">
        <v>3626326.18</v>
      </c>
      <c r="AP169" s="357">
        <v>0</v>
      </c>
      <c r="AQ169" s="357">
        <v>0</v>
      </c>
      <c r="AR169" s="357">
        <v>3626326.18</v>
      </c>
      <c r="AS169" s="357">
        <v>0</v>
      </c>
      <c r="AT169" s="357">
        <v>0</v>
      </c>
      <c r="AU169" s="357">
        <v>0</v>
      </c>
      <c r="AV169" s="357">
        <v>0</v>
      </c>
      <c r="AW169" s="357">
        <v>2323086.33</v>
      </c>
      <c r="AX169" s="357">
        <v>0</v>
      </c>
      <c r="AY169" s="357">
        <v>0</v>
      </c>
      <c r="AZ169" s="357">
        <v>2323086.33</v>
      </c>
      <c r="BA169" s="357">
        <v>1303239.85</v>
      </c>
      <c r="BB169" s="357">
        <v>0</v>
      </c>
      <c r="BC169" s="357">
        <v>0</v>
      </c>
      <c r="BD169" s="357">
        <v>1303239.85</v>
      </c>
      <c r="BE169" s="357">
        <v>6966150.06</v>
      </c>
      <c r="BF169" s="357">
        <v>0</v>
      </c>
      <c r="BG169" s="357">
        <v>0</v>
      </c>
      <c r="BH169" s="357">
        <v>6966150.06</v>
      </c>
      <c r="BI169" s="357">
        <v>105627.07</v>
      </c>
      <c r="BJ169" s="357">
        <v>0</v>
      </c>
      <c r="BK169" s="357">
        <v>0</v>
      </c>
      <c r="BL169" s="357">
        <v>105627.07</v>
      </c>
      <c r="BM169" s="357">
        <v>5036.9</v>
      </c>
      <c r="BN169" s="357">
        <v>0</v>
      </c>
      <c r="BO169" s="357">
        <v>0</v>
      </c>
      <c r="BP169" s="357">
        <v>5036.9</v>
      </c>
      <c r="BQ169" s="357">
        <v>8380053.88</v>
      </c>
      <c r="BR169" s="357">
        <v>0</v>
      </c>
      <c r="BS169" s="357">
        <v>0</v>
      </c>
      <c r="BT169" s="357">
        <v>0</v>
      </c>
      <c r="BU169" s="357">
        <v>0</v>
      </c>
      <c r="BV169" s="357">
        <v>0</v>
      </c>
      <c r="BW169" s="357">
        <v>8380053.88</v>
      </c>
      <c r="BX169" s="357">
        <v>0</v>
      </c>
      <c r="BY169" s="357">
        <v>0</v>
      </c>
      <c r="BZ169" s="357">
        <v>8380053.88</v>
      </c>
      <c r="CA169" s="357">
        <v>0</v>
      </c>
      <c r="CB169" s="357">
        <v>0</v>
      </c>
      <c r="CC169" s="357">
        <v>0</v>
      </c>
      <c r="CD169" s="357">
        <v>0</v>
      </c>
      <c r="CE169" s="357">
        <v>3764078.47</v>
      </c>
      <c r="CF169" s="357">
        <v>0</v>
      </c>
      <c r="CG169" s="357">
        <v>0</v>
      </c>
      <c r="CH169" s="357">
        <v>3764078.47</v>
      </c>
      <c r="CI169" s="357">
        <v>3764078.47</v>
      </c>
      <c r="CJ169" s="357">
        <v>0</v>
      </c>
      <c r="CK169" s="357">
        <v>0</v>
      </c>
      <c r="CL169" s="357">
        <v>0</v>
      </c>
      <c r="CM169" s="357">
        <v>0</v>
      </c>
      <c r="CN169" s="357">
        <v>0</v>
      </c>
      <c r="CO169" s="357">
        <v>3764078.47</v>
      </c>
      <c r="CP169" s="357">
        <v>0</v>
      </c>
      <c r="CQ169" s="357">
        <v>0</v>
      </c>
      <c r="CR169" s="357">
        <v>3764078.47</v>
      </c>
      <c r="CS169" s="357">
        <v>257554.48</v>
      </c>
      <c r="CT169" s="357">
        <v>0</v>
      </c>
      <c r="CU169" s="357">
        <v>0</v>
      </c>
      <c r="CV169" s="357">
        <v>257554.48</v>
      </c>
      <c r="CW169" s="357">
        <v>168821.28</v>
      </c>
      <c r="CX169" s="357">
        <v>0</v>
      </c>
      <c r="CY169" s="357">
        <v>0</v>
      </c>
      <c r="CZ169" s="357">
        <v>168821.28</v>
      </c>
      <c r="DA169" s="357">
        <v>24960.77</v>
      </c>
      <c r="DB169" s="357">
        <v>0</v>
      </c>
      <c r="DC169" s="357">
        <v>0</v>
      </c>
      <c r="DD169" s="357">
        <v>24960.77</v>
      </c>
      <c r="DE169" s="357">
        <v>0</v>
      </c>
      <c r="DF169" s="357">
        <v>0</v>
      </c>
      <c r="DG169" s="357">
        <v>0</v>
      </c>
      <c r="DH169" s="357">
        <v>0</v>
      </c>
      <c r="DI169" s="357">
        <v>0</v>
      </c>
      <c r="DJ169" s="357">
        <v>0</v>
      </c>
      <c r="DK169" s="357">
        <v>0</v>
      </c>
      <c r="DL169" s="357">
        <v>0</v>
      </c>
      <c r="DM169" s="357">
        <v>0</v>
      </c>
      <c r="DN169" s="357">
        <v>0</v>
      </c>
      <c r="DO169" s="357">
        <v>0</v>
      </c>
      <c r="DP169" s="357">
        <v>0</v>
      </c>
      <c r="DQ169" s="357">
        <v>451336.53</v>
      </c>
      <c r="DR169" s="357">
        <v>0</v>
      </c>
      <c r="DS169" s="357">
        <v>0</v>
      </c>
      <c r="DT169" s="357">
        <v>0</v>
      </c>
      <c r="DU169" s="357">
        <v>0</v>
      </c>
      <c r="DV169" s="357">
        <v>0</v>
      </c>
      <c r="DW169" s="357">
        <v>451336.53</v>
      </c>
      <c r="DX169" s="357">
        <v>0</v>
      </c>
      <c r="DY169" s="357">
        <v>0</v>
      </c>
      <c r="DZ169" s="357">
        <v>451336.53</v>
      </c>
      <c r="EA169" s="357">
        <v>0</v>
      </c>
      <c r="EB169" s="357">
        <v>0</v>
      </c>
      <c r="EC169" s="357">
        <v>0</v>
      </c>
      <c r="ED169" s="357">
        <v>0</v>
      </c>
      <c r="EE169" s="357">
        <v>0</v>
      </c>
      <c r="EF169" s="357">
        <v>0</v>
      </c>
      <c r="EG169" s="357">
        <v>637203</v>
      </c>
      <c r="EH169" s="357">
        <v>0</v>
      </c>
      <c r="EI169" s="357">
        <v>0</v>
      </c>
      <c r="EJ169" s="357">
        <v>637203</v>
      </c>
      <c r="EK169" s="357">
        <v>1032400</v>
      </c>
      <c r="EL169" s="357">
        <v>0</v>
      </c>
      <c r="EM169" s="357">
        <v>0</v>
      </c>
      <c r="EN169" s="357">
        <v>1032400</v>
      </c>
      <c r="EO169" s="357">
        <v>1669603</v>
      </c>
      <c r="EP169" s="357">
        <v>0</v>
      </c>
      <c r="EQ169" s="357">
        <v>0</v>
      </c>
      <c r="ER169" s="357">
        <v>0</v>
      </c>
      <c r="ES169" s="357">
        <v>0</v>
      </c>
      <c r="ET169" s="357">
        <v>0</v>
      </c>
      <c r="EU169" s="357">
        <v>1669603</v>
      </c>
      <c r="EV169" s="357">
        <v>0</v>
      </c>
      <c r="EW169" s="357">
        <v>0</v>
      </c>
      <c r="EX169" s="357">
        <v>1669603</v>
      </c>
      <c r="EY169" s="357">
        <v>89399292.7</v>
      </c>
      <c r="EZ169" s="357">
        <v>0</v>
      </c>
      <c r="FA169" s="357">
        <v>0</v>
      </c>
      <c r="FB169" s="357">
        <v>89399292.7</v>
      </c>
      <c r="FC169" s="277">
        <v>0</v>
      </c>
      <c r="FD169" s="205"/>
    </row>
    <row r="170" spans="1:160" ht="12.75">
      <c r="A170" s="169">
        <v>163</v>
      </c>
      <c r="B170" s="172" t="s">
        <v>234</v>
      </c>
      <c r="C170" s="258" t="s">
        <v>235</v>
      </c>
      <c r="D170" s="235">
        <v>41639</v>
      </c>
      <c r="E170" s="357">
        <v>32409671</v>
      </c>
      <c r="F170" s="357">
        <v>0</v>
      </c>
      <c r="G170" s="357">
        <v>0</v>
      </c>
      <c r="H170" s="357">
        <v>32409671</v>
      </c>
      <c r="I170" s="357">
        <v>15264955</v>
      </c>
      <c r="J170" s="357">
        <v>0</v>
      </c>
      <c r="K170" s="357">
        <v>0</v>
      </c>
      <c r="L170" s="357">
        <v>65000</v>
      </c>
      <c r="M170" s="357">
        <v>0</v>
      </c>
      <c r="N170" s="357">
        <v>0</v>
      </c>
      <c r="O170" s="357">
        <v>15329955</v>
      </c>
      <c r="P170" s="357">
        <v>0</v>
      </c>
      <c r="Q170" s="357">
        <v>0</v>
      </c>
      <c r="R170" s="357">
        <v>15329955</v>
      </c>
      <c r="S170" s="357">
        <v>40264</v>
      </c>
      <c r="T170" s="357">
        <v>0</v>
      </c>
      <c r="U170" s="357">
        <v>0</v>
      </c>
      <c r="V170" s="357">
        <v>40264</v>
      </c>
      <c r="W170" s="357">
        <v>0</v>
      </c>
      <c r="X170" s="357">
        <v>0</v>
      </c>
      <c r="Y170" s="357">
        <v>0</v>
      </c>
      <c r="Z170" s="357">
        <v>0</v>
      </c>
      <c r="AA170" s="357">
        <v>40264</v>
      </c>
      <c r="AB170" s="357">
        <v>0</v>
      </c>
      <c r="AC170" s="357">
        <v>0</v>
      </c>
      <c r="AD170" s="357">
        <v>0</v>
      </c>
      <c r="AE170" s="357">
        <v>0</v>
      </c>
      <c r="AF170" s="357">
        <v>0</v>
      </c>
      <c r="AG170" s="357">
        <v>40264</v>
      </c>
      <c r="AH170" s="357">
        <v>0</v>
      </c>
      <c r="AI170" s="357">
        <v>0</v>
      </c>
      <c r="AJ170" s="357">
        <v>40264</v>
      </c>
      <c r="AK170" s="357">
        <v>40264</v>
      </c>
      <c r="AL170" s="357">
        <v>0</v>
      </c>
      <c r="AM170" s="357">
        <v>0</v>
      </c>
      <c r="AN170" s="357">
        <v>40264</v>
      </c>
      <c r="AO170" s="357">
        <v>1202795</v>
      </c>
      <c r="AP170" s="357">
        <v>0</v>
      </c>
      <c r="AQ170" s="357">
        <v>0</v>
      </c>
      <c r="AR170" s="357">
        <v>1202795</v>
      </c>
      <c r="AS170" s="357">
        <v>9080</v>
      </c>
      <c r="AT170" s="357">
        <v>0</v>
      </c>
      <c r="AU170" s="357">
        <v>0</v>
      </c>
      <c r="AV170" s="357">
        <v>9080</v>
      </c>
      <c r="AW170" s="357">
        <v>245983</v>
      </c>
      <c r="AX170" s="357">
        <v>0</v>
      </c>
      <c r="AY170" s="357">
        <v>0</v>
      </c>
      <c r="AZ170" s="357">
        <v>245983</v>
      </c>
      <c r="BA170" s="357">
        <v>956812</v>
      </c>
      <c r="BB170" s="357">
        <v>0</v>
      </c>
      <c r="BC170" s="357">
        <v>0</v>
      </c>
      <c r="BD170" s="357">
        <v>956812</v>
      </c>
      <c r="BE170" s="357">
        <v>884400</v>
      </c>
      <c r="BF170" s="357">
        <v>0</v>
      </c>
      <c r="BG170" s="357">
        <v>0</v>
      </c>
      <c r="BH170" s="357">
        <v>884400</v>
      </c>
      <c r="BI170" s="357">
        <v>35830</v>
      </c>
      <c r="BJ170" s="357">
        <v>0</v>
      </c>
      <c r="BK170" s="357">
        <v>0</v>
      </c>
      <c r="BL170" s="357">
        <v>35830</v>
      </c>
      <c r="BM170" s="357">
        <v>24324</v>
      </c>
      <c r="BN170" s="357">
        <v>0</v>
      </c>
      <c r="BO170" s="357">
        <v>0</v>
      </c>
      <c r="BP170" s="357">
        <v>24324</v>
      </c>
      <c r="BQ170" s="357">
        <v>1901366</v>
      </c>
      <c r="BR170" s="357">
        <v>0</v>
      </c>
      <c r="BS170" s="357">
        <v>0</v>
      </c>
      <c r="BT170" s="357">
        <v>0</v>
      </c>
      <c r="BU170" s="357">
        <v>0</v>
      </c>
      <c r="BV170" s="357">
        <v>0</v>
      </c>
      <c r="BW170" s="357">
        <v>1901366</v>
      </c>
      <c r="BX170" s="357">
        <v>0</v>
      </c>
      <c r="BY170" s="357">
        <v>0</v>
      </c>
      <c r="BZ170" s="357">
        <v>1901366</v>
      </c>
      <c r="CA170" s="357">
        <v>10000</v>
      </c>
      <c r="CB170" s="357">
        <v>0</v>
      </c>
      <c r="CC170" s="357">
        <v>0</v>
      </c>
      <c r="CD170" s="357">
        <v>10000</v>
      </c>
      <c r="CE170" s="357">
        <v>400000</v>
      </c>
      <c r="CF170" s="357">
        <v>0</v>
      </c>
      <c r="CG170" s="357">
        <v>0</v>
      </c>
      <c r="CH170" s="357">
        <v>400000</v>
      </c>
      <c r="CI170" s="357">
        <v>410000</v>
      </c>
      <c r="CJ170" s="357">
        <v>0</v>
      </c>
      <c r="CK170" s="357">
        <v>0</v>
      </c>
      <c r="CL170" s="357">
        <v>0</v>
      </c>
      <c r="CM170" s="357">
        <v>0</v>
      </c>
      <c r="CN170" s="357">
        <v>0</v>
      </c>
      <c r="CO170" s="357">
        <v>410000</v>
      </c>
      <c r="CP170" s="357">
        <v>0</v>
      </c>
      <c r="CQ170" s="357">
        <v>0</v>
      </c>
      <c r="CR170" s="357">
        <v>410000</v>
      </c>
      <c r="CS170" s="357">
        <v>14000</v>
      </c>
      <c r="CT170" s="357">
        <v>0</v>
      </c>
      <c r="CU170" s="357">
        <v>0</v>
      </c>
      <c r="CV170" s="357">
        <v>14000</v>
      </c>
      <c r="CW170" s="357">
        <v>14500</v>
      </c>
      <c r="CX170" s="357">
        <v>0</v>
      </c>
      <c r="CY170" s="357">
        <v>0</v>
      </c>
      <c r="CZ170" s="357">
        <v>14500</v>
      </c>
      <c r="DA170" s="357">
        <v>100</v>
      </c>
      <c r="DB170" s="357">
        <v>0</v>
      </c>
      <c r="DC170" s="357">
        <v>0</v>
      </c>
      <c r="DD170" s="357">
        <v>100</v>
      </c>
      <c r="DE170" s="357">
        <v>6500</v>
      </c>
      <c r="DF170" s="357">
        <v>0</v>
      </c>
      <c r="DG170" s="357">
        <v>0</v>
      </c>
      <c r="DH170" s="357">
        <v>6500</v>
      </c>
      <c r="DI170" s="357">
        <v>1200</v>
      </c>
      <c r="DJ170" s="357">
        <v>0</v>
      </c>
      <c r="DK170" s="357">
        <v>0</v>
      </c>
      <c r="DL170" s="357">
        <v>1200</v>
      </c>
      <c r="DM170" s="357">
        <v>0</v>
      </c>
      <c r="DN170" s="357">
        <v>0</v>
      </c>
      <c r="DO170" s="357">
        <v>0</v>
      </c>
      <c r="DP170" s="357">
        <v>0</v>
      </c>
      <c r="DQ170" s="357">
        <v>36300</v>
      </c>
      <c r="DR170" s="357">
        <v>0</v>
      </c>
      <c r="DS170" s="357">
        <v>0</v>
      </c>
      <c r="DT170" s="357">
        <v>0</v>
      </c>
      <c r="DU170" s="357">
        <v>0</v>
      </c>
      <c r="DV170" s="357">
        <v>0</v>
      </c>
      <c r="DW170" s="357">
        <v>36300</v>
      </c>
      <c r="DX170" s="357">
        <v>0</v>
      </c>
      <c r="DY170" s="357">
        <v>0</v>
      </c>
      <c r="DZ170" s="357">
        <v>36300</v>
      </c>
      <c r="EA170" s="357">
        <v>0</v>
      </c>
      <c r="EB170" s="357">
        <v>0</v>
      </c>
      <c r="EC170" s="357">
        <v>1000</v>
      </c>
      <c r="ED170" s="357">
        <v>0</v>
      </c>
      <c r="EE170" s="357">
        <v>0</v>
      </c>
      <c r="EF170" s="357">
        <v>1000</v>
      </c>
      <c r="EG170" s="357">
        <v>5900</v>
      </c>
      <c r="EH170" s="357">
        <v>0</v>
      </c>
      <c r="EI170" s="357">
        <v>0</v>
      </c>
      <c r="EJ170" s="357">
        <v>5900</v>
      </c>
      <c r="EK170" s="357">
        <v>300000</v>
      </c>
      <c r="EL170" s="357">
        <v>0</v>
      </c>
      <c r="EM170" s="357">
        <v>0</v>
      </c>
      <c r="EN170" s="357">
        <v>300000</v>
      </c>
      <c r="EO170" s="357">
        <v>306900</v>
      </c>
      <c r="EP170" s="357">
        <v>0</v>
      </c>
      <c r="EQ170" s="357">
        <v>0</v>
      </c>
      <c r="ER170" s="357">
        <v>0</v>
      </c>
      <c r="ES170" s="357">
        <v>0</v>
      </c>
      <c r="ET170" s="357">
        <v>0</v>
      </c>
      <c r="EU170" s="357">
        <v>306900</v>
      </c>
      <c r="EV170" s="357">
        <v>0</v>
      </c>
      <c r="EW170" s="357">
        <v>0</v>
      </c>
      <c r="EX170" s="357">
        <v>306900</v>
      </c>
      <c r="EY170" s="357">
        <v>12635125</v>
      </c>
      <c r="EZ170" s="357">
        <v>0</v>
      </c>
      <c r="FA170" s="357">
        <v>0</v>
      </c>
      <c r="FB170" s="357">
        <v>12635125</v>
      </c>
      <c r="FC170" s="277">
        <v>0</v>
      </c>
      <c r="FD170" s="205"/>
    </row>
    <row r="171" spans="1:160" ht="12.75">
      <c r="A171" s="169">
        <v>164</v>
      </c>
      <c r="B171" s="172" t="s">
        <v>236</v>
      </c>
      <c r="C171" s="258" t="s">
        <v>237</v>
      </c>
      <c r="D171" s="235">
        <v>41654</v>
      </c>
      <c r="E171" s="357">
        <v>85444548</v>
      </c>
      <c r="F171" s="357">
        <v>0</v>
      </c>
      <c r="G171" s="357">
        <v>0</v>
      </c>
      <c r="H171" s="357">
        <v>85444548</v>
      </c>
      <c r="I171" s="357">
        <v>40244382</v>
      </c>
      <c r="J171" s="357">
        <v>0</v>
      </c>
      <c r="K171" s="357">
        <v>0</v>
      </c>
      <c r="L171" s="357">
        <v>905499</v>
      </c>
      <c r="M171" s="357">
        <v>0</v>
      </c>
      <c r="N171" s="357">
        <v>0</v>
      </c>
      <c r="O171" s="357">
        <v>41149881</v>
      </c>
      <c r="P171" s="357">
        <v>0</v>
      </c>
      <c r="Q171" s="357">
        <v>0</v>
      </c>
      <c r="R171" s="357">
        <v>41149881</v>
      </c>
      <c r="S171" s="357">
        <v>106909.02</v>
      </c>
      <c r="T171" s="357">
        <v>0</v>
      </c>
      <c r="U171" s="357">
        <v>0</v>
      </c>
      <c r="V171" s="357">
        <v>106909.02</v>
      </c>
      <c r="W171" s="357">
        <v>9586.78</v>
      </c>
      <c r="X171" s="357">
        <v>0</v>
      </c>
      <c r="Y171" s="357">
        <v>0</v>
      </c>
      <c r="Z171" s="357">
        <v>9586.78</v>
      </c>
      <c r="AA171" s="357">
        <v>97322.24</v>
      </c>
      <c r="AB171" s="357">
        <v>0</v>
      </c>
      <c r="AC171" s="357">
        <v>0</v>
      </c>
      <c r="AD171" s="357">
        <v>0</v>
      </c>
      <c r="AE171" s="357">
        <v>0</v>
      </c>
      <c r="AF171" s="357">
        <v>0</v>
      </c>
      <c r="AG171" s="357">
        <v>97322.24</v>
      </c>
      <c r="AH171" s="357">
        <v>0</v>
      </c>
      <c r="AI171" s="357">
        <v>0</v>
      </c>
      <c r="AJ171" s="357">
        <v>97322.24</v>
      </c>
      <c r="AK171" s="357">
        <v>97322.24</v>
      </c>
      <c r="AL171" s="357">
        <v>0</v>
      </c>
      <c r="AM171" s="357">
        <v>0</v>
      </c>
      <c r="AN171" s="357">
        <v>97322.24</v>
      </c>
      <c r="AO171" s="357">
        <v>2872872.97</v>
      </c>
      <c r="AP171" s="357">
        <v>0</v>
      </c>
      <c r="AQ171" s="357">
        <v>0</v>
      </c>
      <c r="AR171" s="357">
        <v>2872872.97</v>
      </c>
      <c r="AS171" s="357">
        <v>0</v>
      </c>
      <c r="AT171" s="357">
        <v>0</v>
      </c>
      <c r="AU171" s="357">
        <v>0</v>
      </c>
      <c r="AV171" s="357">
        <v>0</v>
      </c>
      <c r="AW171" s="357">
        <v>761727.09</v>
      </c>
      <c r="AX171" s="357">
        <v>0</v>
      </c>
      <c r="AY171" s="357">
        <v>0</v>
      </c>
      <c r="AZ171" s="357">
        <v>761727.09</v>
      </c>
      <c r="BA171" s="357">
        <v>2111145.88</v>
      </c>
      <c r="BB171" s="357">
        <v>0</v>
      </c>
      <c r="BC171" s="357">
        <v>0</v>
      </c>
      <c r="BD171" s="357">
        <v>2111145.88</v>
      </c>
      <c r="BE171" s="357">
        <v>2794230.39</v>
      </c>
      <c r="BF171" s="357">
        <v>0</v>
      </c>
      <c r="BG171" s="357">
        <v>0</v>
      </c>
      <c r="BH171" s="357">
        <v>2794230.39</v>
      </c>
      <c r="BI171" s="357">
        <v>81612.24</v>
      </c>
      <c r="BJ171" s="357">
        <v>0</v>
      </c>
      <c r="BK171" s="357">
        <v>0</v>
      </c>
      <c r="BL171" s="357">
        <v>81612.24</v>
      </c>
      <c r="BM171" s="357">
        <v>42066.19</v>
      </c>
      <c r="BN171" s="357">
        <v>0</v>
      </c>
      <c r="BO171" s="357">
        <v>0</v>
      </c>
      <c r="BP171" s="357">
        <v>42066.19</v>
      </c>
      <c r="BQ171" s="357">
        <v>5029054.7</v>
      </c>
      <c r="BR171" s="357">
        <v>0</v>
      </c>
      <c r="BS171" s="357">
        <v>0</v>
      </c>
      <c r="BT171" s="357">
        <v>113154</v>
      </c>
      <c r="BU171" s="357">
        <v>0</v>
      </c>
      <c r="BV171" s="357">
        <v>0</v>
      </c>
      <c r="BW171" s="357">
        <v>5142208.7</v>
      </c>
      <c r="BX171" s="357">
        <v>0</v>
      </c>
      <c r="BY171" s="357">
        <v>0</v>
      </c>
      <c r="BZ171" s="357">
        <v>5142208.7</v>
      </c>
      <c r="CA171" s="357">
        <v>0</v>
      </c>
      <c r="CB171" s="357">
        <v>0</v>
      </c>
      <c r="CC171" s="357">
        <v>0</v>
      </c>
      <c r="CD171" s="357">
        <v>0</v>
      </c>
      <c r="CE171" s="357">
        <v>703034.38</v>
      </c>
      <c r="CF171" s="357">
        <v>0</v>
      </c>
      <c r="CG171" s="357">
        <v>0</v>
      </c>
      <c r="CH171" s="357">
        <v>703034.38</v>
      </c>
      <c r="CI171" s="357">
        <v>703034.38</v>
      </c>
      <c r="CJ171" s="357">
        <v>0</v>
      </c>
      <c r="CK171" s="357">
        <v>0</v>
      </c>
      <c r="CL171" s="357">
        <v>109363.54</v>
      </c>
      <c r="CM171" s="357">
        <v>0</v>
      </c>
      <c r="CN171" s="357">
        <v>0</v>
      </c>
      <c r="CO171" s="357">
        <v>812397.92</v>
      </c>
      <c r="CP171" s="357">
        <v>0</v>
      </c>
      <c r="CQ171" s="357">
        <v>0</v>
      </c>
      <c r="CR171" s="357">
        <v>812397.92</v>
      </c>
      <c r="CS171" s="357">
        <v>46920.79</v>
      </c>
      <c r="CT171" s="357">
        <v>0</v>
      </c>
      <c r="CU171" s="357">
        <v>0</v>
      </c>
      <c r="CV171" s="357">
        <v>46920.79</v>
      </c>
      <c r="CW171" s="357">
        <v>17141.02</v>
      </c>
      <c r="CX171" s="357">
        <v>0</v>
      </c>
      <c r="CY171" s="357">
        <v>0</v>
      </c>
      <c r="CZ171" s="357">
        <v>17141.02</v>
      </c>
      <c r="DA171" s="357">
        <v>2969.73</v>
      </c>
      <c r="DB171" s="357">
        <v>0</v>
      </c>
      <c r="DC171" s="357">
        <v>0</v>
      </c>
      <c r="DD171" s="357">
        <v>2969.73</v>
      </c>
      <c r="DE171" s="357">
        <v>23360.64</v>
      </c>
      <c r="DF171" s="357">
        <v>0</v>
      </c>
      <c r="DG171" s="357">
        <v>0</v>
      </c>
      <c r="DH171" s="357">
        <v>23360.64</v>
      </c>
      <c r="DI171" s="357">
        <v>12134.14</v>
      </c>
      <c r="DJ171" s="357">
        <v>0</v>
      </c>
      <c r="DK171" s="357">
        <v>0</v>
      </c>
      <c r="DL171" s="357">
        <v>12134.14</v>
      </c>
      <c r="DM171" s="357">
        <v>0</v>
      </c>
      <c r="DN171" s="357">
        <v>0</v>
      </c>
      <c r="DO171" s="357">
        <v>0</v>
      </c>
      <c r="DP171" s="357">
        <v>0</v>
      </c>
      <c r="DQ171" s="357">
        <v>102526.32</v>
      </c>
      <c r="DR171" s="357">
        <v>0</v>
      </c>
      <c r="DS171" s="357">
        <v>0</v>
      </c>
      <c r="DT171" s="357">
        <v>0</v>
      </c>
      <c r="DU171" s="357">
        <v>0</v>
      </c>
      <c r="DV171" s="357">
        <v>0</v>
      </c>
      <c r="DW171" s="357">
        <v>102526.32</v>
      </c>
      <c r="DX171" s="357">
        <v>0</v>
      </c>
      <c r="DY171" s="357">
        <v>0</v>
      </c>
      <c r="DZ171" s="357">
        <v>102526.32</v>
      </c>
      <c r="EA171" s="357">
        <v>0</v>
      </c>
      <c r="EB171" s="357">
        <v>0</v>
      </c>
      <c r="EC171" s="357">
        <v>0</v>
      </c>
      <c r="ED171" s="357">
        <v>0</v>
      </c>
      <c r="EE171" s="357">
        <v>0</v>
      </c>
      <c r="EF171" s="357">
        <v>0</v>
      </c>
      <c r="EG171" s="357">
        <v>0</v>
      </c>
      <c r="EH171" s="357">
        <v>0</v>
      </c>
      <c r="EI171" s="357">
        <v>0</v>
      </c>
      <c r="EJ171" s="357">
        <v>0</v>
      </c>
      <c r="EK171" s="357">
        <v>547067</v>
      </c>
      <c r="EL171" s="357">
        <v>0</v>
      </c>
      <c r="EM171" s="357">
        <v>0</v>
      </c>
      <c r="EN171" s="357">
        <v>547067</v>
      </c>
      <c r="EO171" s="357">
        <v>547067</v>
      </c>
      <c r="EP171" s="357">
        <v>0</v>
      </c>
      <c r="EQ171" s="357">
        <v>0</v>
      </c>
      <c r="ER171" s="357">
        <v>0</v>
      </c>
      <c r="ES171" s="357">
        <v>0</v>
      </c>
      <c r="ET171" s="357">
        <v>0</v>
      </c>
      <c r="EU171" s="357">
        <v>547067</v>
      </c>
      <c r="EV171" s="357">
        <v>0</v>
      </c>
      <c r="EW171" s="357">
        <v>0</v>
      </c>
      <c r="EX171" s="357">
        <v>547067</v>
      </c>
      <c r="EY171" s="357">
        <v>34448358.8</v>
      </c>
      <c r="EZ171" s="357">
        <v>0</v>
      </c>
      <c r="FA171" s="357">
        <v>0</v>
      </c>
      <c r="FB171" s="357">
        <v>34448358.8</v>
      </c>
      <c r="FC171" s="277">
        <v>0</v>
      </c>
      <c r="FD171" s="205"/>
    </row>
    <row r="172" spans="1:160" ht="12.75">
      <c r="A172" s="169">
        <v>165</v>
      </c>
      <c r="B172" s="172" t="s">
        <v>238</v>
      </c>
      <c r="C172" s="258" t="s">
        <v>239</v>
      </c>
      <c r="D172" s="235">
        <v>311213</v>
      </c>
      <c r="E172" s="357">
        <v>203535434</v>
      </c>
      <c r="F172" s="357">
        <v>0</v>
      </c>
      <c r="G172" s="357">
        <v>0</v>
      </c>
      <c r="H172" s="357">
        <v>203535434</v>
      </c>
      <c r="I172" s="357">
        <v>95865189</v>
      </c>
      <c r="J172" s="357">
        <v>0</v>
      </c>
      <c r="K172" s="357">
        <v>0</v>
      </c>
      <c r="L172" s="357">
        <v>335528</v>
      </c>
      <c r="M172" s="357">
        <v>0</v>
      </c>
      <c r="N172" s="357">
        <v>0</v>
      </c>
      <c r="O172" s="357">
        <v>96200717</v>
      </c>
      <c r="P172" s="357">
        <v>0</v>
      </c>
      <c r="Q172" s="357">
        <v>0</v>
      </c>
      <c r="R172" s="357">
        <v>96200717</v>
      </c>
      <c r="S172" s="357">
        <v>43059</v>
      </c>
      <c r="T172" s="357">
        <v>0</v>
      </c>
      <c r="U172" s="357">
        <v>0</v>
      </c>
      <c r="V172" s="357">
        <v>43059</v>
      </c>
      <c r="W172" s="357">
        <v>7375</v>
      </c>
      <c r="X172" s="357">
        <v>0</v>
      </c>
      <c r="Y172" s="357">
        <v>0</v>
      </c>
      <c r="Z172" s="357">
        <v>7375</v>
      </c>
      <c r="AA172" s="357">
        <v>35684</v>
      </c>
      <c r="AB172" s="357">
        <v>0</v>
      </c>
      <c r="AC172" s="357">
        <v>0</v>
      </c>
      <c r="AD172" s="357">
        <v>0</v>
      </c>
      <c r="AE172" s="357">
        <v>0</v>
      </c>
      <c r="AF172" s="357">
        <v>0</v>
      </c>
      <c r="AG172" s="357">
        <v>35684</v>
      </c>
      <c r="AH172" s="357">
        <v>0</v>
      </c>
      <c r="AI172" s="357">
        <v>0</v>
      </c>
      <c r="AJ172" s="357">
        <v>35684</v>
      </c>
      <c r="AK172" s="357">
        <v>35684</v>
      </c>
      <c r="AL172" s="357">
        <v>0</v>
      </c>
      <c r="AM172" s="357">
        <v>0</v>
      </c>
      <c r="AN172" s="357">
        <v>35684</v>
      </c>
      <c r="AO172" s="357">
        <v>2693306</v>
      </c>
      <c r="AP172" s="357">
        <v>0</v>
      </c>
      <c r="AQ172" s="357">
        <v>0</v>
      </c>
      <c r="AR172" s="357">
        <v>2693306</v>
      </c>
      <c r="AS172" s="357">
        <v>53866</v>
      </c>
      <c r="AT172" s="357">
        <v>0</v>
      </c>
      <c r="AU172" s="357">
        <v>0</v>
      </c>
      <c r="AV172" s="357">
        <v>53866</v>
      </c>
      <c r="AW172" s="357">
        <v>1929252</v>
      </c>
      <c r="AX172" s="357">
        <v>0</v>
      </c>
      <c r="AY172" s="357">
        <v>0</v>
      </c>
      <c r="AZ172" s="357">
        <v>1929252</v>
      </c>
      <c r="BA172" s="357">
        <v>764054</v>
      </c>
      <c r="BB172" s="357">
        <v>0</v>
      </c>
      <c r="BC172" s="357">
        <v>0</v>
      </c>
      <c r="BD172" s="357">
        <v>764054</v>
      </c>
      <c r="BE172" s="357">
        <v>4957100</v>
      </c>
      <c r="BF172" s="357">
        <v>0</v>
      </c>
      <c r="BG172" s="357">
        <v>0</v>
      </c>
      <c r="BH172" s="357">
        <v>4957100</v>
      </c>
      <c r="BI172" s="357">
        <v>98077</v>
      </c>
      <c r="BJ172" s="357">
        <v>0</v>
      </c>
      <c r="BK172" s="357">
        <v>0</v>
      </c>
      <c r="BL172" s="357">
        <v>98077</v>
      </c>
      <c r="BM172" s="357">
        <v>0</v>
      </c>
      <c r="BN172" s="357">
        <v>0</v>
      </c>
      <c r="BO172" s="357">
        <v>0</v>
      </c>
      <c r="BP172" s="357">
        <v>0</v>
      </c>
      <c r="BQ172" s="357">
        <v>5819231</v>
      </c>
      <c r="BR172" s="357">
        <v>0</v>
      </c>
      <c r="BS172" s="357">
        <v>0</v>
      </c>
      <c r="BT172" s="357">
        <v>39619</v>
      </c>
      <c r="BU172" s="357">
        <v>0</v>
      </c>
      <c r="BV172" s="357">
        <v>0</v>
      </c>
      <c r="BW172" s="357">
        <v>5858850</v>
      </c>
      <c r="BX172" s="357">
        <v>0</v>
      </c>
      <c r="BY172" s="357">
        <v>0</v>
      </c>
      <c r="BZ172" s="357">
        <v>5858850</v>
      </c>
      <c r="CA172" s="357">
        <v>4439</v>
      </c>
      <c r="CB172" s="357">
        <v>0</v>
      </c>
      <c r="CC172" s="357">
        <v>0</v>
      </c>
      <c r="CD172" s="357">
        <v>4439</v>
      </c>
      <c r="CE172" s="357">
        <v>1176686</v>
      </c>
      <c r="CF172" s="357">
        <v>0</v>
      </c>
      <c r="CG172" s="357">
        <v>0</v>
      </c>
      <c r="CH172" s="357">
        <v>1176686</v>
      </c>
      <c r="CI172" s="357">
        <v>1181125</v>
      </c>
      <c r="CJ172" s="357">
        <v>0</v>
      </c>
      <c r="CK172" s="357">
        <v>0</v>
      </c>
      <c r="CL172" s="357">
        <v>0</v>
      </c>
      <c r="CM172" s="357">
        <v>0</v>
      </c>
      <c r="CN172" s="357">
        <v>0</v>
      </c>
      <c r="CO172" s="357">
        <v>1181125</v>
      </c>
      <c r="CP172" s="357">
        <v>0</v>
      </c>
      <c r="CQ172" s="357">
        <v>0</v>
      </c>
      <c r="CR172" s="357">
        <v>1181125</v>
      </c>
      <c r="CS172" s="357">
        <v>457377</v>
      </c>
      <c r="CT172" s="357">
        <v>0</v>
      </c>
      <c r="CU172" s="357">
        <v>0</v>
      </c>
      <c r="CV172" s="357">
        <v>457377</v>
      </c>
      <c r="CW172" s="357">
        <v>96485</v>
      </c>
      <c r="CX172" s="357">
        <v>0</v>
      </c>
      <c r="CY172" s="357">
        <v>0</v>
      </c>
      <c r="CZ172" s="357">
        <v>96485</v>
      </c>
      <c r="DA172" s="357">
        <v>188</v>
      </c>
      <c r="DB172" s="357">
        <v>0</v>
      </c>
      <c r="DC172" s="357">
        <v>0</v>
      </c>
      <c r="DD172" s="357">
        <v>188</v>
      </c>
      <c r="DE172" s="357">
        <v>0</v>
      </c>
      <c r="DF172" s="357">
        <v>0</v>
      </c>
      <c r="DG172" s="357">
        <v>0</v>
      </c>
      <c r="DH172" s="357">
        <v>0</v>
      </c>
      <c r="DI172" s="357">
        <v>0</v>
      </c>
      <c r="DJ172" s="357">
        <v>0</v>
      </c>
      <c r="DK172" s="357">
        <v>0</v>
      </c>
      <c r="DL172" s="357">
        <v>0</v>
      </c>
      <c r="DM172" s="357">
        <v>200000</v>
      </c>
      <c r="DN172" s="357">
        <v>0</v>
      </c>
      <c r="DO172" s="357">
        <v>0</v>
      </c>
      <c r="DP172" s="357">
        <v>200000</v>
      </c>
      <c r="DQ172" s="357">
        <v>754050</v>
      </c>
      <c r="DR172" s="357">
        <v>0</v>
      </c>
      <c r="DS172" s="357">
        <v>0</v>
      </c>
      <c r="DT172" s="357">
        <v>0</v>
      </c>
      <c r="DU172" s="357">
        <v>0</v>
      </c>
      <c r="DV172" s="357">
        <v>0</v>
      </c>
      <c r="DW172" s="357">
        <v>754050</v>
      </c>
      <c r="DX172" s="357">
        <v>0</v>
      </c>
      <c r="DY172" s="357">
        <v>0</v>
      </c>
      <c r="DZ172" s="357">
        <v>754050</v>
      </c>
      <c r="EA172" s="357">
        <v>0</v>
      </c>
      <c r="EB172" s="357">
        <v>0</v>
      </c>
      <c r="EC172" s="357">
        <v>0</v>
      </c>
      <c r="ED172" s="357">
        <v>0</v>
      </c>
      <c r="EE172" s="357">
        <v>0</v>
      </c>
      <c r="EF172" s="357">
        <v>0</v>
      </c>
      <c r="EG172" s="357">
        <v>103446</v>
      </c>
      <c r="EH172" s="357">
        <v>0</v>
      </c>
      <c r="EI172" s="357">
        <v>0</v>
      </c>
      <c r="EJ172" s="357">
        <v>103446</v>
      </c>
      <c r="EK172" s="357">
        <v>1314000</v>
      </c>
      <c r="EL172" s="357">
        <v>0</v>
      </c>
      <c r="EM172" s="357">
        <v>0</v>
      </c>
      <c r="EN172" s="357">
        <v>1314000</v>
      </c>
      <c r="EO172" s="357">
        <v>1417446</v>
      </c>
      <c r="EP172" s="357">
        <v>0</v>
      </c>
      <c r="EQ172" s="357">
        <v>0</v>
      </c>
      <c r="ER172" s="357">
        <v>70872</v>
      </c>
      <c r="ES172" s="357">
        <v>0</v>
      </c>
      <c r="ET172" s="357">
        <v>0</v>
      </c>
      <c r="EU172" s="357">
        <v>1488318</v>
      </c>
      <c r="EV172" s="357">
        <v>0</v>
      </c>
      <c r="EW172" s="357">
        <v>0</v>
      </c>
      <c r="EX172" s="357">
        <v>1488318</v>
      </c>
      <c r="EY172" s="357">
        <v>86882690</v>
      </c>
      <c r="EZ172" s="357">
        <v>0</v>
      </c>
      <c r="FA172" s="357">
        <v>0</v>
      </c>
      <c r="FB172" s="357">
        <v>86882690</v>
      </c>
      <c r="FC172" s="277">
        <v>0</v>
      </c>
      <c r="FD172" s="205"/>
    </row>
    <row r="173" spans="1:160" ht="12.75">
      <c r="A173" s="169">
        <v>166</v>
      </c>
      <c r="B173" s="172" t="s">
        <v>240</v>
      </c>
      <c r="C173" s="258" t="s">
        <v>241</v>
      </c>
      <c r="D173" s="235">
        <v>300913</v>
      </c>
      <c r="E173" s="357">
        <v>39325191</v>
      </c>
      <c r="F173" s="357">
        <v>0</v>
      </c>
      <c r="G173" s="357">
        <v>0</v>
      </c>
      <c r="H173" s="357">
        <v>39325191</v>
      </c>
      <c r="I173" s="357">
        <v>18522165</v>
      </c>
      <c r="J173" s="357">
        <v>0</v>
      </c>
      <c r="K173" s="357">
        <v>0</v>
      </c>
      <c r="L173" s="357">
        <v>150135</v>
      </c>
      <c r="M173" s="357">
        <v>0</v>
      </c>
      <c r="N173" s="357">
        <v>0</v>
      </c>
      <c r="O173" s="357">
        <v>18672300</v>
      </c>
      <c r="P173" s="357">
        <v>0</v>
      </c>
      <c r="Q173" s="357">
        <v>0</v>
      </c>
      <c r="R173" s="357">
        <v>18672300</v>
      </c>
      <c r="S173" s="357">
        <v>84370</v>
      </c>
      <c r="T173" s="357">
        <v>0</v>
      </c>
      <c r="U173" s="357">
        <v>0</v>
      </c>
      <c r="V173" s="357">
        <v>84370</v>
      </c>
      <c r="W173" s="357">
        <v>0</v>
      </c>
      <c r="X173" s="357">
        <v>0</v>
      </c>
      <c r="Y173" s="357">
        <v>0</v>
      </c>
      <c r="Z173" s="357">
        <v>0</v>
      </c>
      <c r="AA173" s="357">
        <v>84370</v>
      </c>
      <c r="AB173" s="357">
        <v>0</v>
      </c>
      <c r="AC173" s="357">
        <v>0</v>
      </c>
      <c r="AD173" s="357">
        <v>0</v>
      </c>
      <c r="AE173" s="357">
        <v>0</v>
      </c>
      <c r="AF173" s="357">
        <v>0</v>
      </c>
      <c r="AG173" s="357">
        <v>84370</v>
      </c>
      <c r="AH173" s="357">
        <v>0</v>
      </c>
      <c r="AI173" s="357">
        <v>0</v>
      </c>
      <c r="AJ173" s="357">
        <v>84370</v>
      </c>
      <c r="AK173" s="357">
        <v>84370</v>
      </c>
      <c r="AL173" s="357">
        <v>0</v>
      </c>
      <c r="AM173" s="357">
        <v>0</v>
      </c>
      <c r="AN173" s="357">
        <v>84370</v>
      </c>
      <c r="AO173" s="357">
        <v>1950488</v>
      </c>
      <c r="AP173" s="357">
        <v>0</v>
      </c>
      <c r="AQ173" s="357">
        <v>0</v>
      </c>
      <c r="AR173" s="357">
        <v>1950488</v>
      </c>
      <c r="AS173" s="357">
        <v>4000</v>
      </c>
      <c r="AT173" s="357">
        <v>0</v>
      </c>
      <c r="AU173" s="357">
        <v>0</v>
      </c>
      <c r="AV173" s="357">
        <v>4000</v>
      </c>
      <c r="AW173" s="357">
        <v>375030</v>
      </c>
      <c r="AX173" s="357">
        <v>0</v>
      </c>
      <c r="AY173" s="357">
        <v>0</v>
      </c>
      <c r="AZ173" s="357">
        <v>375030</v>
      </c>
      <c r="BA173" s="357">
        <v>1575458</v>
      </c>
      <c r="BB173" s="357">
        <v>0</v>
      </c>
      <c r="BC173" s="357">
        <v>0</v>
      </c>
      <c r="BD173" s="357">
        <v>1575458</v>
      </c>
      <c r="BE173" s="357">
        <v>1174252.58</v>
      </c>
      <c r="BF173" s="357">
        <v>0</v>
      </c>
      <c r="BG173" s="357">
        <v>0</v>
      </c>
      <c r="BH173" s="357">
        <v>1174252.58</v>
      </c>
      <c r="BI173" s="357">
        <v>25348.68</v>
      </c>
      <c r="BJ173" s="357">
        <v>0</v>
      </c>
      <c r="BK173" s="357">
        <v>0</v>
      </c>
      <c r="BL173" s="357">
        <v>25348.68</v>
      </c>
      <c r="BM173" s="357">
        <v>24460.22</v>
      </c>
      <c r="BN173" s="357">
        <v>0</v>
      </c>
      <c r="BO173" s="357">
        <v>0</v>
      </c>
      <c r="BP173" s="357">
        <v>24460.22</v>
      </c>
      <c r="BQ173" s="357">
        <v>2799519.48</v>
      </c>
      <c r="BR173" s="357">
        <v>0</v>
      </c>
      <c r="BS173" s="357">
        <v>0</v>
      </c>
      <c r="BT173" s="357">
        <v>0</v>
      </c>
      <c r="BU173" s="357">
        <v>0</v>
      </c>
      <c r="BV173" s="357">
        <v>0</v>
      </c>
      <c r="BW173" s="357">
        <v>2799519.48</v>
      </c>
      <c r="BX173" s="357">
        <v>0</v>
      </c>
      <c r="BY173" s="357">
        <v>0</v>
      </c>
      <c r="BZ173" s="357">
        <v>2799519.48</v>
      </c>
      <c r="CA173" s="357">
        <v>18501</v>
      </c>
      <c r="CB173" s="357">
        <v>0</v>
      </c>
      <c r="CC173" s="357">
        <v>0</v>
      </c>
      <c r="CD173" s="357">
        <v>18501</v>
      </c>
      <c r="CE173" s="357">
        <v>447628</v>
      </c>
      <c r="CF173" s="357">
        <v>0</v>
      </c>
      <c r="CG173" s="357">
        <v>0</v>
      </c>
      <c r="CH173" s="357">
        <v>447628</v>
      </c>
      <c r="CI173" s="357">
        <v>466129</v>
      </c>
      <c r="CJ173" s="357">
        <v>0</v>
      </c>
      <c r="CK173" s="357">
        <v>0</v>
      </c>
      <c r="CL173" s="357">
        <v>0</v>
      </c>
      <c r="CM173" s="357">
        <v>0</v>
      </c>
      <c r="CN173" s="357">
        <v>0</v>
      </c>
      <c r="CO173" s="357">
        <v>466129</v>
      </c>
      <c r="CP173" s="357">
        <v>0</v>
      </c>
      <c r="CQ173" s="357">
        <v>0</v>
      </c>
      <c r="CR173" s="357">
        <v>466129</v>
      </c>
      <c r="CS173" s="357">
        <v>48836</v>
      </c>
      <c r="CT173" s="357">
        <v>0</v>
      </c>
      <c r="CU173" s="357">
        <v>0</v>
      </c>
      <c r="CV173" s="357">
        <v>48836</v>
      </c>
      <c r="CW173" s="357">
        <v>11151.69</v>
      </c>
      <c r="CX173" s="357">
        <v>0</v>
      </c>
      <c r="CY173" s="357">
        <v>0</v>
      </c>
      <c r="CZ173" s="357">
        <v>11151.69</v>
      </c>
      <c r="DA173" s="357">
        <v>0</v>
      </c>
      <c r="DB173" s="357">
        <v>0</v>
      </c>
      <c r="DC173" s="357">
        <v>0</v>
      </c>
      <c r="DD173" s="357">
        <v>0</v>
      </c>
      <c r="DE173" s="357">
        <v>12.01</v>
      </c>
      <c r="DF173" s="357">
        <v>0</v>
      </c>
      <c r="DG173" s="357">
        <v>0</v>
      </c>
      <c r="DH173" s="357">
        <v>12.01</v>
      </c>
      <c r="DI173" s="357">
        <v>7300.34</v>
      </c>
      <c r="DJ173" s="357">
        <v>0</v>
      </c>
      <c r="DK173" s="357">
        <v>0</v>
      </c>
      <c r="DL173" s="357">
        <v>7300.34</v>
      </c>
      <c r="DM173" s="357">
        <v>6845.36</v>
      </c>
      <c r="DN173" s="357">
        <v>0</v>
      </c>
      <c r="DO173" s="357">
        <v>0</v>
      </c>
      <c r="DP173" s="357">
        <v>6845.36</v>
      </c>
      <c r="DQ173" s="357">
        <v>74145.4</v>
      </c>
      <c r="DR173" s="357">
        <v>0</v>
      </c>
      <c r="DS173" s="357">
        <v>0</v>
      </c>
      <c r="DT173" s="357">
        <v>0</v>
      </c>
      <c r="DU173" s="357">
        <v>0</v>
      </c>
      <c r="DV173" s="357">
        <v>0</v>
      </c>
      <c r="DW173" s="357">
        <v>74145.4</v>
      </c>
      <c r="DX173" s="357">
        <v>0</v>
      </c>
      <c r="DY173" s="357">
        <v>0</v>
      </c>
      <c r="DZ173" s="357">
        <v>74145.4</v>
      </c>
      <c r="EA173" s="357">
        <v>0</v>
      </c>
      <c r="EB173" s="357">
        <v>0</v>
      </c>
      <c r="EC173" s="357">
        <v>10000</v>
      </c>
      <c r="ED173" s="357">
        <v>0</v>
      </c>
      <c r="EE173" s="357">
        <v>0</v>
      </c>
      <c r="EF173" s="357">
        <v>10000</v>
      </c>
      <c r="EG173" s="357">
        <v>15000</v>
      </c>
      <c r="EH173" s="357">
        <v>0</v>
      </c>
      <c r="EI173" s="357">
        <v>0</v>
      </c>
      <c r="EJ173" s="357">
        <v>15000</v>
      </c>
      <c r="EK173" s="357">
        <v>300000</v>
      </c>
      <c r="EL173" s="357">
        <v>0</v>
      </c>
      <c r="EM173" s="357">
        <v>0</v>
      </c>
      <c r="EN173" s="357">
        <v>300000</v>
      </c>
      <c r="EO173" s="357">
        <v>325000</v>
      </c>
      <c r="EP173" s="357">
        <v>0</v>
      </c>
      <c r="EQ173" s="357">
        <v>0</v>
      </c>
      <c r="ER173" s="357">
        <v>0</v>
      </c>
      <c r="ES173" s="357">
        <v>0</v>
      </c>
      <c r="ET173" s="357">
        <v>0</v>
      </c>
      <c r="EU173" s="357">
        <v>325000</v>
      </c>
      <c r="EV173" s="357">
        <v>0</v>
      </c>
      <c r="EW173" s="357">
        <v>0</v>
      </c>
      <c r="EX173" s="357">
        <v>325000</v>
      </c>
      <c r="EY173" s="357">
        <v>14923136.1</v>
      </c>
      <c r="EZ173" s="357">
        <v>0</v>
      </c>
      <c r="FA173" s="357">
        <v>0</v>
      </c>
      <c r="FB173" s="357">
        <v>14923136.1</v>
      </c>
      <c r="FC173" s="277">
        <v>0</v>
      </c>
      <c r="FD173" s="205"/>
    </row>
    <row r="174" spans="1:160" ht="12.75">
      <c r="A174" s="169">
        <v>167</v>
      </c>
      <c r="B174" s="172" t="s">
        <v>242</v>
      </c>
      <c r="C174" s="258" t="s">
        <v>243</v>
      </c>
      <c r="D174" s="235">
        <v>41639</v>
      </c>
      <c r="E174" s="357">
        <v>53804784</v>
      </c>
      <c r="F174" s="357">
        <v>0</v>
      </c>
      <c r="G174" s="357">
        <v>0</v>
      </c>
      <c r="H174" s="357">
        <v>53804784</v>
      </c>
      <c r="I174" s="357">
        <v>25342053</v>
      </c>
      <c r="J174" s="357">
        <v>0</v>
      </c>
      <c r="K174" s="357">
        <v>0</v>
      </c>
      <c r="L174" s="357">
        <v>0</v>
      </c>
      <c r="M174" s="357">
        <v>0</v>
      </c>
      <c r="N174" s="357">
        <v>0</v>
      </c>
      <c r="O174" s="357">
        <v>25342053</v>
      </c>
      <c r="P174" s="357">
        <v>0</v>
      </c>
      <c r="Q174" s="357">
        <v>0</v>
      </c>
      <c r="R174" s="357">
        <v>25342053</v>
      </c>
      <c r="S174" s="357">
        <v>36010.81</v>
      </c>
      <c r="T174" s="357">
        <v>0</v>
      </c>
      <c r="U174" s="357">
        <v>0</v>
      </c>
      <c r="V174" s="357">
        <v>36010.81</v>
      </c>
      <c r="W174" s="357">
        <v>2189.48</v>
      </c>
      <c r="X174" s="357">
        <v>0</v>
      </c>
      <c r="Y174" s="357">
        <v>0</v>
      </c>
      <c r="Z174" s="357">
        <v>2189.48</v>
      </c>
      <c r="AA174" s="357">
        <v>33821.33</v>
      </c>
      <c r="AB174" s="357">
        <v>0</v>
      </c>
      <c r="AC174" s="357">
        <v>0</v>
      </c>
      <c r="AD174" s="357">
        <v>0</v>
      </c>
      <c r="AE174" s="357">
        <v>0</v>
      </c>
      <c r="AF174" s="357">
        <v>0</v>
      </c>
      <c r="AG174" s="357">
        <v>33821.33</v>
      </c>
      <c r="AH174" s="357">
        <v>0</v>
      </c>
      <c r="AI174" s="357">
        <v>0</v>
      </c>
      <c r="AJ174" s="357">
        <v>33821.33</v>
      </c>
      <c r="AK174" s="357">
        <v>33821.33</v>
      </c>
      <c r="AL174" s="357">
        <v>0</v>
      </c>
      <c r="AM174" s="357">
        <v>0</v>
      </c>
      <c r="AN174" s="357">
        <v>33821.33</v>
      </c>
      <c r="AO174" s="357">
        <v>1800095.96</v>
      </c>
      <c r="AP174" s="357">
        <v>0</v>
      </c>
      <c r="AQ174" s="357">
        <v>0</v>
      </c>
      <c r="AR174" s="357">
        <v>1800095.96</v>
      </c>
      <c r="AS174" s="357">
        <v>18000.96</v>
      </c>
      <c r="AT174" s="357">
        <v>0</v>
      </c>
      <c r="AU174" s="357">
        <v>0</v>
      </c>
      <c r="AV174" s="357">
        <v>18000.96</v>
      </c>
      <c r="AW174" s="357">
        <v>466185</v>
      </c>
      <c r="AX174" s="357">
        <v>0</v>
      </c>
      <c r="AY174" s="357">
        <v>0</v>
      </c>
      <c r="AZ174" s="357">
        <v>466185</v>
      </c>
      <c r="BA174" s="357">
        <v>1333910.96</v>
      </c>
      <c r="BB174" s="357">
        <v>0</v>
      </c>
      <c r="BC174" s="357">
        <v>0</v>
      </c>
      <c r="BD174" s="357">
        <v>1333910.96</v>
      </c>
      <c r="BE174" s="357">
        <v>878313.09</v>
      </c>
      <c r="BF174" s="357">
        <v>0</v>
      </c>
      <c r="BG174" s="357">
        <v>0</v>
      </c>
      <c r="BH174" s="357">
        <v>878313.09</v>
      </c>
      <c r="BI174" s="357">
        <v>37177.62</v>
      </c>
      <c r="BJ174" s="357">
        <v>0</v>
      </c>
      <c r="BK174" s="357">
        <v>0</v>
      </c>
      <c r="BL174" s="357">
        <v>37177.62</v>
      </c>
      <c r="BM174" s="357">
        <v>96987.77</v>
      </c>
      <c r="BN174" s="357">
        <v>0</v>
      </c>
      <c r="BO174" s="357">
        <v>0</v>
      </c>
      <c r="BP174" s="357">
        <v>96987.77</v>
      </c>
      <c r="BQ174" s="357">
        <v>2346389.44</v>
      </c>
      <c r="BR174" s="357">
        <v>0</v>
      </c>
      <c r="BS174" s="357">
        <v>0</v>
      </c>
      <c r="BT174" s="357">
        <v>3120.38</v>
      </c>
      <c r="BU174" s="357">
        <v>0</v>
      </c>
      <c r="BV174" s="357">
        <v>0</v>
      </c>
      <c r="BW174" s="357">
        <v>2349509.82</v>
      </c>
      <c r="BX174" s="357">
        <v>0</v>
      </c>
      <c r="BY174" s="357">
        <v>0</v>
      </c>
      <c r="BZ174" s="357">
        <v>2349509.82</v>
      </c>
      <c r="CA174" s="357">
        <v>0</v>
      </c>
      <c r="CB174" s="357">
        <v>0</v>
      </c>
      <c r="CC174" s="357">
        <v>0</v>
      </c>
      <c r="CD174" s="357">
        <v>0</v>
      </c>
      <c r="CE174" s="357">
        <v>461618.6</v>
      </c>
      <c r="CF174" s="357">
        <v>0</v>
      </c>
      <c r="CG174" s="357">
        <v>0</v>
      </c>
      <c r="CH174" s="357">
        <v>461618.6</v>
      </c>
      <c r="CI174" s="357">
        <v>461618.6</v>
      </c>
      <c r="CJ174" s="357">
        <v>0</v>
      </c>
      <c r="CK174" s="357">
        <v>0</v>
      </c>
      <c r="CL174" s="357">
        <v>164190.32</v>
      </c>
      <c r="CM174" s="357">
        <v>0</v>
      </c>
      <c r="CN174" s="357">
        <v>0</v>
      </c>
      <c r="CO174" s="357">
        <v>625808.92</v>
      </c>
      <c r="CP174" s="357">
        <v>0</v>
      </c>
      <c r="CQ174" s="357">
        <v>0</v>
      </c>
      <c r="CR174" s="357">
        <v>625808.92</v>
      </c>
      <c r="CS174" s="357">
        <v>156215.02</v>
      </c>
      <c r="CT174" s="357">
        <v>0</v>
      </c>
      <c r="CU174" s="357">
        <v>0</v>
      </c>
      <c r="CV174" s="357">
        <v>156215.02</v>
      </c>
      <c r="CW174" s="357">
        <v>54716.96</v>
      </c>
      <c r="CX174" s="357">
        <v>0</v>
      </c>
      <c r="CY174" s="357">
        <v>0</v>
      </c>
      <c r="CZ174" s="357">
        <v>54716.96</v>
      </c>
      <c r="DA174" s="357">
        <v>6633.77</v>
      </c>
      <c r="DB174" s="357">
        <v>0</v>
      </c>
      <c r="DC174" s="357">
        <v>0</v>
      </c>
      <c r="DD174" s="357">
        <v>6633.77</v>
      </c>
      <c r="DE174" s="357">
        <v>92131.55</v>
      </c>
      <c r="DF174" s="357">
        <v>0</v>
      </c>
      <c r="DG174" s="357">
        <v>0</v>
      </c>
      <c r="DH174" s="357">
        <v>92131.55</v>
      </c>
      <c r="DI174" s="357">
        <v>78725</v>
      </c>
      <c r="DJ174" s="357">
        <v>0</v>
      </c>
      <c r="DK174" s="357">
        <v>0</v>
      </c>
      <c r="DL174" s="357">
        <v>78725</v>
      </c>
      <c r="DM174" s="357">
        <v>0</v>
      </c>
      <c r="DN174" s="357">
        <v>0</v>
      </c>
      <c r="DO174" s="357">
        <v>0</v>
      </c>
      <c r="DP174" s="357">
        <v>0</v>
      </c>
      <c r="DQ174" s="357">
        <v>388422.3</v>
      </c>
      <c r="DR174" s="357">
        <v>0</v>
      </c>
      <c r="DS174" s="357">
        <v>0</v>
      </c>
      <c r="DT174" s="357">
        <v>0</v>
      </c>
      <c r="DU174" s="357">
        <v>0</v>
      </c>
      <c r="DV174" s="357">
        <v>0</v>
      </c>
      <c r="DW174" s="357">
        <v>388422.3</v>
      </c>
      <c r="DX174" s="357">
        <v>0</v>
      </c>
      <c r="DY174" s="357">
        <v>0</v>
      </c>
      <c r="DZ174" s="357">
        <v>388422.3</v>
      </c>
      <c r="EA174" s="357">
        <v>0</v>
      </c>
      <c r="EB174" s="357">
        <v>0</v>
      </c>
      <c r="EC174" s="357">
        <v>0</v>
      </c>
      <c r="ED174" s="357">
        <v>0</v>
      </c>
      <c r="EE174" s="357">
        <v>0</v>
      </c>
      <c r="EF174" s="357">
        <v>0</v>
      </c>
      <c r="EG174" s="357">
        <v>12199</v>
      </c>
      <c r="EH174" s="357">
        <v>0</v>
      </c>
      <c r="EI174" s="357">
        <v>0</v>
      </c>
      <c r="EJ174" s="357">
        <v>12199</v>
      </c>
      <c r="EK174" s="357">
        <v>100000</v>
      </c>
      <c r="EL174" s="357">
        <v>0</v>
      </c>
      <c r="EM174" s="357">
        <v>0</v>
      </c>
      <c r="EN174" s="357">
        <v>100000</v>
      </c>
      <c r="EO174" s="357">
        <v>112199</v>
      </c>
      <c r="EP174" s="357">
        <v>0</v>
      </c>
      <c r="EQ174" s="357">
        <v>0</v>
      </c>
      <c r="ER174" s="357">
        <v>0</v>
      </c>
      <c r="ES174" s="357">
        <v>0</v>
      </c>
      <c r="ET174" s="357">
        <v>0</v>
      </c>
      <c r="EU174" s="357">
        <v>112199</v>
      </c>
      <c r="EV174" s="357">
        <v>0</v>
      </c>
      <c r="EW174" s="357">
        <v>0</v>
      </c>
      <c r="EX174" s="357">
        <v>112199</v>
      </c>
      <c r="EY174" s="357">
        <v>21832291.6</v>
      </c>
      <c r="EZ174" s="357">
        <v>0</v>
      </c>
      <c r="FA174" s="357">
        <v>0</v>
      </c>
      <c r="FB174" s="357">
        <v>21832291.6</v>
      </c>
      <c r="FC174" s="277">
        <v>0</v>
      </c>
      <c r="FD174" s="205"/>
    </row>
    <row r="175" spans="1:160" ht="12.75">
      <c r="A175" s="169">
        <v>168</v>
      </c>
      <c r="B175" s="172" t="s">
        <v>244</v>
      </c>
      <c r="C175" s="258" t="s">
        <v>245</v>
      </c>
      <c r="D175" s="235">
        <v>41639</v>
      </c>
      <c r="E175" s="357">
        <v>106075500</v>
      </c>
      <c r="F175" s="357">
        <v>0</v>
      </c>
      <c r="G175" s="357">
        <v>0</v>
      </c>
      <c r="H175" s="357">
        <v>106075500</v>
      </c>
      <c r="I175" s="357">
        <v>49961561</v>
      </c>
      <c r="J175" s="357">
        <v>0</v>
      </c>
      <c r="K175" s="357">
        <v>0</v>
      </c>
      <c r="L175" s="357">
        <v>124903.9</v>
      </c>
      <c r="M175" s="357">
        <v>0</v>
      </c>
      <c r="N175" s="357">
        <v>0</v>
      </c>
      <c r="O175" s="357">
        <v>50086464.9</v>
      </c>
      <c r="P175" s="357">
        <v>0</v>
      </c>
      <c r="Q175" s="357">
        <v>0</v>
      </c>
      <c r="R175" s="357">
        <v>50086464.9</v>
      </c>
      <c r="S175" s="357">
        <v>49117.26</v>
      </c>
      <c r="T175" s="357">
        <v>0</v>
      </c>
      <c r="U175" s="357">
        <v>0</v>
      </c>
      <c r="V175" s="357">
        <v>49117.26</v>
      </c>
      <c r="W175" s="357">
        <v>1145.85</v>
      </c>
      <c r="X175" s="357">
        <v>0</v>
      </c>
      <c r="Y175" s="357">
        <v>0</v>
      </c>
      <c r="Z175" s="357">
        <v>1145.85</v>
      </c>
      <c r="AA175" s="357">
        <v>47971.41</v>
      </c>
      <c r="AB175" s="357">
        <v>0</v>
      </c>
      <c r="AC175" s="357">
        <v>0</v>
      </c>
      <c r="AD175" s="357">
        <v>0</v>
      </c>
      <c r="AE175" s="357">
        <v>0</v>
      </c>
      <c r="AF175" s="357">
        <v>0</v>
      </c>
      <c r="AG175" s="357">
        <v>47971.41</v>
      </c>
      <c r="AH175" s="357">
        <v>0</v>
      </c>
      <c r="AI175" s="357">
        <v>0</v>
      </c>
      <c r="AJ175" s="357">
        <v>47971.41</v>
      </c>
      <c r="AK175" s="357">
        <v>47971.41</v>
      </c>
      <c r="AL175" s="357">
        <v>0</v>
      </c>
      <c r="AM175" s="357">
        <v>0</v>
      </c>
      <c r="AN175" s="357">
        <v>47971.41</v>
      </c>
      <c r="AO175" s="357">
        <v>2143819.08</v>
      </c>
      <c r="AP175" s="357">
        <v>0</v>
      </c>
      <c r="AQ175" s="357">
        <v>0</v>
      </c>
      <c r="AR175" s="357">
        <v>2143819.08</v>
      </c>
      <c r="AS175" s="357">
        <v>21179.15</v>
      </c>
      <c r="AT175" s="357">
        <v>0</v>
      </c>
      <c r="AU175" s="357">
        <v>0</v>
      </c>
      <c r="AV175" s="357">
        <v>21179.15</v>
      </c>
      <c r="AW175" s="357">
        <v>978605.69</v>
      </c>
      <c r="AX175" s="357">
        <v>0</v>
      </c>
      <c r="AY175" s="357">
        <v>0</v>
      </c>
      <c r="AZ175" s="357">
        <v>978605.69</v>
      </c>
      <c r="BA175" s="357">
        <v>1165213.39</v>
      </c>
      <c r="BB175" s="357">
        <v>0</v>
      </c>
      <c r="BC175" s="357">
        <v>0</v>
      </c>
      <c r="BD175" s="357">
        <v>1165213.39</v>
      </c>
      <c r="BE175" s="357">
        <v>3987946.51</v>
      </c>
      <c r="BF175" s="357">
        <v>0</v>
      </c>
      <c r="BG175" s="357">
        <v>0</v>
      </c>
      <c r="BH175" s="357">
        <v>3987946.51</v>
      </c>
      <c r="BI175" s="357">
        <v>58688.32</v>
      </c>
      <c r="BJ175" s="357">
        <v>0</v>
      </c>
      <c r="BK175" s="357">
        <v>0</v>
      </c>
      <c r="BL175" s="357">
        <v>58688.32</v>
      </c>
      <c r="BM175" s="357">
        <v>5488.78</v>
      </c>
      <c r="BN175" s="357">
        <v>0</v>
      </c>
      <c r="BO175" s="357">
        <v>0</v>
      </c>
      <c r="BP175" s="357">
        <v>5488.78</v>
      </c>
      <c r="BQ175" s="357">
        <v>5217337</v>
      </c>
      <c r="BR175" s="357">
        <v>0</v>
      </c>
      <c r="BS175" s="357">
        <v>0</v>
      </c>
      <c r="BT175" s="357">
        <v>21438.19</v>
      </c>
      <c r="BU175" s="357">
        <v>0</v>
      </c>
      <c r="BV175" s="357">
        <v>0</v>
      </c>
      <c r="BW175" s="357">
        <v>5238775.19</v>
      </c>
      <c r="BX175" s="357">
        <v>0</v>
      </c>
      <c r="BY175" s="357">
        <v>0</v>
      </c>
      <c r="BZ175" s="357">
        <v>5238775.19</v>
      </c>
      <c r="CA175" s="357">
        <v>40000</v>
      </c>
      <c r="CB175" s="357">
        <v>0</v>
      </c>
      <c r="CC175" s="357">
        <v>0</v>
      </c>
      <c r="CD175" s="357">
        <v>40000</v>
      </c>
      <c r="CE175" s="357">
        <v>1189256.02</v>
      </c>
      <c r="CF175" s="357">
        <v>0</v>
      </c>
      <c r="CG175" s="357">
        <v>0</v>
      </c>
      <c r="CH175" s="357">
        <v>1189256.02</v>
      </c>
      <c r="CI175" s="357">
        <v>1229256.02</v>
      </c>
      <c r="CJ175" s="357">
        <v>0</v>
      </c>
      <c r="CK175" s="357">
        <v>0</v>
      </c>
      <c r="CL175" s="357">
        <v>0</v>
      </c>
      <c r="CM175" s="357">
        <v>0</v>
      </c>
      <c r="CN175" s="357">
        <v>0</v>
      </c>
      <c r="CO175" s="357">
        <v>1229256.02</v>
      </c>
      <c r="CP175" s="357">
        <v>0</v>
      </c>
      <c r="CQ175" s="357">
        <v>0</v>
      </c>
      <c r="CR175" s="357">
        <v>1229256.02</v>
      </c>
      <c r="CS175" s="357">
        <v>80551.84</v>
      </c>
      <c r="CT175" s="357">
        <v>0</v>
      </c>
      <c r="CU175" s="357">
        <v>0</v>
      </c>
      <c r="CV175" s="357">
        <v>80551.84</v>
      </c>
      <c r="CW175" s="357">
        <v>167230.55</v>
      </c>
      <c r="CX175" s="357">
        <v>0</v>
      </c>
      <c r="CY175" s="357">
        <v>0</v>
      </c>
      <c r="CZ175" s="357">
        <v>167230.55</v>
      </c>
      <c r="DA175" s="357">
        <v>4487.42</v>
      </c>
      <c r="DB175" s="357">
        <v>0</v>
      </c>
      <c r="DC175" s="357">
        <v>0</v>
      </c>
      <c r="DD175" s="357">
        <v>4487.42</v>
      </c>
      <c r="DE175" s="357">
        <v>5036.9</v>
      </c>
      <c r="DF175" s="357">
        <v>0</v>
      </c>
      <c r="DG175" s="357">
        <v>0</v>
      </c>
      <c r="DH175" s="357">
        <v>5036.9</v>
      </c>
      <c r="DI175" s="357">
        <v>0</v>
      </c>
      <c r="DJ175" s="357">
        <v>0</v>
      </c>
      <c r="DK175" s="357">
        <v>0</v>
      </c>
      <c r="DL175" s="357">
        <v>0</v>
      </c>
      <c r="DM175" s="357">
        <v>0</v>
      </c>
      <c r="DN175" s="357">
        <v>0</v>
      </c>
      <c r="DO175" s="357">
        <v>0</v>
      </c>
      <c r="DP175" s="357">
        <v>0</v>
      </c>
      <c r="DQ175" s="357">
        <v>257306.71</v>
      </c>
      <c r="DR175" s="357">
        <v>0</v>
      </c>
      <c r="DS175" s="357">
        <v>0</v>
      </c>
      <c r="DT175" s="357">
        <v>0</v>
      </c>
      <c r="DU175" s="357">
        <v>0</v>
      </c>
      <c r="DV175" s="357">
        <v>0</v>
      </c>
      <c r="DW175" s="357">
        <v>257306.71</v>
      </c>
      <c r="DX175" s="357">
        <v>0</v>
      </c>
      <c r="DY175" s="357">
        <v>0</v>
      </c>
      <c r="DZ175" s="357">
        <v>257306.71</v>
      </c>
      <c r="EA175" s="357">
        <v>0</v>
      </c>
      <c r="EB175" s="357">
        <v>0</v>
      </c>
      <c r="EC175" s="357">
        <v>11892.56</v>
      </c>
      <c r="ED175" s="357">
        <v>0</v>
      </c>
      <c r="EE175" s="357">
        <v>0</v>
      </c>
      <c r="EF175" s="357">
        <v>11892.56</v>
      </c>
      <c r="EG175" s="357">
        <v>12178.56</v>
      </c>
      <c r="EH175" s="357">
        <v>0</v>
      </c>
      <c r="EI175" s="357">
        <v>0</v>
      </c>
      <c r="EJ175" s="357">
        <v>12178.56</v>
      </c>
      <c r="EK175" s="357">
        <v>816479.3</v>
      </c>
      <c r="EL175" s="357">
        <v>0</v>
      </c>
      <c r="EM175" s="357">
        <v>0</v>
      </c>
      <c r="EN175" s="357">
        <v>816479.3</v>
      </c>
      <c r="EO175" s="357">
        <v>840550.42</v>
      </c>
      <c r="EP175" s="357">
        <v>0</v>
      </c>
      <c r="EQ175" s="357">
        <v>0</v>
      </c>
      <c r="ER175" s="357">
        <v>0</v>
      </c>
      <c r="ES175" s="357">
        <v>0</v>
      </c>
      <c r="ET175" s="357">
        <v>0</v>
      </c>
      <c r="EU175" s="357">
        <v>840550.42</v>
      </c>
      <c r="EV175" s="357">
        <v>0</v>
      </c>
      <c r="EW175" s="357">
        <v>0</v>
      </c>
      <c r="EX175" s="357">
        <v>840550.42</v>
      </c>
      <c r="EY175" s="357">
        <v>42472605.2</v>
      </c>
      <c r="EZ175" s="357">
        <v>0</v>
      </c>
      <c r="FA175" s="357">
        <v>0</v>
      </c>
      <c r="FB175" s="357">
        <v>42472605.2</v>
      </c>
      <c r="FC175" s="277">
        <v>0</v>
      </c>
      <c r="FD175" s="205"/>
    </row>
    <row r="176" spans="1:160" ht="12.75">
      <c r="A176" s="169">
        <v>169</v>
      </c>
      <c r="B176" s="172" t="s">
        <v>246</v>
      </c>
      <c r="C176" s="258" t="s">
        <v>247</v>
      </c>
      <c r="D176" s="235">
        <v>150114</v>
      </c>
      <c r="E176" s="357">
        <v>110553174</v>
      </c>
      <c r="F176" s="357">
        <v>0</v>
      </c>
      <c r="G176" s="357">
        <v>0</v>
      </c>
      <c r="H176" s="357">
        <v>110553174</v>
      </c>
      <c r="I176" s="357">
        <v>52070545</v>
      </c>
      <c r="J176" s="357">
        <v>0</v>
      </c>
      <c r="K176" s="357">
        <v>0</v>
      </c>
      <c r="L176" s="357">
        <v>0</v>
      </c>
      <c r="M176" s="357">
        <v>0</v>
      </c>
      <c r="N176" s="357">
        <v>0</v>
      </c>
      <c r="O176" s="357">
        <v>52070545</v>
      </c>
      <c r="P176" s="357">
        <v>0</v>
      </c>
      <c r="Q176" s="357">
        <v>0</v>
      </c>
      <c r="R176" s="357">
        <v>52070545</v>
      </c>
      <c r="S176" s="357">
        <v>27004.14</v>
      </c>
      <c r="T176" s="357">
        <v>0</v>
      </c>
      <c r="U176" s="357">
        <v>0</v>
      </c>
      <c r="V176" s="357">
        <v>27004.14</v>
      </c>
      <c r="W176" s="357">
        <v>23911.43</v>
      </c>
      <c r="X176" s="357">
        <v>0</v>
      </c>
      <c r="Y176" s="357">
        <v>0</v>
      </c>
      <c r="Z176" s="357">
        <v>23911.43</v>
      </c>
      <c r="AA176" s="357">
        <v>3092.71</v>
      </c>
      <c r="AB176" s="357">
        <v>0</v>
      </c>
      <c r="AC176" s="357">
        <v>0</v>
      </c>
      <c r="AD176" s="357">
        <v>0</v>
      </c>
      <c r="AE176" s="357">
        <v>0</v>
      </c>
      <c r="AF176" s="357">
        <v>0</v>
      </c>
      <c r="AG176" s="357">
        <v>3092.71</v>
      </c>
      <c r="AH176" s="357">
        <v>0</v>
      </c>
      <c r="AI176" s="357">
        <v>0</v>
      </c>
      <c r="AJ176" s="357">
        <v>3092.71</v>
      </c>
      <c r="AK176" s="357">
        <v>3092.71</v>
      </c>
      <c r="AL176" s="357">
        <v>0</v>
      </c>
      <c r="AM176" s="357">
        <v>0</v>
      </c>
      <c r="AN176" s="357">
        <v>3092.71</v>
      </c>
      <c r="AO176" s="357">
        <v>2400000</v>
      </c>
      <c r="AP176" s="357">
        <v>0</v>
      </c>
      <c r="AQ176" s="357">
        <v>0</v>
      </c>
      <c r="AR176" s="357">
        <v>2400000</v>
      </c>
      <c r="AS176" s="357">
        <v>0</v>
      </c>
      <c r="AT176" s="357">
        <v>0</v>
      </c>
      <c r="AU176" s="357">
        <v>0</v>
      </c>
      <c r="AV176" s="357">
        <v>0</v>
      </c>
      <c r="AW176" s="357">
        <v>860239.03</v>
      </c>
      <c r="AX176" s="357">
        <v>0</v>
      </c>
      <c r="AY176" s="357">
        <v>0</v>
      </c>
      <c r="AZ176" s="357">
        <v>860239.03</v>
      </c>
      <c r="BA176" s="357">
        <v>1539760.97</v>
      </c>
      <c r="BB176" s="357">
        <v>0</v>
      </c>
      <c r="BC176" s="357">
        <v>0</v>
      </c>
      <c r="BD176" s="357">
        <v>1539760.97</v>
      </c>
      <c r="BE176" s="357">
        <v>4433540</v>
      </c>
      <c r="BF176" s="357">
        <v>0</v>
      </c>
      <c r="BG176" s="357">
        <v>0</v>
      </c>
      <c r="BH176" s="357">
        <v>4433540</v>
      </c>
      <c r="BI176" s="357">
        <v>32071</v>
      </c>
      <c r="BJ176" s="357">
        <v>0</v>
      </c>
      <c r="BK176" s="357">
        <v>0</v>
      </c>
      <c r="BL176" s="357">
        <v>32071</v>
      </c>
      <c r="BM176" s="357">
        <v>0</v>
      </c>
      <c r="BN176" s="357">
        <v>0</v>
      </c>
      <c r="BO176" s="357">
        <v>0</v>
      </c>
      <c r="BP176" s="357">
        <v>0</v>
      </c>
      <c r="BQ176" s="357">
        <v>6005371.97</v>
      </c>
      <c r="BR176" s="357">
        <v>0</v>
      </c>
      <c r="BS176" s="357">
        <v>0</v>
      </c>
      <c r="BT176" s="357">
        <v>0</v>
      </c>
      <c r="BU176" s="357">
        <v>0</v>
      </c>
      <c r="BV176" s="357">
        <v>0</v>
      </c>
      <c r="BW176" s="357">
        <v>6005371.97</v>
      </c>
      <c r="BX176" s="357">
        <v>0</v>
      </c>
      <c r="BY176" s="357">
        <v>0</v>
      </c>
      <c r="BZ176" s="357">
        <v>6005371.97</v>
      </c>
      <c r="CA176" s="357">
        <v>15000</v>
      </c>
      <c r="CB176" s="357">
        <v>0</v>
      </c>
      <c r="CC176" s="357">
        <v>0</v>
      </c>
      <c r="CD176" s="357">
        <v>15000</v>
      </c>
      <c r="CE176" s="357">
        <v>2692000</v>
      </c>
      <c r="CF176" s="357">
        <v>0</v>
      </c>
      <c r="CG176" s="357">
        <v>0</v>
      </c>
      <c r="CH176" s="357">
        <v>2692000</v>
      </c>
      <c r="CI176" s="357">
        <v>2707000</v>
      </c>
      <c r="CJ176" s="357">
        <v>0</v>
      </c>
      <c r="CK176" s="357">
        <v>0</v>
      </c>
      <c r="CL176" s="357">
        <v>0</v>
      </c>
      <c r="CM176" s="357">
        <v>0</v>
      </c>
      <c r="CN176" s="357">
        <v>0</v>
      </c>
      <c r="CO176" s="357">
        <v>2707000</v>
      </c>
      <c r="CP176" s="357">
        <v>0</v>
      </c>
      <c r="CQ176" s="357">
        <v>0</v>
      </c>
      <c r="CR176" s="357">
        <v>2707000</v>
      </c>
      <c r="CS176" s="357">
        <v>2882.36</v>
      </c>
      <c r="CT176" s="357">
        <v>0</v>
      </c>
      <c r="CU176" s="357">
        <v>0</v>
      </c>
      <c r="CV176" s="357">
        <v>2882.36</v>
      </c>
      <c r="CW176" s="357">
        <v>23636.25</v>
      </c>
      <c r="CX176" s="357">
        <v>0</v>
      </c>
      <c r="CY176" s="357">
        <v>0</v>
      </c>
      <c r="CZ176" s="357">
        <v>23636.25</v>
      </c>
      <c r="DA176" s="357">
        <v>0</v>
      </c>
      <c r="DB176" s="357">
        <v>0</v>
      </c>
      <c r="DC176" s="357">
        <v>0</v>
      </c>
      <c r="DD176" s="357">
        <v>0</v>
      </c>
      <c r="DE176" s="357">
        <v>0</v>
      </c>
      <c r="DF176" s="357">
        <v>0</v>
      </c>
      <c r="DG176" s="357">
        <v>0</v>
      </c>
      <c r="DH176" s="357">
        <v>0</v>
      </c>
      <c r="DI176" s="357">
        <v>0</v>
      </c>
      <c r="DJ176" s="357">
        <v>0</v>
      </c>
      <c r="DK176" s="357">
        <v>0</v>
      </c>
      <c r="DL176" s="357">
        <v>0</v>
      </c>
      <c r="DM176" s="357">
        <v>903277.69</v>
      </c>
      <c r="DN176" s="357">
        <v>0</v>
      </c>
      <c r="DO176" s="357">
        <v>0</v>
      </c>
      <c r="DP176" s="357">
        <v>903277.69</v>
      </c>
      <c r="DQ176" s="357">
        <v>929796.3</v>
      </c>
      <c r="DR176" s="357">
        <v>0</v>
      </c>
      <c r="DS176" s="357">
        <v>0</v>
      </c>
      <c r="DT176" s="357">
        <v>0</v>
      </c>
      <c r="DU176" s="357">
        <v>0</v>
      </c>
      <c r="DV176" s="357">
        <v>0</v>
      </c>
      <c r="DW176" s="357">
        <v>929796.3</v>
      </c>
      <c r="DX176" s="357">
        <v>0</v>
      </c>
      <c r="DY176" s="357">
        <v>0</v>
      </c>
      <c r="DZ176" s="357">
        <v>929796.3</v>
      </c>
      <c r="EA176" s="357">
        <v>0</v>
      </c>
      <c r="EB176" s="357">
        <v>0</v>
      </c>
      <c r="EC176" s="357">
        <v>15</v>
      </c>
      <c r="ED176" s="357">
        <v>0</v>
      </c>
      <c r="EE176" s="357">
        <v>0</v>
      </c>
      <c r="EF176" s="357">
        <v>15</v>
      </c>
      <c r="EG176" s="357">
        <v>92744.41</v>
      </c>
      <c r="EH176" s="357">
        <v>0</v>
      </c>
      <c r="EI176" s="357">
        <v>0</v>
      </c>
      <c r="EJ176" s="357">
        <v>92744.41</v>
      </c>
      <c r="EK176" s="357">
        <v>400000</v>
      </c>
      <c r="EL176" s="357">
        <v>0</v>
      </c>
      <c r="EM176" s="357">
        <v>0</v>
      </c>
      <c r="EN176" s="357">
        <v>400000</v>
      </c>
      <c r="EO176" s="357">
        <v>492759.41</v>
      </c>
      <c r="EP176" s="357">
        <v>0</v>
      </c>
      <c r="EQ176" s="357">
        <v>0</v>
      </c>
      <c r="ER176" s="357">
        <v>0</v>
      </c>
      <c r="ES176" s="357">
        <v>0</v>
      </c>
      <c r="ET176" s="357">
        <v>0</v>
      </c>
      <c r="EU176" s="357">
        <v>492759.41</v>
      </c>
      <c r="EV176" s="357">
        <v>0</v>
      </c>
      <c r="EW176" s="357">
        <v>0</v>
      </c>
      <c r="EX176" s="357">
        <v>492759.41</v>
      </c>
      <c r="EY176" s="357">
        <v>41932524.6</v>
      </c>
      <c r="EZ176" s="357">
        <v>0</v>
      </c>
      <c r="FA176" s="357">
        <v>0</v>
      </c>
      <c r="FB176" s="357">
        <v>41932524.6</v>
      </c>
      <c r="FC176" s="277">
        <v>0</v>
      </c>
      <c r="FD176" s="205"/>
    </row>
    <row r="177" spans="1:160" ht="12.75">
      <c r="A177" s="169">
        <v>170</v>
      </c>
      <c r="B177" s="172" t="s">
        <v>248</v>
      </c>
      <c r="C177" s="258" t="s">
        <v>249</v>
      </c>
      <c r="D177" s="235">
        <v>41639</v>
      </c>
      <c r="E177" s="357">
        <v>360948662</v>
      </c>
      <c r="F177" s="357">
        <v>0</v>
      </c>
      <c r="G177" s="357">
        <v>0</v>
      </c>
      <c r="H177" s="357">
        <v>360948662</v>
      </c>
      <c r="I177" s="357">
        <v>170006820</v>
      </c>
      <c r="J177" s="357">
        <v>0</v>
      </c>
      <c r="K177" s="357">
        <v>0</v>
      </c>
      <c r="L177" s="357">
        <v>1000000</v>
      </c>
      <c r="M177" s="357">
        <v>0</v>
      </c>
      <c r="N177" s="357">
        <v>0</v>
      </c>
      <c r="O177" s="357">
        <v>171006820</v>
      </c>
      <c r="P177" s="357">
        <v>0</v>
      </c>
      <c r="Q177" s="357">
        <v>0</v>
      </c>
      <c r="R177" s="357">
        <v>171006820</v>
      </c>
      <c r="S177" s="357">
        <v>129000</v>
      </c>
      <c r="T177" s="357">
        <v>0</v>
      </c>
      <c r="U177" s="357">
        <v>0</v>
      </c>
      <c r="V177" s="357">
        <v>129000</v>
      </c>
      <c r="W177" s="357">
        <v>2170000</v>
      </c>
      <c r="X177" s="357">
        <v>0</v>
      </c>
      <c r="Y177" s="357">
        <v>0</v>
      </c>
      <c r="Z177" s="357">
        <v>2170000</v>
      </c>
      <c r="AA177" s="357">
        <v>-2041000</v>
      </c>
      <c r="AB177" s="357">
        <v>0</v>
      </c>
      <c r="AC177" s="357">
        <v>0</v>
      </c>
      <c r="AD177" s="357">
        <v>1000000</v>
      </c>
      <c r="AE177" s="357">
        <v>0</v>
      </c>
      <c r="AF177" s="357">
        <v>0</v>
      </c>
      <c r="AG177" s="357">
        <v>-1041000</v>
      </c>
      <c r="AH177" s="357">
        <v>0</v>
      </c>
      <c r="AI177" s="357">
        <v>0</v>
      </c>
      <c r="AJ177" s="357">
        <v>-1041000</v>
      </c>
      <c r="AK177" s="357">
        <v>-1041000</v>
      </c>
      <c r="AL177" s="357">
        <v>0</v>
      </c>
      <c r="AM177" s="357">
        <v>0</v>
      </c>
      <c r="AN177" s="357">
        <v>-1041000</v>
      </c>
      <c r="AO177" s="357">
        <v>3210000</v>
      </c>
      <c r="AP177" s="357">
        <v>0</v>
      </c>
      <c r="AQ177" s="357">
        <v>0</v>
      </c>
      <c r="AR177" s="357">
        <v>3210000</v>
      </c>
      <c r="AS177" s="357">
        <v>150000</v>
      </c>
      <c r="AT177" s="357">
        <v>0</v>
      </c>
      <c r="AU177" s="357">
        <v>0</v>
      </c>
      <c r="AV177" s="357">
        <v>150000</v>
      </c>
      <c r="AW177" s="357">
        <v>3084500</v>
      </c>
      <c r="AX177" s="357">
        <v>0</v>
      </c>
      <c r="AY177" s="357">
        <v>0</v>
      </c>
      <c r="AZ177" s="357">
        <v>3084500</v>
      </c>
      <c r="BA177" s="357">
        <v>125500</v>
      </c>
      <c r="BB177" s="357">
        <v>0</v>
      </c>
      <c r="BC177" s="357">
        <v>0</v>
      </c>
      <c r="BD177" s="357">
        <v>125500</v>
      </c>
      <c r="BE177" s="357">
        <v>8352000</v>
      </c>
      <c r="BF177" s="357">
        <v>0</v>
      </c>
      <c r="BG177" s="357">
        <v>0</v>
      </c>
      <c r="BH177" s="357">
        <v>8352000</v>
      </c>
      <c r="BI177" s="357">
        <v>61200</v>
      </c>
      <c r="BJ177" s="357">
        <v>0</v>
      </c>
      <c r="BK177" s="357">
        <v>0</v>
      </c>
      <c r="BL177" s="357">
        <v>61200</v>
      </c>
      <c r="BM177" s="357">
        <v>12750</v>
      </c>
      <c r="BN177" s="357">
        <v>0</v>
      </c>
      <c r="BO177" s="357">
        <v>0</v>
      </c>
      <c r="BP177" s="357">
        <v>12750</v>
      </c>
      <c r="BQ177" s="357">
        <v>8551450</v>
      </c>
      <c r="BR177" s="357">
        <v>0</v>
      </c>
      <c r="BS177" s="357">
        <v>0</v>
      </c>
      <c r="BT177" s="357">
        <v>750000</v>
      </c>
      <c r="BU177" s="357">
        <v>0</v>
      </c>
      <c r="BV177" s="357">
        <v>0</v>
      </c>
      <c r="BW177" s="357">
        <v>9301450</v>
      </c>
      <c r="BX177" s="357">
        <v>0</v>
      </c>
      <c r="BY177" s="357">
        <v>0</v>
      </c>
      <c r="BZ177" s="357">
        <v>9301450</v>
      </c>
      <c r="CA177" s="357">
        <v>250000</v>
      </c>
      <c r="CB177" s="357">
        <v>0</v>
      </c>
      <c r="CC177" s="357">
        <v>0</v>
      </c>
      <c r="CD177" s="357">
        <v>250000</v>
      </c>
      <c r="CE177" s="357">
        <v>5500000</v>
      </c>
      <c r="CF177" s="357">
        <v>0</v>
      </c>
      <c r="CG177" s="357">
        <v>0</v>
      </c>
      <c r="CH177" s="357">
        <v>5500000</v>
      </c>
      <c r="CI177" s="357">
        <v>5750000</v>
      </c>
      <c r="CJ177" s="357">
        <v>0</v>
      </c>
      <c r="CK177" s="357">
        <v>0</v>
      </c>
      <c r="CL177" s="357">
        <v>750000</v>
      </c>
      <c r="CM177" s="357">
        <v>0</v>
      </c>
      <c r="CN177" s="357">
        <v>0</v>
      </c>
      <c r="CO177" s="357">
        <v>6500000</v>
      </c>
      <c r="CP177" s="357">
        <v>0</v>
      </c>
      <c r="CQ177" s="357">
        <v>0</v>
      </c>
      <c r="CR177" s="357">
        <v>6500000</v>
      </c>
      <c r="CS177" s="357">
        <v>536000</v>
      </c>
      <c r="CT177" s="357">
        <v>0</v>
      </c>
      <c r="CU177" s="357">
        <v>0</v>
      </c>
      <c r="CV177" s="357">
        <v>536000</v>
      </c>
      <c r="CW177" s="357">
        <v>10000</v>
      </c>
      <c r="CX177" s="357">
        <v>0</v>
      </c>
      <c r="CY177" s="357">
        <v>0</v>
      </c>
      <c r="CZ177" s="357">
        <v>10000</v>
      </c>
      <c r="DA177" s="357">
        <v>13000</v>
      </c>
      <c r="DB177" s="357">
        <v>0</v>
      </c>
      <c r="DC177" s="357">
        <v>0</v>
      </c>
      <c r="DD177" s="357">
        <v>13000</v>
      </c>
      <c r="DE177" s="357">
        <v>12500</v>
      </c>
      <c r="DF177" s="357">
        <v>0</v>
      </c>
      <c r="DG177" s="357">
        <v>0</v>
      </c>
      <c r="DH177" s="357">
        <v>12500</v>
      </c>
      <c r="DI177" s="357">
        <v>0</v>
      </c>
      <c r="DJ177" s="357">
        <v>0</v>
      </c>
      <c r="DK177" s="357">
        <v>0</v>
      </c>
      <c r="DL177" s="357">
        <v>0</v>
      </c>
      <c r="DM177" s="357">
        <v>100000</v>
      </c>
      <c r="DN177" s="357">
        <v>0</v>
      </c>
      <c r="DO177" s="357">
        <v>0</v>
      </c>
      <c r="DP177" s="357">
        <v>100000</v>
      </c>
      <c r="DQ177" s="357">
        <v>671500</v>
      </c>
      <c r="DR177" s="357">
        <v>0</v>
      </c>
      <c r="DS177" s="357">
        <v>0</v>
      </c>
      <c r="DT177" s="357">
        <v>200000</v>
      </c>
      <c r="DU177" s="357">
        <v>0</v>
      </c>
      <c r="DV177" s="357">
        <v>0</v>
      </c>
      <c r="DW177" s="357">
        <v>871500</v>
      </c>
      <c r="DX177" s="357">
        <v>0</v>
      </c>
      <c r="DY177" s="357">
        <v>0</v>
      </c>
      <c r="DZ177" s="357">
        <v>871500</v>
      </c>
      <c r="EA177" s="357">
        <v>0</v>
      </c>
      <c r="EB177" s="357">
        <v>0</v>
      </c>
      <c r="EC177" s="357">
        <v>100000</v>
      </c>
      <c r="ED177" s="357">
        <v>0</v>
      </c>
      <c r="EE177" s="357">
        <v>0</v>
      </c>
      <c r="EF177" s="357">
        <v>100000</v>
      </c>
      <c r="EG177" s="357">
        <v>500000</v>
      </c>
      <c r="EH177" s="357">
        <v>0</v>
      </c>
      <c r="EI177" s="357">
        <v>0</v>
      </c>
      <c r="EJ177" s="357">
        <v>500000</v>
      </c>
      <c r="EK177" s="357">
        <v>1685000</v>
      </c>
      <c r="EL177" s="357">
        <v>0</v>
      </c>
      <c r="EM177" s="357">
        <v>0</v>
      </c>
      <c r="EN177" s="357">
        <v>1685000</v>
      </c>
      <c r="EO177" s="357">
        <v>2285000</v>
      </c>
      <c r="EP177" s="357">
        <v>0</v>
      </c>
      <c r="EQ177" s="357">
        <v>0</v>
      </c>
      <c r="ER177" s="357">
        <v>0</v>
      </c>
      <c r="ES177" s="357">
        <v>0</v>
      </c>
      <c r="ET177" s="357">
        <v>0</v>
      </c>
      <c r="EU177" s="357">
        <v>2285000</v>
      </c>
      <c r="EV177" s="357">
        <v>0</v>
      </c>
      <c r="EW177" s="357">
        <v>0</v>
      </c>
      <c r="EX177" s="357">
        <v>2285000</v>
      </c>
      <c r="EY177" s="357">
        <v>153089870</v>
      </c>
      <c r="EZ177" s="357">
        <v>0</v>
      </c>
      <c r="FA177" s="357">
        <v>0</v>
      </c>
      <c r="FB177" s="357">
        <v>153089870</v>
      </c>
      <c r="FC177" s="277">
        <v>0</v>
      </c>
      <c r="FD177" s="205"/>
    </row>
    <row r="178" spans="1:160" ht="12.75">
      <c r="A178" s="169">
        <v>171</v>
      </c>
      <c r="B178" s="172" t="s">
        <v>250</v>
      </c>
      <c r="C178" s="258" t="s">
        <v>251</v>
      </c>
      <c r="D178" s="235">
        <v>41619</v>
      </c>
      <c r="E178" s="357">
        <v>89139234</v>
      </c>
      <c r="F178" s="357">
        <v>0</v>
      </c>
      <c r="G178" s="357">
        <v>0</v>
      </c>
      <c r="H178" s="357">
        <v>89139234</v>
      </c>
      <c r="I178" s="357">
        <v>41984579</v>
      </c>
      <c r="J178" s="357">
        <v>0</v>
      </c>
      <c r="K178" s="357">
        <v>0</v>
      </c>
      <c r="L178" s="357">
        <v>-575000</v>
      </c>
      <c r="M178" s="357">
        <v>0</v>
      </c>
      <c r="N178" s="357">
        <v>0</v>
      </c>
      <c r="O178" s="357">
        <v>41409579</v>
      </c>
      <c r="P178" s="357">
        <v>0</v>
      </c>
      <c r="Q178" s="357">
        <v>0</v>
      </c>
      <c r="R178" s="357">
        <v>41409579</v>
      </c>
      <c r="S178" s="357">
        <v>17613</v>
      </c>
      <c r="T178" s="357">
        <v>0</v>
      </c>
      <c r="U178" s="357">
        <v>0</v>
      </c>
      <c r="V178" s="357">
        <v>17613</v>
      </c>
      <c r="W178" s="357">
        <v>7100</v>
      </c>
      <c r="X178" s="357">
        <v>0</v>
      </c>
      <c r="Y178" s="357">
        <v>0</v>
      </c>
      <c r="Z178" s="357">
        <v>7100</v>
      </c>
      <c r="AA178" s="357">
        <v>10513</v>
      </c>
      <c r="AB178" s="357">
        <v>0</v>
      </c>
      <c r="AC178" s="357">
        <v>0</v>
      </c>
      <c r="AD178" s="357">
        <v>0</v>
      </c>
      <c r="AE178" s="357">
        <v>0</v>
      </c>
      <c r="AF178" s="357">
        <v>0</v>
      </c>
      <c r="AG178" s="357">
        <v>10513</v>
      </c>
      <c r="AH178" s="357">
        <v>0</v>
      </c>
      <c r="AI178" s="357">
        <v>0</v>
      </c>
      <c r="AJ178" s="357">
        <v>10513</v>
      </c>
      <c r="AK178" s="357">
        <v>10513</v>
      </c>
      <c r="AL178" s="357">
        <v>0</v>
      </c>
      <c r="AM178" s="357">
        <v>0</v>
      </c>
      <c r="AN178" s="357">
        <v>10513</v>
      </c>
      <c r="AO178" s="357">
        <v>1687278</v>
      </c>
      <c r="AP178" s="357">
        <v>0</v>
      </c>
      <c r="AQ178" s="357">
        <v>0</v>
      </c>
      <c r="AR178" s="357">
        <v>1687278</v>
      </c>
      <c r="AS178" s="357">
        <v>0</v>
      </c>
      <c r="AT178" s="357">
        <v>0</v>
      </c>
      <c r="AU178" s="357">
        <v>0</v>
      </c>
      <c r="AV178" s="357">
        <v>0</v>
      </c>
      <c r="AW178" s="357">
        <v>841661</v>
      </c>
      <c r="AX178" s="357">
        <v>0</v>
      </c>
      <c r="AY178" s="357">
        <v>0</v>
      </c>
      <c r="AZ178" s="357">
        <v>841661</v>
      </c>
      <c r="BA178" s="357">
        <v>845617</v>
      </c>
      <c r="BB178" s="357">
        <v>0</v>
      </c>
      <c r="BC178" s="357">
        <v>0</v>
      </c>
      <c r="BD178" s="357">
        <v>845617</v>
      </c>
      <c r="BE178" s="357">
        <v>1831070</v>
      </c>
      <c r="BF178" s="357">
        <v>0</v>
      </c>
      <c r="BG178" s="357">
        <v>0</v>
      </c>
      <c r="BH178" s="357">
        <v>1831070</v>
      </c>
      <c r="BI178" s="357">
        <v>33100</v>
      </c>
      <c r="BJ178" s="357">
        <v>0</v>
      </c>
      <c r="BK178" s="357">
        <v>0</v>
      </c>
      <c r="BL178" s="357">
        <v>33100</v>
      </c>
      <c r="BM178" s="357">
        <v>11423</v>
      </c>
      <c r="BN178" s="357">
        <v>0</v>
      </c>
      <c r="BO178" s="357">
        <v>0</v>
      </c>
      <c r="BP178" s="357">
        <v>11423</v>
      </c>
      <c r="BQ178" s="357">
        <v>2721210</v>
      </c>
      <c r="BR178" s="357">
        <v>0</v>
      </c>
      <c r="BS178" s="357">
        <v>0</v>
      </c>
      <c r="BT178" s="357">
        <v>50000</v>
      </c>
      <c r="BU178" s="357">
        <v>0</v>
      </c>
      <c r="BV178" s="357">
        <v>0</v>
      </c>
      <c r="BW178" s="357">
        <v>2771210</v>
      </c>
      <c r="BX178" s="357">
        <v>0</v>
      </c>
      <c r="BY178" s="357">
        <v>0</v>
      </c>
      <c r="BZ178" s="357">
        <v>2771210</v>
      </c>
      <c r="CA178" s="357">
        <v>40000</v>
      </c>
      <c r="CB178" s="357">
        <v>0</v>
      </c>
      <c r="CC178" s="357">
        <v>0</v>
      </c>
      <c r="CD178" s="357">
        <v>40000</v>
      </c>
      <c r="CE178" s="357">
        <v>1179464</v>
      </c>
      <c r="CF178" s="357">
        <v>0</v>
      </c>
      <c r="CG178" s="357">
        <v>0</v>
      </c>
      <c r="CH178" s="357">
        <v>1179464</v>
      </c>
      <c r="CI178" s="357">
        <v>1219464</v>
      </c>
      <c r="CJ178" s="357">
        <v>0</v>
      </c>
      <c r="CK178" s="357">
        <v>0</v>
      </c>
      <c r="CL178" s="357">
        <v>150000</v>
      </c>
      <c r="CM178" s="357">
        <v>0</v>
      </c>
      <c r="CN178" s="357">
        <v>0</v>
      </c>
      <c r="CO178" s="357">
        <v>1369464</v>
      </c>
      <c r="CP178" s="357">
        <v>0</v>
      </c>
      <c r="CQ178" s="357">
        <v>0</v>
      </c>
      <c r="CR178" s="357">
        <v>1369464</v>
      </c>
      <c r="CS178" s="357">
        <v>21457</v>
      </c>
      <c r="CT178" s="357">
        <v>0</v>
      </c>
      <c r="CU178" s="357">
        <v>0</v>
      </c>
      <c r="CV178" s="357">
        <v>21457</v>
      </c>
      <c r="CW178" s="357">
        <v>12786</v>
      </c>
      <c r="CX178" s="357">
        <v>0</v>
      </c>
      <c r="CY178" s="357">
        <v>0</v>
      </c>
      <c r="CZ178" s="357">
        <v>12786</v>
      </c>
      <c r="DA178" s="357">
        <v>1085</v>
      </c>
      <c r="DB178" s="357">
        <v>0</v>
      </c>
      <c r="DC178" s="357">
        <v>0</v>
      </c>
      <c r="DD178" s="357">
        <v>1085</v>
      </c>
      <c r="DE178" s="357">
        <v>10098</v>
      </c>
      <c r="DF178" s="357">
        <v>0</v>
      </c>
      <c r="DG178" s="357">
        <v>0</v>
      </c>
      <c r="DH178" s="357">
        <v>10098</v>
      </c>
      <c r="DI178" s="357">
        <v>27638</v>
      </c>
      <c r="DJ178" s="357">
        <v>0</v>
      </c>
      <c r="DK178" s="357">
        <v>0</v>
      </c>
      <c r="DL178" s="357">
        <v>27638</v>
      </c>
      <c r="DM178" s="357">
        <v>0</v>
      </c>
      <c r="DN178" s="357">
        <v>0</v>
      </c>
      <c r="DO178" s="357">
        <v>0</v>
      </c>
      <c r="DP178" s="357">
        <v>0</v>
      </c>
      <c r="DQ178" s="357">
        <v>73064</v>
      </c>
      <c r="DR178" s="357">
        <v>0</v>
      </c>
      <c r="DS178" s="357">
        <v>0</v>
      </c>
      <c r="DT178" s="357">
        <v>10000</v>
      </c>
      <c r="DU178" s="357">
        <v>0</v>
      </c>
      <c r="DV178" s="357">
        <v>0</v>
      </c>
      <c r="DW178" s="357">
        <v>83064</v>
      </c>
      <c r="DX178" s="357">
        <v>0</v>
      </c>
      <c r="DY178" s="357">
        <v>0</v>
      </c>
      <c r="DZ178" s="357">
        <v>83064</v>
      </c>
      <c r="EA178" s="357">
        <v>0</v>
      </c>
      <c r="EB178" s="357">
        <v>0</v>
      </c>
      <c r="EC178" s="357">
        <v>300000</v>
      </c>
      <c r="ED178" s="357">
        <v>0</v>
      </c>
      <c r="EE178" s="357">
        <v>0</v>
      </c>
      <c r="EF178" s="357">
        <v>300000</v>
      </c>
      <c r="EG178" s="357">
        <v>40000</v>
      </c>
      <c r="EH178" s="357">
        <v>0</v>
      </c>
      <c r="EI178" s="357">
        <v>0</v>
      </c>
      <c r="EJ178" s="357">
        <v>40000</v>
      </c>
      <c r="EK178" s="357">
        <v>493000</v>
      </c>
      <c r="EL178" s="357">
        <v>0</v>
      </c>
      <c r="EM178" s="357">
        <v>0</v>
      </c>
      <c r="EN178" s="357">
        <v>493000</v>
      </c>
      <c r="EO178" s="357">
        <v>833000</v>
      </c>
      <c r="EP178" s="357">
        <v>0</v>
      </c>
      <c r="EQ178" s="357">
        <v>0</v>
      </c>
      <c r="ER178" s="357">
        <v>0</v>
      </c>
      <c r="ES178" s="357">
        <v>0</v>
      </c>
      <c r="ET178" s="357">
        <v>0</v>
      </c>
      <c r="EU178" s="357">
        <v>833000</v>
      </c>
      <c r="EV178" s="357">
        <v>0</v>
      </c>
      <c r="EW178" s="357">
        <v>0</v>
      </c>
      <c r="EX178" s="357">
        <v>833000</v>
      </c>
      <c r="EY178" s="357">
        <v>36342328</v>
      </c>
      <c r="EZ178" s="357">
        <v>0</v>
      </c>
      <c r="FA178" s="357">
        <v>0</v>
      </c>
      <c r="FB178" s="357">
        <v>36342328</v>
      </c>
      <c r="FC178" s="277">
        <v>0</v>
      </c>
      <c r="FD178" s="205"/>
    </row>
    <row r="179" spans="1:160" ht="12.75">
      <c r="A179" s="169">
        <v>172</v>
      </c>
      <c r="B179" s="172" t="s">
        <v>252</v>
      </c>
      <c r="C179" s="258" t="s">
        <v>253</v>
      </c>
      <c r="D179" s="235">
        <v>41661</v>
      </c>
      <c r="E179" s="357">
        <v>157031196</v>
      </c>
      <c r="F179" s="357">
        <v>0</v>
      </c>
      <c r="G179" s="357">
        <v>0</v>
      </c>
      <c r="H179" s="357">
        <v>157031196</v>
      </c>
      <c r="I179" s="357">
        <v>73961693</v>
      </c>
      <c r="J179" s="357">
        <v>0</v>
      </c>
      <c r="K179" s="357">
        <v>0</v>
      </c>
      <c r="L179" s="357">
        <v>-974970</v>
      </c>
      <c r="M179" s="357">
        <v>0</v>
      </c>
      <c r="N179" s="357">
        <v>0</v>
      </c>
      <c r="O179" s="357">
        <v>72986723</v>
      </c>
      <c r="P179" s="357">
        <v>0</v>
      </c>
      <c r="Q179" s="357">
        <v>0</v>
      </c>
      <c r="R179" s="357">
        <v>72986723</v>
      </c>
      <c r="S179" s="357">
        <v>577192.52</v>
      </c>
      <c r="T179" s="357">
        <v>0</v>
      </c>
      <c r="U179" s="357">
        <v>0</v>
      </c>
      <c r="V179" s="357">
        <v>577192.52</v>
      </c>
      <c r="W179" s="357">
        <v>34770.84</v>
      </c>
      <c r="X179" s="357">
        <v>0</v>
      </c>
      <c r="Y179" s="357">
        <v>0</v>
      </c>
      <c r="Z179" s="357">
        <v>34770.84</v>
      </c>
      <c r="AA179" s="357">
        <v>542421.68</v>
      </c>
      <c r="AB179" s="357">
        <v>0</v>
      </c>
      <c r="AC179" s="357">
        <v>0</v>
      </c>
      <c r="AD179" s="357">
        <v>-267721.19</v>
      </c>
      <c r="AE179" s="357">
        <v>0</v>
      </c>
      <c r="AF179" s="357">
        <v>0</v>
      </c>
      <c r="AG179" s="357">
        <v>274700.49</v>
      </c>
      <c r="AH179" s="357">
        <v>0</v>
      </c>
      <c r="AI179" s="357">
        <v>0</v>
      </c>
      <c r="AJ179" s="357">
        <v>274700.49</v>
      </c>
      <c r="AK179" s="357">
        <v>274700.49</v>
      </c>
      <c r="AL179" s="357">
        <v>0</v>
      </c>
      <c r="AM179" s="357">
        <v>0</v>
      </c>
      <c r="AN179" s="357">
        <v>274700.49</v>
      </c>
      <c r="AO179" s="357">
        <v>4067270</v>
      </c>
      <c r="AP179" s="357">
        <v>0</v>
      </c>
      <c r="AQ179" s="357">
        <v>0</v>
      </c>
      <c r="AR179" s="357">
        <v>4067270</v>
      </c>
      <c r="AS179" s="357">
        <v>30000</v>
      </c>
      <c r="AT179" s="357">
        <v>0</v>
      </c>
      <c r="AU179" s="357">
        <v>0</v>
      </c>
      <c r="AV179" s="357">
        <v>30000</v>
      </c>
      <c r="AW179" s="357">
        <v>1419932.59</v>
      </c>
      <c r="AX179" s="357">
        <v>0</v>
      </c>
      <c r="AY179" s="357">
        <v>0</v>
      </c>
      <c r="AZ179" s="357">
        <v>1419932.59</v>
      </c>
      <c r="BA179" s="357">
        <v>2647337.41</v>
      </c>
      <c r="BB179" s="357">
        <v>0</v>
      </c>
      <c r="BC179" s="357">
        <v>0</v>
      </c>
      <c r="BD179" s="357">
        <v>2647337.41</v>
      </c>
      <c r="BE179" s="357">
        <v>3160603.2</v>
      </c>
      <c r="BF179" s="357">
        <v>0</v>
      </c>
      <c r="BG179" s="357">
        <v>0</v>
      </c>
      <c r="BH179" s="357">
        <v>3160603.2</v>
      </c>
      <c r="BI179" s="357">
        <v>129600.16</v>
      </c>
      <c r="BJ179" s="357">
        <v>0</v>
      </c>
      <c r="BK179" s="357">
        <v>0</v>
      </c>
      <c r="BL179" s="357">
        <v>129600.16</v>
      </c>
      <c r="BM179" s="357">
        <v>18296.7</v>
      </c>
      <c r="BN179" s="357">
        <v>0</v>
      </c>
      <c r="BO179" s="357">
        <v>0</v>
      </c>
      <c r="BP179" s="357">
        <v>18296.7</v>
      </c>
      <c r="BQ179" s="357">
        <v>5955837.47</v>
      </c>
      <c r="BR179" s="357">
        <v>0</v>
      </c>
      <c r="BS179" s="357">
        <v>0</v>
      </c>
      <c r="BT179" s="357">
        <v>46658</v>
      </c>
      <c r="BU179" s="357">
        <v>0</v>
      </c>
      <c r="BV179" s="357">
        <v>0</v>
      </c>
      <c r="BW179" s="357">
        <v>6002495.47</v>
      </c>
      <c r="BX179" s="357">
        <v>0</v>
      </c>
      <c r="BY179" s="357">
        <v>0</v>
      </c>
      <c r="BZ179" s="357">
        <v>6002495.47</v>
      </c>
      <c r="CA179" s="357">
        <v>202337</v>
      </c>
      <c r="CB179" s="357">
        <v>0</v>
      </c>
      <c r="CC179" s="357">
        <v>0</v>
      </c>
      <c r="CD179" s="357">
        <v>202337</v>
      </c>
      <c r="CE179" s="357">
        <v>1595798</v>
      </c>
      <c r="CF179" s="357">
        <v>0</v>
      </c>
      <c r="CG179" s="357">
        <v>0</v>
      </c>
      <c r="CH179" s="357">
        <v>1595798</v>
      </c>
      <c r="CI179" s="357">
        <v>1798135</v>
      </c>
      <c r="CJ179" s="357">
        <v>0</v>
      </c>
      <c r="CK179" s="357">
        <v>0</v>
      </c>
      <c r="CL179" s="357">
        <v>-58322</v>
      </c>
      <c r="CM179" s="357">
        <v>0</v>
      </c>
      <c r="CN179" s="357">
        <v>0</v>
      </c>
      <c r="CO179" s="357">
        <v>1739813</v>
      </c>
      <c r="CP179" s="357">
        <v>0</v>
      </c>
      <c r="CQ179" s="357">
        <v>0</v>
      </c>
      <c r="CR179" s="357">
        <v>1739813</v>
      </c>
      <c r="CS179" s="357">
        <v>98661.4</v>
      </c>
      <c r="CT179" s="357">
        <v>0</v>
      </c>
      <c r="CU179" s="357">
        <v>0</v>
      </c>
      <c r="CV179" s="357">
        <v>98661.4</v>
      </c>
      <c r="CW179" s="357">
        <v>83810.08</v>
      </c>
      <c r="CX179" s="357">
        <v>0</v>
      </c>
      <c r="CY179" s="357">
        <v>0</v>
      </c>
      <c r="CZ179" s="357">
        <v>83810.08</v>
      </c>
      <c r="DA179" s="357">
        <v>0</v>
      </c>
      <c r="DB179" s="357">
        <v>0</v>
      </c>
      <c r="DC179" s="357">
        <v>0</v>
      </c>
      <c r="DD179" s="357">
        <v>0</v>
      </c>
      <c r="DE179" s="357">
        <v>14970.25</v>
      </c>
      <c r="DF179" s="357">
        <v>0</v>
      </c>
      <c r="DG179" s="357">
        <v>0</v>
      </c>
      <c r="DH179" s="357">
        <v>14970.25</v>
      </c>
      <c r="DI179" s="357">
        <v>0</v>
      </c>
      <c r="DJ179" s="357">
        <v>0</v>
      </c>
      <c r="DK179" s="357">
        <v>0</v>
      </c>
      <c r="DL179" s="357">
        <v>0</v>
      </c>
      <c r="DM179" s="357">
        <v>0</v>
      </c>
      <c r="DN179" s="357">
        <v>0</v>
      </c>
      <c r="DO179" s="357">
        <v>0</v>
      </c>
      <c r="DP179" s="357">
        <v>0</v>
      </c>
      <c r="DQ179" s="357">
        <v>197441.73</v>
      </c>
      <c r="DR179" s="357">
        <v>0</v>
      </c>
      <c r="DS179" s="357">
        <v>0</v>
      </c>
      <c r="DT179" s="357">
        <v>0</v>
      </c>
      <c r="DU179" s="357">
        <v>0</v>
      </c>
      <c r="DV179" s="357">
        <v>0</v>
      </c>
      <c r="DW179" s="357">
        <v>197441.73</v>
      </c>
      <c r="DX179" s="357">
        <v>0</v>
      </c>
      <c r="DY179" s="357">
        <v>0</v>
      </c>
      <c r="DZ179" s="357">
        <v>197441.73</v>
      </c>
      <c r="EA179" s="357">
        <v>0</v>
      </c>
      <c r="EB179" s="357">
        <v>0</v>
      </c>
      <c r="EC179" s="357">
        <v>100000</v>
      </c>
      <c r="ED179" s="357">
        <v>0</v>
      </c>
      <c r="EE179" s="357">
        <v>0</v>
      </c>
      <c r="EF179" s="357">
        <v>100000</v>
      </c>
      <c r="EG179" s="357">
        <v>98008</v>
      </c>
      <c r="EH179" s="357">
        <v>0</v>
      </c>
      <c r="EI179" s="357">
        <v>0</v>
      </c>
      <c r="EJ179" s="357">
        <v>98008</v>
      </c>
      <c r="EK179" s="357">
        <v>1162826</v>
      </c>
      <c r="EL179" s="357">
        <v>0</v>
      </c>
      <c r="EM179" s="357">
        <v>0</v>
      </c>
      <c r="EN179" s="357">
        <v>1162826</v>
      </c>
      <c r="EO179" s="357">
        <v>1360834</v>
      </c>
      <c r="EP179" s="357">
        <v>0</v>
      </c>
      <c r="EQ179" s="357">
        <v>0</v>
      </c>
      <c r="ER179" s="357">
        <v>0</v>
      </c>
      <c r="ES179" s="357">
        <v>0</v>
      </c>
      <c r="ET179" s="357">
        <v>0</v>
      </c>
      <c r="EU179" s="357">
        <v>1360834</v>
      </c>
      <c r="EV179" s="357">
        <v>0</v>
      </c>
      <c r="EW179" s="357">
        <v>0</v>
      </c>
      <c r="EX179" s="357">
        <v>1360834</v>
      </c>
      <c r="EY179" s="357">
        <v>63411438.3</v>
      </c>
      <c r="EZ179" s="357">
        <v>0</v>
      </c>
      <c r="FA179" s="357">
        <v>0</v>
      </c>
      <c r="FB179" s="357">
        <v>63411438.3</v>
      </c>
      <c r="FC179" s="277">
        <v>0</v>
      </c>
      <c r="FD179" s="205"/>
    </row>
    <row r="180" spans="1:160" ht="12.75">
      <c r="A180" s="169">
        <v>173</v>
      </c>
      <c r="B180" s="172" t="s">
        <v>254</v>
      </c>
      <c r="C180" s="258" t="s">
        <v>255</v>
      </c>
      <c r="D180" s="235">
        <v>41654</v>
      </c>
      <c r="E180" s="357">
        <v>92921157</v>
      </c>
      <c r="F180" s="357">
        <v>0</v>
      </c>
      <c r="G180" s="357">
        <v>0</v>
      </c>
      <c r="H180" s="357">
        <v>92921157</v>
      </c>
      <c r="I180" s="357">
        <v>43765865</v>
      </c>
      <c r="J180" s="357">
        <v>0</v>
      </c>
      <c r="K180" s="357">
        <v>0</v>
      </c>
      <c r="L180" s="357">
        <v>0</v>
      </c>
      <c r="M180" s="357">
        <v>0</v>
      </c>
      <c r="N180" s="357">
        <v>0</v>
      </c>
      <c r="O180" s="357">
        <v>43765865</v>
      </c>
      <c r="P180" s="357">
        <v>0</v>
      </c>
      <c r="Q180" s="357">
        <v>0</v>
      </c>
      <c r="R180" s="357">
        <v>43765865</v>
      </c>
      <c r="S180" s="357">
        <v>45475</v>
      </c>
      <c r="T180" s="357">
        <v>0</v>
      </c>
      <c r="U180" s="357">
        <v>0</v>
      </c>
      <c r="V180" s="357">
        <v>45475</v>
      </c>
      <c r="W180" s="357">
        <v>41156</v>
      </c>
      <c r="X180" s="357">
        <v>0</v>
      </c>
      <c r="Y180" s="357">
        <v>0</v>
      </c>
      <c r="Z180" s="357">
        <v>41156</v>
      </c>
      <c r="AA180" s="357">
        <v>4319</v>
      </c>
      <c r="AB180" s="357">
        <v>0</v>
      </c>
      <c r="AC180" s="357">
        <v>0</v>
      </c>
      <c r="AD180" s="357">
        <v>0</v>
      </c>
      <c r="AE180" s="357">
        <v>0</v>
      </c>
      <c r="AF180" s="357">
        <v>0</v>
      </c>
      <c r="AG180" s="357">
        <v>4319</v>
      </c>
      <c r="AH180" s="357">
        <v>0</v>
      </c>
      <c r="AI180" s="357">
        <v>0</v>
      </c>
      <c r="AJ180" s="357">
        <v>4319</v>
      </c>
      <c r="AK180" s="357">
        <v>4319</v>
      </c>
      <c r="AL180" s="357">
        <v>0</v>
      </c>
      <c r="AM180" s="357">
        <v>0</v>
      </c>
      <c r="AN180" s="357">
        <v>4319</v>
      </c>
      <c r="AO180" s="357">
        <v>2282828</v>
      </c>
      <c r="AP180" s="357">
        <v>0</v>
      </c>
      <c r="AQ180" s="357">
        <v>0</v>
      </c>
      <c r="AR180" s="357">
        <v>2282828</v>
      </c>
      <c r="AS180" s="357">
        <v>0</v>
      </c>
      <c r="AT180" s="357">
        <v>0</v>
      </c>
      <c r="AU180" s="357">
        <v>0</v>
      </c>
      <c r="AV180" s="357">
        <v>0</v>
      </c>
      <c r="AW180" s="357">
        <v>864599</v>
      </c>
      <c r="AX180" s="357">
        <v>0</v>
      </c>
      <c r="AY180" s="357">
        <v>0</v>
      </c>
      <c r="AZ180" s="357">
        <v>864599</v>
      </c>
      <c r="BA180" s="357">
        <v>1418229</v>
      </c>
      <c r="BB180" s="357">
        <v>0</v>
      </c>
      <c r="BC180" s="357">
        <v>0</v>
      </c>
      <c r="BD180" s="357">
        <v>1418229</v>
      </c>
      <c r="BE180" s="357">
        <v>1509586</v>
      </c>
      <c r="BF180" s="357">
        <v>0</v>
      </c>
      <c r="BG180" s="357">
        <v>0</v>
      </c>
      <c r="BH180" s="357">
        <v>1509586</v>
      </c>
      <c r="BI180" s="357">
        <v>87867</v>
      </c>
      <c r="BJ180" s="357">
        <v>0</v>
      </c>
      <c r="BK180" s="357">
        <v>0</v>
      </c>
      <c r="BL180" s="357">
        <v>87867</v>
      </c>
      <c r="BM180" s="357">
        <v>25152</v>
      </c>
      <c r="BN180" s="357">
        <v>0</v>
      </c>
      <c r="BO180" s="357">
        <v>0</v>
      </c>
      <c r="BP180" s="357">
        <v>25152</v>
      </c>
      <c r="BQ180" s="357">
        <v>3040834</v>
      </c>
      <c r="BR180" s="357">
        <v>0</v>
      </c>
      <c r="BS180" s="357">
        <v>0</v>
      </c>
      <c r="BT180" s="357">
        <v>0</v>
      </c>
      <c r="BU180" s="357">
        <v>0</v>
      </c>
      <c r="BV180" s="357">
        <v>0</v>
      </c>
      <c r="BW180" s="357">
        <v>3040834</v>
      </c>
      <c r="BX180" s="357">
        <v>0</v>
      </c>
      <c r="BY180" s="357">
        <v>0</v>
      </c>
      <c r="BZ180" s="357">
        <v>3040834</v>
      </c>
      <c r="CA180" s="357">
        <v>11271</v>
      </c>
      <c r="CB180" s="357">
        <v>0</v>
      </c>
      <c r="CC180" s="357">
        <v>0</v>
      </c>
      <c r="CD180" s="357">
        <v>11271</v>
      </c>
      <c r="CE180" s="357">
        <v>778944</v>
      </c>
      <c r="CF180" s="357">
        <v>0</v>
      </c>
      <c r="CG180" s="357">
        <v>0</v>
      </c>
      <c r="CH180" s="357">
        <v>778944</v>
      </c>
      <c r="CI180" s="357">
        <v>790215</v>
      </c>
      <c r="CJ180" s="357">
        <v>0</v>
      </c>
      <c r="CK180" s="357">
        <v>0</v>
      </c>
      <c r="CL180" s="357">
        <v>25000</v>
      </c>
      <c r="CM180" s="357">
        <v>0</v>
      </c>
      <c r="CN180" s="357">
        <v>0</v>
      </c>
      <c r="CO180" s="357">
        <v>815215</v>
      </c>
      <c r="CP180" s="357">
        <v>0</v>
      </c>
      <c r="CQ180" s="357">
        <v>0</v>
      </c>
      <c r="CR180" s="357">
        <v>815215</v>
      </c>
      <c r="CS180" s="357">
        <v>46382</v>
      </c>
      <c r="CT180" s="357">
        <v>0</v>
      </c>
      <c r="CU180" s="357">
        <v>0</v>
      </c>
      <c r="CV180" s="357">
        <v>46382</v>
      </c>
      <c r="CW180" s="357">
        <v>27032</v>
      </c>
      <c r="CX180" s="357">
        <v>0</v>
      </c>
      <c r="CY180" s="357">
        <v>0</v>
      </c>
      <c r="CZ180" s="357">
        <v>27032</v>
      </c>
      <c r="DA180" s="357">
        <v>0</v>
      </c>
      <c r="DB180" s="357">
        <v>0</v>
      </c>
      <c r="DC180" s="357">
        <v>0</v>
      </c>
      <c r="DD180" s="357">
        <v>0</v>
      </c>
      <c r="DE180" s="357">
        <v>4692</v>
      </c>
      <c r="DF180" s="357">
        <v>0</v>
      </c>
      <c r="DG180" s="357">
        <v>0</v>
      </c>
      <c r="DH180" s="357">
        <v>4692</v>
      </c>
      <c r="DI180" s="357">
        <v>0</v>
      </c>
      <c r="DJ180" s="357">
        <v>0</v>
      </c>
      <c r="DK180" s="357">
        <v>0</v>
      </c>
      <c r="DL180" s="357">
        <v>0</v>
      </c>
      <c r="DM180" s="357">
        <v>0</v>
      </c>
      <c r="DN180" s="357">
        <v>0</v>
      </c>
      <c r="DO180" s="357">
        <v>0</v>
      </c>
      <c r="DP180" s="357">
        <v>0</v>
      </c>
      <c r="DQ180" s="357">
        <v>78106</v>
      </c>
      <c r="DR180" s="357">
        <v>0</v>
      </c>
      <c r="DS180" s="357">
        <v>0</v>
      </c>
      <c r="DT180" s="357">
        <v>0</v>
      </c>
      <c r="DU180" s="357">
        <v>0</v>
      </c>
      <c r="DV180" s="357">
        <v>0</v>
      </c>
      <c r="DW180" s="357">
        <v>78106</v>
      </c>
      <c r="DX180" s="357">
        <v>0</v>
      </c>
      <c r="DY180" s="357">
        <v>0</v>
      </c>
      <c r="DZ180" s="357">
        <v>78106</v>
      </c>
      <c r="EA180" s="357">
        <v>0</v>
      </c>
      <c r="EB180" s="357">
        <v>0</v>
      </c>
      <c r="EC180" s="357">
        <v>0</v>
      </c>
      <c r="ED180" s="357">
        <v>0</v>
      </c>
      <c r="EE180" s="357">
        <v>0</v>
      </c>
      <c r="EF180" s="357">
        <v>0</v>
      </c>
      <c r="EG180" s="357">
        <v>60000</v>
      </c>
      <c r="EH180" s="357">
        <v>0</v>
      </c>
      <c r="EI180" s="357">
        <v>0</v>
      </c>
      <c r="EJ180" s="357">
        <v>60000</v>
      </c>
      <c r="EK180" s="357">
        <v>500000</v>
      </c>
      <c r="EL180" s="357">
        <v>0</v>
      </c>
      <c r="EM180" s="357">
        <v>0</v>
      </c>
      <c r="EN180" s="357">
        <v>500000</v>
      </c>
      <c r="EO180" s="357">
        <v>560000</v>
      </c>
      <c r="EP180" s="357">
        <v>0</v>
      </c>
      <c r="EQ180" s="357">
        <v>0</v>
      </c>
      <c r="ER180" s="357">
        <v>0</v>
      </c>
      <c r="ES180" s="357">
        <v>0</v>
      </c>
      <c r="ET180" s="357">
        <v>0</v>
      </c>
      <c r="EU180" s="357">
        <v>560000</v>
      </c>
      <c r="EV180" s="357">
        <v>0</v>
      </c>
      <c r="EW180" s="357">
        <v>0</v>
      </c>
      <c r="EX180" s="357">
        <v>560000</v>
      </c>
      <c r="EY180" s="357">
        <v>39267391</v>
      </c>
      <c r="EZ180" s="357">
        <v>0</v>
      </c>
      <c r="FA180" s="357">
        <v>0</v>
      </c>
      <c r="FB180" s="357">
        <v>39267391</v>
      </c>
      <c r="FC180" s="277">
        <v>0</v>
      </c>
      <c r="FD180" s="205"/>
    </row>
    <row r="181" spans="1:160" ht="12.75">
      <c r="A181" s="169">
        <v>174</v>
      </c>
      <c r="B181" s="172" t="s">
        <v>256</v>
      </c>
      <c r="C181" s="258" t="s">
        <v>257</v>
      </c>
      <c r="D181" s="235">
        <v>41547</v>
      </c>
      <c r="E181" s="357">
        <v>362244199</v>
      </c>
      <c r="F181" s="357">
        <v>18076975</v>
      </c>
      <c r="G181" s="357">
        <v>807750</v>
      </c>
      <c r="H181" s="357">
        <v>381128924</v>
      </c>
      <c r="I181" s="357">
        <v>170617018</v>
      </c>
      <c r="J181" s="357">
        <v>8514255</v>
      </c>
      <c r="K181" s="357">
        <v>380450</v>
      </c>
      <c r="L181" s="357">
        <v>-235500</v>
      </c>
      <c r="M181" s="357">
        <v>985000</v>
      </c>
      <c r="N181" s="357">
        <v>240022</v>
      </c>
      <c r="O181" s="357">
        <v>170381518</v>
      </c>
      <c r="P181" s="357">
        <v>9499255</v>
      </c>
      <c r="Q181" s="357">
        <v>620472</v>
      </c>
      <c r="R181" s="357">
        <v>180501245</v>
      </c>
      <c r="S181" s="357">
        <v>147026</v>
      </c>
      <c r="T181" s="357">
        <v>3469</v>
      </c>
      <c r="U181" s="357">
        <v>0</v>
      </c>
      <c r="V181" s="357">
        <v>150495</v>
      </c>
      <c r="W181" s="357">
        <v>37588</v>
      </c>
      <c r="X181" s="357">
        <v>3551</v>
      </c>
      <c r="Y181" s="357">
        <v>0</v>
      </c>
      <c r="Z181" s="357">
        <v>41139</v>
      </c>
      <c r="AA181" s="357">
        <v>109438</v>
      </c>
      <c r="AB181" s="357">
        <v>-82</v>
      </c>
      <c r="AC181" s="357">
        <v>0</v>
      </c>
      <c r="AD181" s="357">
        <v>0</v>
      </c>
      <c r="AE181" s="357">
        <v>0</v>
      </c>
      <c r="AF181" s="357">
        <v>0</v>
      </c>
      <c r="AG181" s="357">
        <v>109438</v>
      </c>
      <c r="AH181" s="357">
        <v>-82</v>
      </c>
      <c r="AI181" s="357">
        <v>0</v>
      </c>
      <c r="AJ181" s="357">
        <v>109356</v>
      </c>
      <c r="AK181" s="357">
        <v>109438</v>
      </c>
      <c r="AL181" s="357">
        <v>-82</v>
      </c>
      <c r="AM181" s="357">
        <v>0</v>
      </c>
      <c r="AN181" s="357">
        <v>109356</v>
      </c>
      <c r="AO181" s="357">
        <v>4510493</v>
      </c>
      <c r="AP181" s="357">
        <v>15003</v>
      </c>
      <c r="AQ181" s="357">
        <v>0</v>
      </c>
      <c r="AR181" s="357">
        <v>4525496</v>
      </c>
      <c r="AS181" s="357">
        <v>100000</v>
      </c>
      <c r="AT181" s="357">
        <v>0</v>
      </c>
      <c r="AU181" s="357">
        <v>0</v>
      </c>
      <c r="AV181" s="357">
        <v>100000</v>
      </c>
      <c r="AW181" s="357">
        <v>3648764</v>
      </c>
      <c r="AX181" s="357">
        <v>186588</v>
      </c>
      <c r="AY181" s="357">
        <v>8701</v>
      </c>
      <c r="AZ181" s="357">
        <v>3844053</v>
      </c>
      <c r="BA181" s="357">
        <v>861729</v>
      </c>
      <c r="BB181" s="357">
        <v>-171585</v>
      </c>
      <c r="BC181" s="357">
        <v>-8701</v>
      </c>
      <c r="BD181" s="357">
        <v>681443</v>
      </c>
      <c r="BE181" s="357">
        <v>11954728</v>
      </c>
      <c r="BF181" s="357">
        <v>354865</v>
      </c>
      <c r="BG181" s="357">
        <v>0</v>
      </c>
      <c r="BH181" s="357">
        <v>12309593</v>
      </c>
      <c r="BI181" s="357">
        <v>125376</v>
      </c>
      <c r="BJ181" s="357">
        <v>0</v>
      </c>
      <c r="BK181" s="357">
        <v>0</v>
      </c>
      <c r="BL181" s="357">
        <v>125376</v>
      </c>
      <c r="BM181" s="357">
        <v>2157</v>
      </c>
      <c r="BN181" s="357">
        <v>0</v>
      </c>
      <c r="BO181" s="357">
        <v>0</v>
      </c>
      <c r="BP181" s="357">
        <v>2157</v>
      </c>
      <c r="BQ181" s="357">
        <v>12943990</v>
      </c>
      <c r="BR181" s="357">
        <v>183280</v>
      </c>
      <c r="BS181" s="357">
        <v>-8701</v>
      </c>
      <c r="BT181" s="357">
        <v>0</v>
      </c>
      <c r="BU181" s="357">
        <v>0</v>
      </c>
      <c r="BV181" s="357">
        <v>0</v>
      </c>
      <c r="BW181" s="357">
        <v>12943990</v>
      </c>
      <c r="BX181" s="357">
        <v>183280</v>
      </c>
      <c r="BY181" s="357">
        <v>-8701</v>
      </c>
      <c r="BZ181" s="357">
        <v>13118569</v>
      </c>
      <c r="CA181" s="357">
        <v>350000</v>
      </c>
      <c r="CB181" s="357">
        <v>0</v>
      </c>
      <c r="CC181" s="357">
        <v>0</v>
      </c>
      <c r="CD181" s="357">
        <v>350000</v>
      </c>
      <c r="CE181" s="357">
        <v>6525610</v>
      </c>
      <c r="CF181" s="357">
        <v>1931750</v>
      </c>
      <c r="CG181" s="357">
        <v>0</v>
      </c>
      <c r="CH181" s="357">
        <v>8457360</v>
      </c>
      <c r="CI181" s="357">
        <v>6875610</v>
      </c>
      <c r="CJ181" s="357">
        <v>1931750</v>
      </c>
      <c r="CK181" s="357">
        <v>0</v>
      </c>
      <c r="CL181" s="357">
        <v>0</v>
      </c>
      <c r="CM181" s="357">
        <v>0</v>
      </c>
      <c r="CN181" s="357">
        <v>0</v>
      </c>
      <c r="CO181" s="357">
        <v>6875610</v>
      </c>
      <c r="CP181" s="357">
        <v>1931750</v>
      </c>
      <c r="CQ181" s="357">
        <v>0</v>
      </c>
      <c r="CR181" s="357">
        <v>8807360</v>
      </c>
      <c r="CS181" s="357">
        <v>211313</v>
      </c>
      <c r="CT181" s="357">
        <v>0</v>
      </c>
      <c r="CU181" s="357">
        <v>0</v>
      </c>
      <c r="CV181" s="357">
        <v>211313</v>
      </c>
      <c r="CW181" s="357">
        <v>420679</v>
      </c>
      <c r="CX181" s="357">
        <v>0</v>
      </c>
      <c r="CY181" s="357">
        <v>0</v>
      </c>
      <c r="CZ181" s="357">
        <v>420679</v>
      </c>
      <c r="DA181" s="357">
        <v>16564</v>
      </c>
      <c r="DB181" s="357">
        <v>0</v>
      </c>
      <c r="DC181" s="357">
        <v>0</v>
      </c>
      <c r="DD181" s="357">
        <v>16564</v>
      </c>
      <c r="DE181" s="357">
        <v>0</v>
      </c>
      <c r="DF181" s="357">
        <v>0</v>
      </c>
      <c r="DG181" s="357">
        <v>0</v>
      </c>
      <c r="DH181" s="357">
        <v>0</v>
      </c>
      <c r="DI181" s="357">
        <v>0</v>
      </c>
      <c r="DJ181" s="357">
        <v>0</v>
      </c>
      <c r="DK181" s="357">
        <v>0</v>
      </c>
      <c r="DL181" s="357">
        <v>0</v>
      </c>
      <c r="DM181" s="357">
        <v>0</v>
      </c>
      <c r="DN181" s="357">
        <v>0</v>
      </c>
      <c r="DO181" s="357">
        <v>0</v>
      </c>
      <c r="DP181" s="357">
        <v>0</v>
      </c>
      <c r="DQ181" s="357">
        <v>648556</v>
      </c>
      <c r="DR181" s="357">
        <v>0</v>
      </c>
      <c r="DS181" s="357">
        <v>0</v>
      </c>
      <c r="DT181" s="357">
        <v>0</v>
      </c>
      <c r="DU181" s="357">
        <v>0</v>
      </c>
      <c r="DV181" s="357">
        <v>0</v>
      </c>
      <c r="DW181" s="357">
        <v>648556</v>
      </c>
      <c r="DX181" s="357">
        <v>0</v>
      </c>
      <c r="DY181" s="357">
        <v>0</v>
      </c>
      <c r="DZ181" s="357">
        <v>648556</v>
      </c>
      <c r="EA181" s="357">
        <v>0</v>
      </c>
      <c r="EB181" s="357">
        <v>0</v>
      </c>
      <c r="EC181" s="357">
        <v>131170</v>
      </c>
      <c r="ED181" s="357">
        <v>551727</v>
      </c>
      <c r="EE181" s="357">
        <v>0</v>
      </c>
      <c r="EF181" s="357">
        <v>682897</v>
      </c>
      <c r="EG181" s="357">
        <v>644212</v>
      </c>
      <c r="EH181" s="357">
        <v>18722</v>
      </c>
      <c r="EI181" s="357">
        <v>0</v>
      </c>
      <c r="EJ181" s="357">
        <v>662934</v>
      </c>
      <c r="EK181" s="357">
        <v>1188527</v>
      </c>
      <c r="EL181" s="357">
        <v>23460</v>
      </c>
      <c r="EM181" s="357">
        <v>0</v>
      </c>
      <c r="EN181" s="357">
        <v>1211987</v>
      </c>
      <c r="EO181" s="357">
        <v>1963909</v>
      </c>
      <c r="EP181" s="357">
        <v>593909</v>
      </c>
      <c r="EQ181" s="357">
        <v>0</v>
      </c>
      <c r="ER181" s="357">
        <v>0</v>
      </c>
      <c r="ES181" s="357">
        <v>0</v>
      </c>
      <c r="ET181" s="357">
        <v>0</v>
      </c>
      <c r="EU181" s="357">
        <v>1963909</v>
      </c>
      <c r="EV181" s="357">
        <v>593909</v>
      </c>
      <c r="EW181" s="357">
        <v>0</v>
      </c>
      <c r="EX181" s="357">
        <v>2557818</v>
      </c>
      <c r="EY181" s="357">
        <v>147840015</v>
      </c>
      <c r="EZ181" s="357">
        <v>6790398</v>
      </c>
      <c r="FA181" s="357">
        <v>629173</v>
      </c>
      <c r="FB181" s="357">
        <v>155259586</v>
      </c>
      <c r="FC181" s="277">
        <v>0</v>
      </c>
      <c r="FD181" s="205"/>
    </row>
    <row r="182" spans="1:160" ht="12.75">
      <c r="A182" s="169">
        <v>175</v>
      </c>
      <c r="B182" s="172" t="s">
        <v>258</v>
      </c>
      <c r="C182" s="258" t="s">
        <v>259</v>
      </c>
      <c r="D182" s="235">
        <v>41547</v>
      </c>
      <c r="E182" s="357">
        <v>84231357</v>
      </c>
      <c r="F182" s="357">
        <v>0</v>
      </c>
      <c r="G182" s="357">
        <v>0</v>
      </c>
      <c r="H182" s="357">
        <v>84231357</v>
      </c>
      <c r="I182" s="357">
        <v>39672969</v>
      </c>
      <c r="J182" s="357">
        <v>0</v>
      </c>
      <c r="K182" s="357">
        <v>0</v>
      </c>
      <c r="L182" s="357">
        <v>-500000</v>
      </c>
      <c r="M182" s="357">
        <v>0</v>
      </c>
      <c r="N182" s="357">
        <v>0</v>
      </c>
      <c r="O182" s="357">
        <v>39172969</v>
      </c>
      <c r="P182" s="357">
        <v>0</v>
      </c>
      <c r="Q182" s="357">
        <v>0</v>
      </c>
      <c r="R182" s="357">
        <v>39172969</v>
      </c>
      <c r="S182" s="357">
        <v>32039.78</v>
      </c>
      <c r="T182" s="357">
        <v>0</v>
      </c>
      <c r="U182" s="357">
        <v>0</v>
      </c>
      <c r="V182" s="357">
        <v>32039.78</v>
      </c>
      <c r="W182" s="357">
        <v>11983.03</v>
      </c>
      <c r="X182" s="357">
        <v>0</v>
      </c>
      <c r="Y182" s="357">
        <v>0</v>
      </c>
      <c r="Z182" s="357">
        <v>11983.03</v>
      </c>
      <c r="AA182" s="357">
        <v>20056.75</v>
      </c>
      <c r="AB182" s="357">
        <v>0</v>
      </c>
      <c r="AC182" s="357">
        <v>0</v>
      </c>
      <c r="AD182" s="357">
        <v>0</v>
      </c>
      <c r="AE182" s="357">
        <v>0</v>
      </c>
      <c r="AF182" s="357">
        <v>0</v>
      </c>
      <c r="AG182" s="357">
        <v>20056.75</v>
      </c>
      <c r="AH182" s="357">
        <v>0</v>
      </c>
      <c r="AI182" s="357">
        <v>0</v>
      </c>
      <c r="AJ182" s="357">
        <v>20056.75</v>
      </c>
      <c r="AK182" s="357">
        <v>20056.75</v>
      </c>
      <c r="AL182" s="357">
        <v>0</v>
      </c>
      <c r="AM182" s="357">
        <v>0</v>
      </c>
      <c r="AN182" s="357">
        <v>20056.75</v>
      </c>
      <c r="AO182" s="357">
        <v>2074361.71</v>
      </c>
      <c r="AP182" s="357">
        <v>0</v>
      </c>
      <c r="AQ182" s="357">
        <v>0</v>
      </c>
      <c r="AR182" s="357">
        <v>2074361.71</v>
      </c>
      <c r="AS182" s="357">
        <v>8860</v>
      </c>
      <c r="AT182" s="357">
        <v>0</v>
      </c>
      <c r="AU182" s="357">
        <v>0</v>
      </c>
      <c r="AV182" s="357">
        <v>8860</v>
      </c>
      <c r="AW182" s="357">
        <v>783593.26</v>
      </c>
      <c r="AX182" s="357">
        <v>0</v>
      </c>
      <c r="AY182" s="357">
        <v>0</v>
      </c>
      <c r="AZ182" s="357">
        <v>783593.26</v>
      </c>
      <c r="BA182" s="357">
        <v>1290768.45</v>
      </c>
      <c r="BB182" s="357">
        <v>0</v>
      </c>
      <c r="BC182" s="357">
        <v>0</v>
      </c>
      <c r="BD182" s="357">
        <v>1290768.45</v>
      </c>
      <c r="BE182" s="357">
        <v>2331441.46</v>
      </c>
      <c r="BF182" s="357">
        <v>0</v>
      </c>
      <c r="BG182" s="357">
        <v>0</v>
      </c>
      <c r="BH182" s="357">
        <v>2331441.46</v>
      </c>
      <c r="BI182" s="357">
        <v>14440.72</v>
      </c>
      <c r="BJ182" s="357">
        <v>0</v>
      </c>
      <c r="BK182" s="357">
        <v>0</v>
      </c>
      <c r="BL182" s="357">
        <v>14440.72</v>
      </c>
      <c r="BM182" s="357">
        <v>12988.59</v>
      </c>
      <c r="BN182" s="357">
        <v>0</v>
      </c>
      <c r="BO182" s="357">
        <v>0</v>
      </c>
      <c r="BP182" s="357">
        <v>12988.59</v>
      </c>
      <c r="BQ182" s="357">
        <v>3649639.22</v>
      </c>
      <c r="BR182" s="357">
        <v>0</v>
      </c>
      <c r="BS182" s="357">
        <v>0</v>
      </c>
      <c r="BT182" s="357">
        <v>0</v>
      </c>
      <c r="BU182" s="357">
        <v>0</v>
      </c>
      <c r="BV182" s="357">
        <v>0</v>
      </c>
      <c r="BW182" s="357">
        <v>3649639.22</v>
      </c>
      <c r="BX182" s="357">
        <v>0</v>
      </c>
      <c r="BY182" s="357">
        <v>0</v>
      </c>
      <c r="BZ182" s="357">
        <v>3649639.22</v>
      </c>
      <c r="CA182" s="357">
        <v>400144.35</v>
      </c>
      <c r="CB182" s="357">
        <v>0</v>
      </c>
      <c r="CC182" s="357">
        <v>0</v>
      </c>
      <c r="CD182" s="357">
        <v>400144.35</v>
      </c>
      <c r="CE182" s="357">
        <v>640624.42</v>
      </c>
      <c r="CF182" s="357">
        <v>0</v>
      </c>
      <c r="CG182" s="357">
        <v>0</v>
      </c>
      <c r="CH182" s="357">
        <v>640624.42</v>
      </c>
      <c r="CI182" s="357">
        <v>1040768.77</v>
      </c>
      <c r="CJ182" s="357">
        <v>0</v>
      </c>
      <c r="CK182" s="357">
        <v>0</v>
      </c>
      <c r="CL182" s="357">
        <v>200000</v>
      </c>
      <c r="CM182" s="357">
        <v>0</v>
      </c>
      <c r="CN182" s="357">
        <v>0</v>
      </c>
      <c r="CO182" s="357">
        <v>1240768.77</v>
      </c>
      <c r="CP182" s="357">
        <v>0</v>
      </c>
      <c r="CQ182" s="357">
        <v>0</v>
      </c>
      <c r="CR182" s="357">
        <v>1240768.77</v>
      </c>
      <c r="CS182" s="357">
        <v>25882.08</v>
      </c>
      <c r="CT182" s="357">
        <v>0</v>
      </c>
      <c r="CU182" s="357">
        <v>0</v>
      </c>
      <c r="CV182" s="357">
        <v>25882.08</v>
      </c>
      <c r="CW182" s="357">
        <v>73667.24</v>
      </c>
      <c r="CX182" s="357">
        <v>0</v>
      </c>
      <c r="CY182" s="357">
        <v>0</v>
      </c>
      <c r="CZ182" s="357">
        <v>73667.24</v>
      </c>
      <c r="DA182" s="357">
        <v>0</v>
      </c>
      <c r="DB182" s="357">
        <v>0</v>
      </c>
      <c r="DC182" s="357">
        <v>0</v>
      </c>
      <c r="DD182" s="357">
        <v>0</v>
      </c>
      <c r="DE182" s="357">
        <v>0</v>
      </c>
      <c r="DF182" s="357">
        <v>0</v>
      </c>
      <c r="DG182" s="357">
        <v>0</v>
      </c>
      <c r="DH182" s="357">
        <v>0</v>
      </c>
      <c r="DI182" s="357">
        <v>0</v>
      </c>
      <c r="DJ182" s="357">
        <v>0</v>
      </c>
      <c r="DK182" s="357">
        <v>0</v>
      </c>
      <c r="DL182" s="357">
        <v>0</v>
      </c>
      <c r="DM182" s="357">
        <v>0</v>
      </c>
      <c r="DN182" s="357">
        <v>0</v>
      </c>
      <c r="DO182" s="357">
        <v>0</v>
      </c>
      <c r="DP182" s="357">
        <v>0</v>
      </c>
      <c r="DQ182" s="357">
        <v>99549.32</v>
      </c>
      <c r="DR182" s="357">
        <v>0</v>
      </c>
      <c r="DS182" s="357">
        <v>0</v>
      </c>
      <c r="DT182" s="357">
        <v>12000</v>
      </c>
      <c r="DU182" s="357">
        <v>0</v>
      </c>
      <c r="DV182" s="357">
        <v>0</v>
      </c>
      <c r="DW182" s="357">
        <v>111549.32</v>
      </c>
      <c r="DX182" s="357">
        <v>0</v>
      </c>
      <c r="DY182" s="357">
        <v>0</v>
      </c>
      <c r="DZ182" s="357">
        <v>111549.32</v>
      </c>
      <c r="EA182" s="357">
        <v>0</v>
      </c>
      <c r="EB182" s="357">
        <v>0</v>
      </c>
      <c r="EC182" s="357">
        <v>0</v>
      </c>
      <c r="ED182" s="357">
        <v>0</v>
      </c>
      <c r="EE182" s="357">
        <v>0</v>
      </c>
      <c r="EF182" s="357">
        <v>0</v>
      </c>
      <c r="EG182" s="357">
        <v>16000</v>
      </c>
      <c r="EH182" s="357">
        <v>0</v>
      </c>
      <c r="EI182" s="357">
        <v>0</v>
      </c>
      <c r="EJ182" s="357">
        <v>16000</v>
      </c>
      <c r="EK182" s="357">
        <v>450000</v>
      </c>
      <c r="EL182" s="357">
        <v>0</v>
      </c>
      <c r="EM182" s="357">
        <v>0</v>
      </c>
      <c r="EN182" s="357">
        <v>450000</v>
      </c>
      <c r="EO182" s="357">
        <v>466000</v>
      </c>
      <c r="EP182" s="357">
        <v>0</v>
      </c>
      <c r="EQ182" s="357">
        <v>0</v>
      </c>
      <c r="ER182" s="357">
        <v>0</v>
      </c>
      <c r="ES182" s="357">
        <v>0</v>
      </c>
      <c r="ET182" s="357">
        <v>0</v>
      </c>
      <c r="EU182" s="357">
        <v>466000</v>
      </c>
      <c r="EV182" s="357">
        <v>0</v>
      </c>
      <c r="EW182" s="357">
        <v>0</v>
      </c>
      <c r="EX182" s="357">
        <v>466000</v>
      </c>
      <c r="EY182" s="357">
        <v>33684954.9</v>
      </c>
      <c r="EZ182" s="357">
        <v>0</v>
      </c>
      <c r="FA182" s="357">
        <v>0</v>
      </c>
      <c r="FB182" s="357">
        <v>33684954.9</v>
      </c>
      <c r="FC182" s="277">
        <v>0</v>
      </c>
      <c r="FD182" s="205"/>
    </row>
    <row r="183" spans="1:160" ht="12.75">
      <c r="A183" s="169">
        <v>176</v>
      </c>
      <c r="B183" s="172" t="s">
        <v>260</v>
      </c>
      <c r="C183" s="258" t="s">
        <v>261</v>
      </c>
      <c r="D183" s="235">
        <v>311213</v>
      </c>
      <c r="E183" s="357">
        <v>316133204</v>
      </c>
      <c r="F183" s="357">
        <v>0</v>
      </c>
      <c r="G183" s="357">
        <v>651950</v>
      </c>
      <c r="H183" s="357">
        <v>316785154</v>
      </c>
      <c r="I183" s="357">
        <v>148898739</v>
      </c>
      <c r="J183" s="357">
        <v>0</v>
      </c>
      <c r="K183" s="357">
        <v>307068</v>
      </c>
      <c r="L183" s="357">
        <v>1935683.61</v>
      </c>
      <c r="M183" s="357">
        <v>0</v>
      </c>
      <c r="N183" s="357">
        <v>0</v>
      </c>
      <c r="O183" s="357">
        <v>150834423</v>
      </c>
      <c r="P183" s="357">
        <v>0</v>
      </c>
      <c r="Q183" s="357">
        <v>307068</v>
      </c>
      <c r="R183" s="357">
        <v>151141491</v>
      </c>
      <c r="S183" s="357">
        <v>555028.65</v>
      </c>
      <c r="T183" s="357">
        <v>0</v>
      </c>
      <c r="U183" s="357">
        <v>278.43</v>
      </c>
      <c r="V183" s="357">
        <v>555307.08</v>
      </c>
      <c r="W183" s="357">
        <v>31198.94</v>
      </c>
      <c r="X183" s="357">
        <v>0</v>
      </c>
      <c r="Y183" s="357">
        <v>0</v>
      </c>
      <c r="Z183" s="357">
        <v>31198.94</v>
      </c>
      <c r="AA183" s="357">
        <v>523829.71</v>
      </c>
      <c r="AB183" s="357">
        <v>0</v>
      </c>
      <c r="AC183" s="357">
        <v>278.43</v>
      </c>
      <c r="AD183" s="357">
        <v>0</v>
      </c>
      <c r="AE183" s="357">
        <v>0</v>
      </c>
      <c r="AF183" s="357">
        <v>0</v>
      </c>
      <c r="AG183" s="357">
        <v>523829.71</v>
      </c>
      <c r="AH183" s="357">
        <v>0</v>
      </c>
      <c r="AI183" s="357">
        <v>278.43</v>
      </c>
      <c r="AJ183" s="357">
        <v>524108.14</v>
      </c>
      <c r="AK183" s="357">
        <v>523829.71</v>
      </c>
      <c r="AL183" s="357">
        <v>0</v>
      </c>
      <c r="AM183" s="357">
        <v>278.43</v>
      </c>
      <c r="AN183" s="357">
        <v>524108.14</v>
      </c>
      <c r="AO183" s="357">
        <v>4182465.86</v>
      </c>
      <c r="AP183" s="357">
        <v>0</v>
      </c>
      <c r="AQ183" s="357">
        <v>4722.75</v>
      </c>
      <c r="AR183" s="357">
        <v>4187188.61</v>
      </c>
      <c r="AS183" s="357">
        <v>568000</v>
      </c>
      <c r="AT183" s="357">
        <v>0</v>
      </c>
      <c r="AU183" s="357">
        <v>0</v>
      </c>
      <c r="AV183" s="357">
        <v>568000</v>
      </c>
      <c r="AW183" s="357">
        <v>3021249.46</v>
      </c>
      <c r="AX183" s="357">
        <v>0</v>
      </c>
      <c r="AY183" s="357">
        <v>6685.25</v>
      </c>
      <c r="AZ183" s="357">
        <v>3027934.71</v>
      </c>
      <c r="BA183" s="357">
        <v>1161216.4</v>
      </c>
      <c r="BB183" s="357">
        <v>0</v>
      </c>
      <c r="BC183" s="357">
        <v>-1962.5</v>
      </c>
      <c r="BD183" s="357">
        <v>1159253.9</v>
      </c>
      <c r="BE183" s="357">
        <v>7108711.83</v>
      </c>
      <c r="BF183" s="357">
        <v>0</v>
      </c>
      <c r="BG183" s="357">
        <v>0</v>
      </c>
      <c r="BH183" s="357">
        <v>7108711.83</v>
      </c>
      <c r="BI183" s="357">
        <v>0</v>
      </c>
      <c r="BJ183" s="357">
        <v>0</v>
      </c>
      <c r="BK183" s="357">
        <v>0</v>
      </c>
      <c r="BL183" s="357">
        <v>0</v>
      </c>
      <c r="BM183" s="357">
        <v>0</v>
      </c>
      <c r="BN183" s="357">
        <v>0</v>
      </c>
      <c r="BO183" s="357">
        <v>0</v>
      </c>
      <c r="BP183" s="357">
        <v>0</v>
      </c>
      <c r="BQ183" s="357">
        <v>8269928.23</v>
      </c>
      <c r="BR183" s="357">
        <v>0</v>
      </c>
      <c r="BS183" s="357">
        <v>-1962.5</v>
      </c>
      <c r="BT183" s="357">
        <v>0</v>
      </c>
      <c r="BU183" s="357">
        <v>0</v>
      </c>
      <c r="BV183" s="357">
        <v>0</v>
      </c>
      <c r="BW183" s="357">
        <v>8269928.23</v>
      </c>
      <c r="BX183" s="357">
        <v>0</v>
      </c>
      <c r="BY183" s="357">
        <v>-1962.5</v>
      </c>
      <c r="BZ183" s="357">
        <v>8267965.73</v>
      </c>
      <c r="CA183" s="357">
        <v>0</v>
      </c>
      <c r="CB183" s="357">
        <v>0</v>
      </c>
      <c r="CC183" s="357">
        <v>0</v>
      </c>
      <c r="CD183" s="357">
        <v>0</v>
      </c>
      <c r="CE183" s="357">
        <v>3907832.56</v>
      </c>
      <c r="CF183" s="357">
        <v>0</v>
      </c>
      <c r="CG183" s="357">
        <v>0</v>
      </c>
      <c r="CH183" s="357">
        <v>3907832.56</v>
      </c>
      <c r="CI183" s="357">
        <v>3907832.56</v>
      </c>
      <c r="CJ183" s="357">
        <v>0</v>
      </c>
      <c r="CK183" s="357">
        <v>0</v>
      </c>
      <c r="CL183" s="357">
        <v>0</v>
      </c>
      <c r="CM183" s="357">
        <v>0</v>
      </c>
      <c r="CN183" s="357">
        <v>0</v>
      </c>
      <c r="CO183" s="357">
        <v>3907832.56</v>
      </c>
      <c r="CP183" s="357">
        <v>0</v>
      </c>
      <c r="CQ183" s="357">
        <v>0</v>
      </c>
      <c r="CR183" s="357">
        <v>3907832.56</v>
      </c>
      <c r="CS183" s="357">
        <v>0</v>
      </c>
      <c r="CT183" s="357">
        <v>0</v>
      </c>
      <c r="CU183" s="357">
        <v>0</v>
      </c>
      <c r="CV183" s="357">
        <v>0</v>
      </c>
      <c r="CW183" s="357">
        <v>0</v>
      </c>
      <c r="CX183" s="357">
        <v>0</v>
      </c>
      <c r="CY183" s="357">
        <v>0</v>
      </c>
      <c r="CZ183" s="357">
        <v>0</v>
      </c>
      <c r="DA183" s="357">
        <v>0</v>
      </c>
      <c r="DB183" s="357">
        <v>0</v>
      </c>
      <c r="DC183" s="357">
        <v>0</v>
      </c>
      <c r="DD183" s="357">
        <v>0</v>
      </c>
      <c r="DE183" s="357">
        <v>0</v>
      </c>
      <c r="DF183" s="357">
        <v>0</v>
      </c>
      <c r="DG183" s="357">
        <v>0</v>
      </c>
      <c r="DH183" s="357">
        <v>0</v>
      </c>
      <c r="DI183" s="357">
        <v>0</v>
      </c>
      <c r="DJ183" s="357">
        <v>0</v>
      </c>
      <c r="DK183" s="357">
        <v>0</v>
      </c>
      <c r="DL183" s="357">
        <v>0</v>
      </c>
      <c r="DM183" s="357">
        <v>0</v>
      </c>
      <c r="DN183" s="357">
        <v>0</v>
      </c>
      <c r="DO183" s="357">
        <v>0</v>
      </c>
      <c r="DP183" s="357">
        <v>0</v>
      </c>
      <c r="DQ183" s="357">
        <v>0</v>
      </c>
      <c r="DR183" s="357">
        <v>0</v>
      </c>
      <c r="DS183" s="357">
        <v>0</v>
      </c>
      <c r="DT183" s="357">
        <v>0</v>
      </c>
      <c r="DU183" s="357">
        <v>0</v>
      </c>
      <c r="DV183" s="357">
        <v>0</v>
      </c>
      <c r="DW183" s="357">
        <v>0</v>
      </c>
      <c r="DX183" s="357">
        <v>0</v>
      </c>
      <c r="DY183" s="357">
        <v>0</v>
      </c>
      <c r="DZ183" s="357">
        <v>0</v>
      </c>
      <c r="EA183" s="357">
        <v>0</v>
      </c>
      <c r="EB183" s="357">
        <v>0</v>
      </c>
      <c r="EC183" s="357">
        <v>0</v>
      </c>
      <c r="ED183" s="357">
        <v>0</v>
      </c>
      <c r="EE183" s="357">
        <v>0</v>
      </c>
      <c r="EF183" s="357">
        <v>0</v>
      </c>
      <c r="EG183" s="357">
        <v>0</v>
      </c>
      <c r="EH183" s="357">
        <v>0</v>
      </c>
      <c r="EI183" s="357">
        <v>0</v>
      </c>
      <c r="EJ183" s="357">
        <v>0</v>
      </c>
      <c r="EK183" s="357">
        <v>2758000</v>
      </c>
      <c r="EL183" s="357">
        <v>0</v>
      </c>
      <c r="EM183" s="357">
        <v>0</v>
      </c>
      <c r="EN183" s="357">
        <v>2758000</v>
      </c>
      <c r="EO183" s="357">
        <v>2758000</v>
      </c>
      <c r="EP183" s="357">
        <v>0</v>
      </c>
      <c r="EQ183" s="357">
        <v>0</v>
      </c>
      <c r="ER183" s="357">
        <v>0</v>
      </c>
      <c r="ES183" s="357">
        <v>0</v>
      </c>
      <c r="ET183" s="357">
        <v>0</v>
      </c>
      <c r="EU183" s="357">
        <v>2758000</v>
      </c>
      <c r="EV183" s="357">
        <v>0</v>
      </c>
      <c r="EW183" s="357">
        <v>0</v>
      </c>
      <c r="EX183" s="357">
        <v>2758000</v>
      </c>
      <c r="EY183" s="357">
        <v>135374832</v>
      </c>
      <c r="EZ183" s="357">
        <v>0</v>
      </c>
      <c r="FA183" s="357">
        <v>308752.07</v>
      </c>
      <c r="FB183" s="357">
        <v>135683584</v>
      </c>
      <c r="FC183" s="277">
        <v>0</v>
      </c>
      <c r="FD183" s="205"/>
    </row>
    <row r="184" spans="1:160" ht="12.75">
      <c r="A184" s="169">
        <v>177</v>
      </c>
      <c r="B184" s="172" t="s">
        <v>262</v>
      </c>
      <c r="C184" s="258" t="s">
        <v>263</v>
      </c>
      <c r="D184" s="235">
        <v>41639</v>
      </c>
      <c r="E184" s="357">
        <v>84214691</v>
      </c>
      <c r="F184" s="357">
        <v>0</v>
      </c>
      <c r="G184" s="357">
        <v>0</v>
      </c>
      <c r="H184" s="357">
        <v>84214691</v>
      </c>
      <c r="I184" s="357">
        <v>39665119</v>
      </c>
      <c r="J184" s="357">
        <v>0</v>
      </c>
      <c r="K184" s="357">
        <v>0</v>
      </c>
      <c r="L184" s="357">
        <v>0</v>
      </c>
      <c r="M184" s="357">
        <v>0</v>
      </c>
      <c r="N184" s="357">
        <v>0</v>
      </c>
      <c r="O184" s="357">
        <v>39665119</v>
      </c>
      <c r="P184" s="357">
        <v>0</v>
      </c>
      <c r="Q184" s="357">
        <v>0</v>
      </c>
      <c r="R184" s="357">
        <v>39665119</v>
      </c>
      <c r="S184" s="357">
        <v>117758</v>
      </c>
      <c r="T184" s="357">
        <v>0</v>
      </c>
      <c r="U184" s="357">
        <v>0</v>
      </c>
      <c r="V184" s="357">
        <v>117758</v>
      </c>
      <c r="W184" s="357">
        <v>2536</v>
      </c>
      <c r="X184" s="357">
        <v>0</v>
      </c>
      <c r="Y184" s="357">
        <v>0</v>
      </c>
      <c r="Z184" s="357">
        <v>2536</v>
      </c>
      <c r="AA184" s="357">
        <v>115222</v>
      </c>
      <c r="AB184" s="357">
        <v>0</v>
      </c>
      <c r="AC184" s="357">
        <v>0</v>
      </c>
      <c r="AD184" s="357">
        <v>0</v>
      </c>
      <c r="AE184" s="357">
        <v>0</v>
      </c>
      <c r="AF184" s="357">
        <v>0</v>
      </c>
      <c r="AG184" s="357">
        <v>115222</v>
      </c>
      <c r="AH184" s="357">
        <v>0</v>
      </c>
      <c r="AI184" s="357">
        <v>0</v>
      </c>
      <c r="AJ184" s="357">
        <v>115222</v>
      </c>
      <c r="AK184" s="357">
        <v>115222</v>
      </c>
      <c r="AL184" s="357">
        <v>0</v>
      </c>
      <c r="AM184" s="357">
        <v>0</v>
      </c>
      <c r="AN184" s="357">
        <v>115222</v>
      </c>
      <c r="AO184" s="357">
        <v>3788586</v>
      </c>
      <c r="AP184" s="357">
        <v>0</v>
      </c>
      <c r="AQ184" s="357">
        <v>0</v>
      </c>
      <c r="AR184" s="357">
        <v>3788586</v>
      </c>
      <c r="AS184" s="357">
        <v>37000</v>
      </c>
      <c r="AT184" s="357">
        <v>0</v>
      </c>
      <c r="AU184" s="357">
        <v>0</v>
      </c>
      <c r="AV184" s="357">
        <v>37000</v>
      </c>
      <c r="AW184" s="357">
        <v>698508</v>
      </c>
      <c r="AX184" s="357">
        <v>0</v>
      </c>
      <c r="AY184" s="357">
        <v>0</v>
      </c>
      <c r="AZ184" s="357">
        <v>698508</v>
      </c>
      <c r="BA184" s="357">
        <v>3090078</v>
      </c>
      <c r="BB184" s="357">
        <v>0</v>
      </c>
      <c r="BC184" s="357">
        <v>0</v>
      </c>
      <c r="BD184" s="357">
        <v>3090078</v>
      </c>
      <c r="BE184" s="357">
        <v>1996659</v>
      </c>
      <c r="BF184" s="357">
        <v>0</v>
      </c>
      <c r="BG184" s="357">
        <v>0</v>
      </c>
      <c r="BH184" s="357">
        <v>1996659</v>
      </c>
      <c r="BI184" s="357">
        <v>122701</v>
      </c>
      <c r="BJ184" s="357">
        <v>0</v>
      </c>
      <c r="BK184" s="357">
        <v>0</v>
      </c>
      <c r="BL184" s="357">
        <v>122701</v>
      </c>
      <c r="BM184" s="357">
        <v>36379</v>
      </c>
      <c r="BN184" s="357">
        <v>0</v>
      </c>
      <c r="BO184" s="357">
        <v>0</v>
      </c>
      <c r="BP184" s="357">
        <v>36379</v>
      </c>
      <c r="BQ184" s="357">
        <v>5245817</v>
      </c>
      <c r="BR184" s="357">
        <v>0</v>
      </c>
      <c r="BS184" s="357">
        <v>0</v>
      </c>
      <c r="BT184" s="357">
        <v>388765</v>
      </c>
      <c r="BU184" s="357">
        <v>0</v>
      </c>
      <c r="BV184" s="357">
        <v>0</v>
      </c>
      <c r="BW184" s="357">
        <v>5634582</v>
      </c>
      <c r="BX184" s="357">
        <v>0</v>
      </c>
      <c r="BY184" s="357">
        <v>0</v>
      </c>
      <c r="BZ184" s="357">
        <v>5634582</v>
      </c>
      <c r="CA184" s="357">
        <v>22800</v>
      </c>
      <c r="CB184" s="357">
        <v>0</v>
      </c>
      <c r="CC184" s="357">
        <v>0</v>
      </c>
      <c r="CD184" s="357">
        <v>22800</v>
      </c>
      <c r="CE184" s="357">
        <v>654030</v>
      </c>
      <c r="CF184" s="357">
        <v>0</v>
      </c>
      <c r="CG184" s="357">
        <v>0</v>
      </c>
      <c r="CH184" s="357">
        <v>654030</v>
      </c>
      <c r="CI184" s="357">
        <v>676830</v>
      </c>
      <c r="CJ184" s="357">
        <v>0</v>
      </c>
      <c r="CK184" s="357">
        <v>0</v>
      </c>
      <c r="CL184" s="357">
        <v>0</v>
      </c>
      <c r="CM184" s="357">
        <v>0</v>
      </c>
      <c r="CN184" s="357">
        <v>0</v>
      </c>
      <c r="CO184" s="357">
        <v>676830</v>
      </c>
      <c r="CP184" s="357">
        <v>0</v>
      </c>
      <c r="CQ184" s="357">
        <v>0</v>
      </c>
      <c r="CR184" s="357">
        <v>676830</v>
      </c>
      <c r="CS184" s="357">
        <v>112181</v>
      </c>
      <c r="CT184" s="357">
        <v>0</v>
      </c>
      <c r="CU184" s="357">
        <v>0</v>
      </c>
      <c r="CV184" s="357">
        <v>112181</v>
      </c>
      <c r="CW184" s="357">
        <v>152302</v>
      </c>
      <c r="CX184" s="357">
        <v>0</v>
      </c>
      <c r="CY184" s="357">
        <v>0</v>
      </c>
      <c r="CZ184" s="357">
        <v>152302</v>
      </c>
      <c r="DA184" s="357">
        <v>9724</v>
      </c>
      <c r="DB184" s="357">
        <v>0</v>
      </c>
      <c r="DC184" s="357">
        <v>0</v>
      </c>
      <c r="DD184" s="357">
        <v>9724</v>
      </c>
      <c r="DE184" s="357">
        <v>14707</v>
      </c>
      <c r="DF184" s="357">
        <v>0</v>
      </c>
      <c r="DG184" s="357">
        <v>0</v>
      </c>
      <c r="DH184" s="357">
        <v>14707</v>
      </c>
      <c r="DI184" s="357">
        <v>9917</v>
      </c>
      <c r="DJ184" s="357">
        <v>0</v>
      </c>
      <c r="DK184" s="357">
        <v>0</v>
      </c>
      <c r="DL184" s="357">
        <v>9917</v>
      </c>
      <c r="DM184" s="357">
        <v>0</v>
      </c>
      <c r="DN184" s="357">
        <v>0</v>
      </c>
      <c r="DO184" s="357">
        <v>0</v>
      </c>
      <c r="DP184" s="357">
        <v>0</v>
      </c>
      <c r="DQ184" s="357">
        <v>298831</v>
      </c>
      <c r="DR184" s="357">
        <v>0</v>
      </c>
      <c r="DS184" s="357">
        <v>0</v>
      </c>
      <c r="DT184" s="357">
        <v>0</v>
      </c>
      <c r="DU184" s="357">
        <v>0</v>
      </c>
      <c r="DV184" s="357">
        <v>0</v>
      </c>
      <c r="DW184" s="357">
        <v>298831</v>
      </c>
      <c r="DX184" s="357">
        <v>0</v>
      </c>
      <c r="DY184" s="357">
        <v>0</v>
      </c>
      <c r="DZ184" s="357">
        <v>298831</v>
      </c>
      <c r="EA184" s="357">
        <v>0</v>
      </c>
      <c r="EB184" s="357">
        <v>0</v>
      </c>
      <c r="EC184" s="357">
        <v>0</v>
      </c>
      <c r="ED184" s="357">
        <v>0</v>
      </c>
      <c r="EE184" s="357">
        <v>0</v>
      </c>
      <c r="EF184" s="357">
        <v>0</v>
      </c>
      <c r="EG184" s="357">
        <v>0</v>
      </c>
      <c r="EH184" s="357">
        <v>0</v>
      </c>
      <c r="EI184" s="357">
        <v>0</v>
      </c>
      <c r="EJ184" s="357">
        <v>0</v>
      </c>
      <c r="EK184" s="357">
        <v>742084</v>
      </c>
      <c r="EL184" s="357">
        <v>0</v>
      </c>
      <c r="EM184" s="357">
        <v>0</v>
      </c>
      <c r="EN184" s="357">
        <v>742084</v>
      </c>
      <c r="EO184" s="357">
        <v>742084</v>
      </c>
      <c r="EP184" s="357">
        <v>0</v>
      </c>
      <c r="EQ184" s="357">
        <v>0</v>
      </c>
      <c r="ER184" s="357">
        <v>0</v>
      </c>
      <c r="ES184" s="357">
        <v>0</v>
      </c>
      <c r="ET184" s="357">
        <v>0</v>
      </c>
      <c r="EU184" s="357">
        <v>742084</v>
      </c>
      <c r="EV184" s="357">
        <v>0</v>
      </c>
      <c r="EW184" s="357">
        <v>0</v>
      </c>
      <c r="EX184" s="357">
        <v>742084</v>
      </c>
      <c r="EY184" s="357">
        <v>32197570</v>
      </c>
      <c r="EZ184" s="357">
        <v>0</v>
      </c>
      <c r="FA184" s="357">
        <v>0</v>
      </c>
      <c r="FB184" s="357">
        <v>32197570</v>
      </c>
      <c r="FC184" s="277">
        <v>0</v>
      </c>
      <c r="FD184" s="205"/>
    </row>
    <row r="185" spans="1:160" ht="12.75">
      <c r="A185" s="169">
        <v>178</v>
      </c>
      <c r="B185" s="172" t="s">
        <v>264</v>
      </c>
      <c r="C185" s="258" t="s">
        <v>265</v>
      </c>
      <c r="D185" s="235">
        <v>41639</v>
      </c>
      <c r="E185" s="357">
        <v>38561160</v>
      </c>
      <c r="F185" s="357">
        <v>0</v>
      </c>
      <c r="G185" s="357">
        <v>0</v>
      </c>
      <c r="H185" s="357">
        <v>38561160</v>
      </c>
      <c r="I185" s="357">
        <v>18162306</v>
      </c>
      <c r="J185" s="357">
        <v>0</v>
      </c>
      <c r="K185" s="357">
        <v>0</v>
      </c>
      <c r="L185" s="357">
        <v>-14281</v>
      </c>
      <c r="M185" s="357">
        <v>0</v>
      </c>
      <c r="N185" s="357">
        <v>0</v>
      </c>
      <c r="O185" s="357">
        <v>18148025</v>
      </c>
      <c r="P185" s="357">
        <v>0</v>
      </c>
      <c r="Q185" s="357">
        <v>0</v>
      </c>
      <c r="R185" s="357">
        <v>18148025</v>
      </c>
      <c r="S185" s="357">
        <v>62120</v>
      </c>
      <c r="T185" s="357">
        <v>0</v>
      </c>
      <c r="U185" s="357">
        <v>0</v>
      </c>
      <c r="V185" s="357">
        <v>62120</v>
      </c>
      <c r="W185" s="357">
        <v>668</v>
      </c>
      <c r="X185" s="357">
        <v>0</v>
      </c>
      <c r="Y185" s="357">
        <v>0</v>
      </c>
      <c r="Z185" s="357">
        <v>668</v>
      </c>
      <c r="AA185" s="357">
        <v>61452</v>
      </c>
      <c r="AB185" s="357">
        <v>0</v>
      </c>
      <c r="AC185" s="357">
        <v>0</v>
      </c>
      <c r="AD185" s="357">
        <v>0</v>
      </c>
      <c r="AE185" s="357">
        <v>0</v>
      </c>
      <c r="AF185" s="357">
        <v>0</v>
      </c>
      <c r="AG185" s="357">
        <v>61452</v>
      </c>
      <c r="AH185" s="357">
        <v>0</v>
      </c>
      <c r="AI185" s="357">
        <v>0</v>
      </c>
      <c r="AJ185" s="357">
        <v>61452</v>
      </c>
      <c r="AK185" s="357">
        <v>61452</v>
      </c>
      <c r="AL185" s="357">
        <v>0</v>
      </c>
      <c r="AM185" s="357">
        <v>0</v>
      </c>
      <c r="AN185" s="357">
        <v>61452</v>
      </c>
      <c r="AO185" s="357">
        <v>1665951</v>
      </c>
      <c r="AP185" s="357">
        <v>0</v>
      </c>
      <c r="AQ185" s="357">
        <v>0</v>
      </c>
      <c r="AR185" s="357">
        <v>1665951</v>
      </c>
      <c r="AS185" s="357">
        <v>0</v>
      </c>
      <c r="AT185" s="357">
        <v>0</v>
      </c>
      <c r="AU185" s="357">
        <v>0</v>
      </c>
      <c r="AV185" s="357">
        <v>0</v>
      </c>
      <c r="AW185" s="357">
        <v>314849</v>
      </c>
      <c r="AX185" s="357">
        <v>0</v>
      </c>
      <c r="AY185" s="357">
        <v>0</v>
      </c>
      <c r="AZ185" s="357">
        <v>314849</v>
      </c>
      <c r="BA185" s="357">
        <v>1351102</v>
      </c>
      <c r="BB185" s="357">
        <v>0</v>
      </c>
      <c r="BC185" s="357">
        <v>0</v>
      </c>
      <c r="BD185" s="357">
        <v>1351102</v>
      </c>
      <c r="BE185" s="357">
        <v>2423068</v>
      </c>
      <c r="BF185" s="357">
        <v>0</v>
      </c>
      <c r="BG185" s="357">
        <v>0</v>
      </c>
      <c r="BH185" s="357">
        <v>2423068</v>
      </c>
      <c r="BI185" s="357">
        <v>0</v>
      </c>
      <c r="BJ185" s="357">
        <v>0</v>
      </c>
      <c r="BK185" s="357">
        <v>0</v>
      </c>
      <c r="BL185" s="357">
        <v>0</v>
      </c>
      <c r="BM185" s="357">
        <v>45057</v>
      </c>
      <c r="BN185" s="357">
        <v>0</v>
      </c>
      <c r="BO185" s="357">
        <v>0</v>
      </c>
      <c r="BP185" s="357">
        <v>45057</v>
      </c>
      <c r="BQ185" s="357">
        <v>3819227</v>
      </c>
      <c r="BR185" s="357">
        <v>0</v>
      </c>
      <c r="BS185" s="357">
        <v>0</v>
      </c>
      <c r="BT185" s="357">
        <v>-15725</v>
      </c>
      <c r="BU185" s="357">
        <v>0</v>
      </c>
      <c r="BV185" s="357">
        <v>0</v>
      </c>
      <c r="BW185" s="357">
        <v>3803502</v>
      </c>
      <c r="BX185" s="357">
        <v>0</v>
      </c>
      <c r="BY185" s="357">
        <v>0</v>
      </c>
      <c r="BZ185" s="357">
        <v>3803502</v>
      </c>
      <c r="CA185" s="357">
        <v>0</v>
      </c>
      <c r="CB185" s="357">
        <v>0</v>
      </c>
      <c r="CC185" s="357">
        <v>0</v>
      </c>
      <c r="CD185" s="357">
        <v>0</v>
      </c>
      <c r="CE185" s="357">
        <v>348478</v>
      </c>
      <c r="CF185" s="357">
        <v>0</v>
      </c>
      <c r="CG185" s="357">
        <v>0</v>
      </c>
      <c r="CH185" s="357">
        <v>348478</v>
      </c>
      <c r="CI185" s="357">
        <v>348478</v>
      </c>
      <c r="CJ185" s="357">
        <v>0</v>
      </c>
      <c r="CK185" s="357">
        <v>0</v>
      </c>
      <c r="CL185" s="357">
        <v>3058</v>
      </c>
      <c r="CM185" s="357">
        <v>0</v>
      </c>
      <c r="CN185" s="357">
        <v>0</v>
      </c>
      <c r="CO185" s="357">
        <v>351536</v>
      </c>
      <c r="CP185" s="357">
        <v>0</v>
      </c>
      <c r="CQ185" s="357">
        <v>0</v>
      </c>
      <c r="CR185" s="357">
        <v>351536</v>
      </c>
      <c r="CS185" s="357">
        <v>31320</v>
      </c>
      <c r="CT185" s="357">
        <v>0</v>
      </c>
      <c r="CU185" s="357">
        <v>0</v>
      </c>
      <c r="CV185" s="357">
        <v>31320</v>
      </c>
      <c r="CW185" s="357">
        <v>6036</v>
      </c>
      <c r="CX185" s="357">
        <v>0</v>
      </c>
      <c r="CY185" s="357">
        <v>0</v>
      </c>
      <c r="CZ185" s="357">
        <v>6036</v>
      </c>
      <c r="DA185" s="357">
        <v>0</v>
      </c>
      <c r="DB185" s="357">
        <v>0</v>
      </c>
      <c r="DC185" s="357">
        <v>0</v>
      </c>
      <c r="DD185" s="357">
        <v>0</v>
      </c>
      <c r="DE185" s="357">
        <v>4063</v>
      </c>
      <c r="DF185" s="357">
        <v>0</v>
      </c>
      <c r="DG185" s="357">
        <v>0</v>
      </c>
      <c r="DH185" s="357">
        <v>4063</v>
      </c>
      <c r="DI185" s="357">
        <v>0</v>
      </c>
      <c r="DJ185" s="357">
        <v>0</v>
      </c>
      <c r="DK185" s="357">
        <v>0</v>
      </c>
      <c r="DL185" s="357">
        <v>0</v>
      </c>
      <c r="DM185" s="357">
        <v>0</v>
      </c>
      <c r="DN185" s="357">
        <v>0</v>
      </c>
      <c r="DO185" s="357">
        <v>0</v>
      </c>
      <c r="DP185" s="357">
        <v>0</v>
      </c>
      <c r="DQ185" s="357">
        <v>41419</v>
      </c>
      <c r="DR185" s="357">
        <v>0</v>
      </c>
      <c r="DS185" s="357">
        <v>0</v>
      </c>
      <c r="DT185" s="357">
        <v>0</v>
      </c>
      <c r="DU185" s="357">
        <v>0</v>
      </c>
      <c r="DV185" s="357">
        <v>0</v>
      </c>
      <c r="DW185" s="357">
        <v>41419</v>
      </c>
      <c r="DX185" s="357">
        <v>0</v>
      </c>
      <c r="DY185" s="357">
        <v>0</v>
      </c>
      <c r="DZ185" s="357">
        <v>41419</v>
      </c>
      <c r="EA185" s="357">
        <v>0</v>
      </c>
      <c r="EB185" s="357">
        <v>0</v>
      </c>
      <c r="EC185" s="357">
        <v>0</v>
      </c>
      <c r="ED185" s="357">
        <v>0</v>
      </c>
      <c r="EE185" s="357">
        <v>0</v>
      </c>
      <c r="EF185" s="357">
        <v>0</v>
      </c>
      <c r="EG185" s="357">
        <v>17009</v>
      </c>
      <c r="EH185" s="357">
        <v>0</v>
      </c>
      <c r="EI185" s="357">
        <v>0</v>
      </c>
      <c r="EJ185" s="357">
        <v>17009</v>
      </c>
      <c r="EK185" s="357">
        <v>402484</v>
      </c>
      <c r="EL185" s="357">
        <v>0</v>
      </c>
      <c r="EM185" s="357">
        <v>0</v>
      </c>
      <c r="EN185" s="357">
        <v>402484</v>
      </c>
      <c r="EO185" s="357">
        <v>419493</v>
      </c>
      <c r="EP185" s="357">
        <v>0</v>
      </c>
      <c r="EQ185" s="357">
        <v>0</v>
      </c>
      <c r="ER185" s="357">
        <v>0</v>
      </c>
      <c r="ES185" s="357">
        <v>0</v>
      </c>
      <c r="ET185" s="357">
        <v>0</v>
      </c>
      <c r="EU185" s="357">
        <v>419493</v>
      </c>
      <c r="EV185" s="357">
        <v>0</v>
      </c>
      <c r="EW185" s="357">
        <v>0</v>
      </c>
      <c r="EX185" s="357">
        <v>419493</v>
      </c>
      <c r="EY185" s="357">
        <v>13470623</v>
      </c>
      <c r="EZ185" s="357">
        <v>0</v>
      </c>
      <c r="FA185" s="357">
        <v>0</v>
      </c>
      <c r="FB185" s="357">
        <v>13470623</v>
      </c>
      <c r="FC185" s="277">
        <v>0</v>
      </c>
      <c r="FD185" s="205"/>
    </row>
    <row r="186" spans="1:160" ht="12.75">
      <c r="A186" s="169">
        <v>179</v>
      </c>
      <c r="B186" s="172" t="s">
        <v>266</v>
      </c>
      <c r="C186" s="258" t="s">
        <v>267</v>
      </c>
      <c r="D186" s="235">
        <v>41639</v>
      </c>
      <c r="E186" s="357">
        <v>39397853</v>
      </c>
      <c r="F186" s="357">
        <v>0</v>
      </c>
      <c r="G186" s="357">
        <v>0</v>
      </c>
      <c r="H186" s="357">
        <v>39397853</v>
      </c>
      <c r="I186" s="357">
        <v>18556389</v>
      </c>
      <c r="J186" s="357">
        <v>0</v>
      </c>
      <c r="K186" s="357">
        <v>0</v>
      </c>
      <c r="L186" s="357">
        <v>0</v>
      </c>
      <c r="M186" s="357">
        <v>0</v>
      </c>
      <c r="N186" s="357">
        <v>0</v>
      </c>
      <c r="O186" s="357">
        <v>18556389</v>
      </c>
      <c r="P186" s="357">
        <v>0</v>
      </c>
      <c r="Q186" s="357">
        <v>0</v>
      </c>
      <c r="R186" s="357">
        <v>18556389</v>
      </c>
      <c r="S186" s="357">
        <v>36557</v>
      </c>
      <c r="T186" s="357">
        <v>0</v>
      </c>
      <c r="U186" s="357">
        <v>0</v>
      </c>
      <c r="V186" s="357">
        <v>36557</v>
      </c>
      <c r="W186" s="357">
        <v>506</v>
      </c>
      <c r="X186" s="357">
        <v>0</v>
      </c>
      <c r="Y186" s="357">
        <v>0</v>
      </c>
      <c r="Z186" s="357">
        <v>506</v>
      </c>
      <c r="AA186" s="357">
        <v>36051</v>
      </c>
      <c r="AB186" s="357">
        <v>0</v>
      </c>
      <c r="AC186" s="357">
        <v>0</v>
      </c>
      <c r="AD186" s="357">
        <v>0</v>
      </c>
      <c r="AE186" s="357">
        <v>0</v>
      </c>
      <c r="AF186" s="357">
        <v>0</v>
      </c>
      <c r="AG186" s="357">
        <v>36051</v>
      </c>
      <c r="AH186" s="357">
        <v>0</v>
      </c>
      <c r="AI186" s="357">
        <v>0</v>
      </c>
      <c r="AJ186" s="357">
        <v>36051</v>
      </c>
      <c r="AK186" s="357">
        <v>36051</v>
      </c>
      <c r="AL186" s="357">
        <v>0</v>
      </c>
      <c r="AM186" s="357">
        <v>0</v>
      </c>
      <c r="AN186" s="357">
        <v>36051</v>
      </c>
      <c r="AO186" s="357">
        <v>1594369</v>
      </c>
      <c r="AP186" s="357">
        <v>0</v>
      </c>
      <c r="AQ186" s="357">
        <v>0</v>
      </c>
      <c r="AR186" s="357">
        <v>1594369</v>
      </c>
      <c r="AS186" s="357">
        <v>0</v>
      </c>
      <c r="AT186" s="357">
        <v>0</v>
      </c>
      <c r="AU186" s="357">
        <v>0</v>
      </c>
      <c r="AV186" s="357">
        <v>0</v>
      </c>
      <c r="AW186" s="357">
        <v>329958</v>
      </c>
      <c r="AX186" s="357">
        <v>0</v>
      </c>
      <c r="AY186" s="357">
        <v>0</v>
      </c>
      <c r="AZ186" s="357">
        <v>329958</v>
      </c>
      <c r="BA186" s="357">
        <v>1264411</v>
      </c>
      <c r="BB186" s="357">
        <v>0</v>
      </c>
      <c r="BC186" s="357">
        <v>0</v>
      </c>
      <c r="BD186" s="357">
        <v>1264411</v>
      </c>
      <c r="BE186" s="357">
        <v>463860</v>
      </c>
      <c r="BF186" s="357">
        <v>0</v>
      </c>
      <c r="BG186" s="357">
        <v>0</v>
      </c>
      <c r="BH186" s="357">
        <v>463860</v>
      </c>
      <c r="BI186" s="357">
        <v>9988</v>
      </c>
      <c r="BJ186" s="357">
        <v>0</v>
      </c>
      <c r="BK186" s="357">
        <v>0</v>
      </c>
      <c r="BL186" s="357">
        <v>9988</v>
      </c>
      <c r="BM186" s="357">
        <v>4910</v>
      </c>
      <c r="BN186" s="357">
        <v>0</v>
      </c>
      <c r="BO186" s="357">
        <v>0</v>
      </c>
      <c r="BP186" s="357">
        <v>4910</v>
      </c>
      <c r="BQ186" s="357">
        <v>1743169</v>
      </c>
      <c r="BR186" s="357">
        <v>0</v>
      </c>
      <c r="BS186" s="357">
        <v>0</v>
      </c>
      <c r="BT186" s="357">
        <v>0</v>
      </c>
      <c r="BU186" s="357">
        <v>0</v>
      </c>
      <c r="BV186" s="357">
        <v>0</v>
      </c>
      <c r="BW186" s="357">
        <v>1743169</v>
      </c>
      <c r="BX186" s="357">
        <v>0</v>
      </c>
      <c r="BY186" s="357">
        <v>0</v>
      </c>
      <c r="BZ186" s="357">
        <v>1743169</v>
      </c>
      <c r="CA186" s="357">
        <v>121285</v>
      </c>
      <c r="CB186" s="357">
        <v>0</v>
      </c>
      <c r="CC186" s="357">
        <v>0</v>
      </c>
      <c r="CD186" s="357">
        <v>121285</v>
      </c>
      <c r="CE186" s="357">
        <v>308591</v>
      </c>
      <c r="CF186" s="357">
        <v>0</v>
      </c>
      <c r="CG186" s="357">
        <v>0</v>
      </c>
      <c r="CH186" s="357">
        <v>308591</v>
      </c>
      <c r="CI186" s="357">
        <v>429876</v>
      </c>
      <c r="CJ186" s="357">
        <v>0</v>
      </c>
      <c r="CK186" s="357">
        <v>0</v>
      </c>
      <c r="CL186" s="357">
        <v>0</v>
      </c>
      <c r="CM186" s="357">
        <v>0</v>
      </c>
      <c r="CN186" s="357">
        <v>0</v>
      </c>
      <c r="CO186" s="357">
        <v>429876</v>
      </c>
      <c r="CP186" s="357">
        <v>0</v>
      </c>
      <c r="CQ186" s="357">
        <v>0</v>
      </c>
      <c r="CR186" s="357">
        <v>429876</v>
      </c>
      <c r="CS186" s="357">
        <v>24989</v>
      </c>
      <c r="CT186" s="357">
        <v>0</v>
      </c>
      <c r="CU186" s="357">
        <v>0</v>
      </c>
      <c r="CV186" s="357">
        <v>24989</v>
      </c>
      <c r="CW186" s="357">
        <v>17415</v>
      </c>
      <c r="CX186" s="357">
        <v>0</v>
      </c>
      <c r="CY186" s="357">
        <v>0</v>
      </c>
      <c r="CZ186" s="357">
        <v>17415</v>
      </c>
      <c r="DA186" s="357">
        <v>222</v>
      </c>
      <c r="DB186" s="357">
        <v>0</v>
      </c>
      <c r="DC186" s="357">
        <v>0</v>
      </c>
      <c r="DD186" s="357">
        <v>222</v>
      </c>
      <c r="DE186" s="357">
        <v>1235</v>
      </c>
      <c r="DF186" s="357">
        <v>0</v>
      </c>
      <c r="DG186" s="357">
        <v>0</v>
      </c>
      <c r="DH186" s="357">
        <v>1235</v>
      </c>
      <c r="DI186" s="357">
        <v>0</v>
      </c>
      <c r="DJ186" s="357">
        <v>0</v>
      </c>
      <c r="DK186" s="357">
        <v>0</v>
      </c>
      <c r="DL186" s="357">
        <v>0</v>
      </c>
      <c r="DM186" s="357">
        <v>0</v>
      </c>
      <c r="DN186" s="357">
        <v>0</v>
      </c>
      <c r="DO186" s="357">
        <v>0</v>
      </c>
      <c r="DP186" s="357">
        <v>0</v>
      </c>
      <c r="DQ186" s="357">
        <v>43861</v>
      </c>
      <c r="DR186" s="357">
        <v>0</v>
      </c>
      <c r="DS186" s="357">
        <v>0</v>
      </c>
      <c r="DT186" s="357">
        <v>0</v>
      </c>
      <c r="DU186" s="357">
        <v>0</v>
      </c>
      <c r="DV186" s="357">
        <v>0</v>
      </c>
      <c r="DW186" s="357">
        <v>43861</v>
      </c>
      <c r="DX186" s="357">
        <v>0</v>
      </c>
      <c r="DY186" s="357">
        <v>0</v>
      </c>
      <c r="DZ186" s="357">
        <v>43861</v>
      </c>
      <c r="EA186" s="357">
        <v>0</v>
      </c>
      <c r="EB186" s="357">
        <v>0</v>
      </c>
      <c r="EC186" s="357">
        <v>0</v>
      </c>
      <c r="ED186" s="357">
        <v>0</v>
      </c>
      <c r="EE186" s="357">
        <v>0</v>
      </c>
      <c r="EF186" s="357">
        <v>0</v>
      </c>
      <c r="EG186" s="357">
        <v>0</v>
      </c>
      <c r="EH186" s="357">
        <v>0</v>
      </c>
      <c r="EI186" s="357">
        <v>0</v>
      </c>
      <c r="EJ186" s="357">
        <v>0</v>
      </c>
      <c r="EK186" s="357">
        <v>270899</v>
      </c>
      <c r="EL186" s="357">
        <v>0</v>
      </c>
      <c r="EM186" s="357">
        <v>0</v>
      </c>
      <c r="EN186" s="357">
        <v>270899</v>
      </c>
      <c r="EO186" s="357">
        <v>270899</v>
      </c>
      <c r="EP186" s="357">
        <v>0</v>
      </c>
      <c r="EQ186" s="357">
        <v>0</v>
      </c>
      <c r="ER186" s="357">
        <v>0</v>
      </c>
      <c r="ES186" s="357">
        <v>0</v>
      </c>
      <c r="ET186" s="357">
        <v>0</v>
      </c>
      <c r="EU186" s="357">
        <v>270899</v>
      </c>
      <c r="EV186" s="357">
        <v>0</v>
      </c>
      <c r="EW186" s="357">
        <v>0</v>
      </c>
      <c r="EX186" s="357">
        <v>270899</v>
      </c>
      <c r="EY186" s="357">
        <v>16032533</v>
      </c>
      <c r="EZ186" s="357">
        <v>0</v>
      </c>
      <c r="FA186" s="357">
        <v>0</v>
      </c>
      <c r="FB186" s="357">
        <v>16032533</v>
      </c>
      <c r="FC186" s="277">
        <v>0</v>
      </c>
      <c r="FD186" s="205"/>
    </row>
    <row r="187" spans="1:160" ht="12.75">
      <c r="A187" s="169">
        <v>180</v>
      </c>
      <c r="B187" s="172" t="s">
        <v>268</v>
      </c>
      <c r="C187" s="258" t="s">
        <v>269</v>
      </c>
      <c r="D187" s="235">
        <v>41547</v>
      </c>
      <c r="E187" s="357">
        <v>162373341</v>
      </c>
      <c r="F187" s="357">
        <v>0</v>
      </c>
      <c r="G187" s="357">
        <v>0</v>
      </c>
      <c r="H187" s="357">
        <v>162373341</v>
      </c>
      <c r="I187" s="357">
        <v>76477844</v>
      </c>
      <c r="J187" s="357">
        <v>0</v>
      </c>
      <c r="K187" s="357">
        <v>0</v>
      </c>
      <c r="L187" s="357">
        <v>0</v>
      </c>
      <c r="M187" s="357">
        <v>0</v>
      </c>
      <c r="N187" s="357">
        <v>0</v>
      </c>
      <c r="O187" s="357">
        <v>76477844</v>
      </c>
      <c r="P187" s="357">
        <v>0</v>
      </c>
      <c r="Q187" s="357">
        <v>0</v>
      </c>
      <c r="R187" s="357">
        <v>76477844</v>
      </c>
      <c r="S187" s="357">
        <v>20780</v>
      </c>
      <c r="T187" s="357">
        <v>0</v>
      </c>
      <c r="U187" s="357">
        <v>0</v>
      </c>
      <c r="V187" s="357">
        <v>20780</v>
      </c>
      <c r="W187" s="357">
        <v>38439</v>
      </c>
      <c r="X187" s="357">
        <v>0</v>
      </c>
      <c r="Y187" s="357">
        <v>0</v>
      </c>
      <c r="Z187" s="357">
        <v>38439</v>
      </c>
      <c r="AA187" s="357">
        <v>-17659</v>
      </c>
      <c r="AB187" s="357">
        <v>0</v>
      </c>
      <c r="AC187" s="357">
        <v>0</v>
      </c>
      <c r="AD187" s="357">
        <v>0</v>
      </c>
      <c r="AE187" s="357">
        <v>0</v>
      </c>
      <c r="AF187" s="357">
        <v>0</v>
      </c>
      <c r="AG187" s="357">
        <v>-17659</v>
      </c>
      <c r="AH187" s="357">
        <v>0</v>
      </c>
      <c r="AI187" s="357">
        <v>0</v>
      </c>
      <c r="AJ187" s="357">
        <v>-17659</v>
      </c>
      <c r="AK187" s="357">
        <v>-17659</v>
      </c>
      <c r="AL187" s="357">
        <v>0</v>
      </c>
      <c r="AM187" s="357">
        <v>0</v>
      </c>
      <c r="AN187" s="357">
        <v>-17659</v>
      </c>
      <c r="AO187" s="357">
        <v>3118000</v>
      </c>
      <c r="AP187" s="357">
        <v>0</v>
      </c>
      <c r="AQ187" s="357">
        <v>0</v>
      </c>
      <c r="AR187" s="357">
        <v>3118000</v>
      </c>
      <c r="AS187" s="357">
        <v>29000</v>
      </c>
      <c r="AT187" s="357">
        <v>0</v>
      </c>
      <c r="AU187" s="357">
        <v>0</v>
      </c>
      <c r="AV187" s="357">
        <v>29000</v>
      </c>
      <c r="AW187" s="357">
        <v>1298391</v>
      </c>
      <c r="AX187" s="357">
        <v>0</v>
      </c>
      <c r="AY187" s="357">
        <v>0</v>
      </c>
      <c r="AZ187" s="357">
        <v>1298391</v>
      </c>
      <c r="BA187" s="357">
        <v>1819609</v>
      </c>
      <c r="BB187" s="357">
        <v>0</v>
      </c>
      <c r="BC187" s="357">
        <v>0</v>
      </c>
      <c r="BD187" s="357">
        <v>1819609</v>
      </c>
      <c r="BE187" s="357">
        <v>2779114</v>
      </c>
      <c r="BF187" s="357">
        <v>0</v>
      </c>
      <c r="BG187" s="357">
        <v>0</v>
      </c>
      <c r="BH187" s="357">
        <v>2779114</v>
      </c>
      <c r="BI187" s="357">
        <v>84498</v>
      </c>
      <c r="BJ187" s="357">
        <v>0</v>
      </c>
      <c r="BK187" s="357">
        <v>0</v>
      </c>
      <c r="BL187" s="357">
        <v>84498</v>
      </c>
      <c r="BM187" s="357">
        <v>578</v>
      </c>
      <c r="BN187" s="357">
        <v>0</v>
      </c>
      <c r="BO187" s="357">
        <v>0</v>
      </c>
      <c r="BP187" s="357">
        <v>578</v>
      </c>
      <c r="BQ187" s="357">
        <v>4683799</v>
      </c>
      <c r="BR187" s="357">
        <v>0</v>
      </c>
      <c r="BS187" s="357">
        <v>0</v>
      </c>
      <c r="BT187" s="357">
        <v>46392</v>
      </c>
      <c r="BU187" s="357">
        <v>0</v>
      </c>
      <c r="BV187" s="357">
        <v>0</v>
      </c>
      <c r="BW187" s="357">
        <v>4730191</v>
      </c>
      <c r="BX187" s="357">
        <v>0</v>
      </c>
      <c r="BY187" s="357">
        <v>0</v>
      </c>
      <c r="BZ187" s="357">
        <v>4730191</v>
      </c>
      <c r="CA187" s="357">
        <v>150000</v>
      </c>
      <c r="CB187" s="357">
        <v>0</v>
      </c>
      <c r="CC187" s="357">
        <v>0</v>
      </c>
      <c r="CD187" s="357">
        <v>150000</v>
      </c>
      <c r="CE187" s="357">
        <v>1790396</v>
      </c>
      <c r="CF187" s="357">
        <v>0</v>
      </c>
      <c r="CG187" s="357">
        <v>0</v>
      </c>
      <c r="CH187" s="357">
        <v>1790396</v>
      </c>
      <c r="CI187" s="357">
        <v>1940396</v>
      </c>
      <c r="CJ187" s="357">
        <v>0</v>
      </c>
      <c r="CK187" s="357">
        <v>0</v>
      </c>
      <c r="CL187" s="357">
        <v>0</v>
      </c>
      <c r="CM187" s="357">
        <v>0</v>
      </c>
      <c r="CN187" s="357">
        <v>0</v>
      </c>
      <c r="CO187" s="357">
        <v>1940396</v>
      </c>
      <c r="CP187" s="357">
        <v>0</v>
      </c>
      <c r="CQ187" s="357">
        <v>0</v>
      </c>
      <c r="CR187" s="357">
        <v>1940396</v>
      </c>
      <c r="CS187" s="357">
        <v>34512</v>
      </c>
      <c r="CT187" s="357">
        <v>0</v>
      </c>
      <c r="CU187" s="357">
        <v>0</v>
      </c>
      <c r="CV187" s="357">
        <v>34512</v>
      </c>
      <c r="CW187" s="357">
        <v>415692</v>
      </c>
      <c r="CX187" s="357">
        <v>0</v>
      </c>
      <c r="CY187" s="357">
        <v>0</v>
      </c>
      <c r="CZ187" s="357">
        <v>415692</v>
      </c>
      <c r="DA187" s="357">
        <v>2778</v>
      </c>
      <c r="DB187" s="357">
        <v>0</v>
      </c>
      <c r="DC187" s="357">
        <v>0</v>
      </c>
      <c r="DD187" s="357">
        <v>2778</v>
      </c>
      <c r="DE187" s="357">
        <v>578</v>
      </c>
      <c r="DF187" s="357">
        <v>0</v>
      </c>
      <c r="DG187" s="357">
        <v>0</v>
      </c>
      <c r="DH187" s="357">
        <v>578</v>
      </c>
      <c r="DI187" s="357">
        <v>0</v>
      </c>
      <c r="DJ187" s="357">
        <v>0</v>
      </c>
      <c r="DK187" s="357">
        <v>0</v>
      </c>
      <c r="DL187" s="357">
        <v>0</v>
      </c>
      <c r="DM187" s="357">
        <v>0</v>
      </c>
      <c r="DN187" s="357">
        <v>0</v>
      </c>
      <c r="DO187" s="357">
        <v>0</v>
      </c>
      <c r="DP187" s="357">
        <v>0</v>
      </c>
      <c r="DQ187" s="357">
        <v>453560</v>
      </c>
      <c r="DR187" s="357">
        <v>0</v>
      </c>
      <c r="DS187" s="357">
        <v>0</v>
      </c>
      <c r="DT187" s="357">
        <v>36440</v>
      </c>
      <c r="DU187" s="357">
        <v>0</v>
      </c>
      <c r="DV187" s="357">
        <v>0</v>
      </c>
      <c r="DW187" s="357">
        <v>490000</v>
      </c>
      <c r="DX187" s="357">
        <v>0</v>
      </c>
      <c r="DY187" s="357">
        <v>0</v>
      </c>
      <c r="DZ187" s="357">
        <v>490000</v>
      </c>
      <c r="EA187" s="357">
        <v>0</v>
      </c>
      <c r="EB187" s="357">
        <v>0</v>
      </c>
      <c r="EC187" s="357">
        <v>0</v>
      </c>
      <c r="ED187" s="357">
        <v>0</v>
      </c>
      <c r="EE187" s="357">
        <v>0</v>
      </c>
      <c r="EF187" s="357">
        <v>0</v>
      </c>
      <c r="EG187" s="357">
        <v>69000</v>
      </c>
      <c r="EH187" s="357">
        <v>0</v>
      </c>
      <c r="EI187" s="357">
        <v>0</v>
      </c>
      <c r="EJ187" s="357">
        <v>69000</v>
      </c>
      <c r="EK187" s="357">
        <v>726000</v>
      </c>
      <c r="EL187" s="357">
        <v>0</v>
      </c>
      <c r="EM187" s="357">
        <v>0</v>
      </c>
      <c r="EN187" s="357">
        <v>726000</v>
      </c>
      <c r="EO187" s="357">
        <v>795000</v>
      </c>
      <c r="EP187" s="357">
        <v>0</v>
      </c>
      <c r="EQ187" s="357">
        <v>0</v>
      </c>
      <c r="ER187" s="357">
        <v>0</v>
      </c>
      <c r="ES187" s="357">
        <v>0</v>
      </c>
      <c r="ET187" s="357">
        <v>0</v>
      </c>
      <c r="EU187" s="357">
        <v>795000</v>
      </c>
      <c r="EV187" s="357">
        <v>0</v>
      </c>
      <c r="EW187" s="357">
        <v>0</v>
      </c>
      <c r="EX187" s="357">
        <v>795000</v>
      </c>
      <c r="EY187" s="357">
        <v>68539916</v>
      </c>
      <c r="EZ187" s="357">
        <v>0</v>
      </c>
      <c r="FA187" s="357">
        <v>0</v>
      </c>
      <c r="FB187" s="357">
        <v>68539916</v>
      </c>
      <c r="FC187" s="277">
        <v>0</v>
      </c>
      <c r="FD187" s="205"/>
    </row>
    <row r="188" spans="1:160" ht="12.75">
      <c r="A188" s="169">
        <v>181</v>
      </c>
      <c r="B188" s="172" t="s">
        <v>270</v>
      </c>
      <c r="C188" s="258" t="s">
        <v>271</v>
      </c>
      <c r="D188" s="235">
        <v>41639</v>
      </c>
      <c r="E188" s="357">
        <v>97125321</v>
      </c>
      <c r="F188" s="357">
        <v>0</v>
      </c>
      <c r="G188" s="357">
        <v>0</v>
      </c>
      <c r="H188" s="357">
        <v>97125321</v>
      </c>
      <c r="I188" s="357">
        <v>45746026</v>
      </c>
      <c r="J188" s="357">
        <v>0</v>
      </c>
      <c r="K188" s="357">
        <v>0</v>
      </c>
      <c r="L188" s="357">
        <v>-520000</v>
      </c>
      <c r="M188" s="357">
        <v>0</v>
      </c>
      <c r="N188" s="357">
        <v>0</v>
      </c>
      <c r="O188" s="357">
        <v>45226026</v>
      </c>
      <c r="P188" s="357">
        <v>0</v>
      </c>
      <c r="Q188" s="357">
        <v>0</v>
      </c>
      <c r="R188" s="357">
        <v>45226026</v>
      </c>
      <c r="S188" s="357">
        <v>96000</v>
      </c>
      <c r="T188" s="357">
        <v>0</v>
      </c>
      <c r="U188" s="357">
        <v>0</v>
      </c>
      <c r="V188" s="357">
        <v>96000</v>
      </c>
      <c r="W188" s="357">
        <v>19000</v>
      </c>
      <c r="X188" s="357">
        <v>0</v>
      </c>
      <c r="Y188" s="357">
        <v>0</v>
      </c>
      <c r="Z188" s="357">
        <v>19000</v>
      </c>
      <c r="AA188" s="357">
        <v>77000</v>
      </c>
      <c r="AB188" s="357">
        <v>0</v>
      </c>
      <c r="AC188" s="357">
        <v>0</v>
      </c>
      <c r="AD188" s="357">
        <v>0</v>
      </c>
      <c r="AE188" s="357">
        <v>0</v>
      </c>
      <c r="AF188" s="357">
        <v>0</v>
      </c>
      <c r="AG188" s="357">
        <v>77000</v>
      </c>
      <c r="AH188" s="357">
        <v>0</v>
      </c>
      <c r="AI188" s="357">
        <v>0</v>
      </c>
      <c r="AJ188" s="357">
        <v>77000</v>
      </c>
      <c r="AK188" s="357">
        <v>77000</v>
      </c>
      <c r="AL188" s="357">
        <v>0</v>
      </c>
      <c r="AM188" s="357">
        <v>0</v>
      </c>
      <c r="AN188" s="357">
        <v>77000</v>
      </c>
      <c r="AO188" s="357">
        <v>2367881</v>
      </c>
      <c r="AP188" s="357">
        <v>0</v>
      </c>
      <c r="AQ188" s="357">
        <v>0</v>
      </c>
      <c r="AR188" s="357">
        <v>2367881</v>
      </c>
      <c r="AS188" s="357">
        <v>0</v>
      </c>
      <c r="AT188" s="357">
        <v>0</v>
      </c>
      <c r="AU188" s="357">
        <v>0</v>
      </c>
      <c r="AV188" s="357">
        <v>0</v>
      </c>
      <c r="AW188" s="357">
        <v>707777</v>
      </c>
      <c r="AX188" s="357">
        <v>0</v>
      </c>
      <c r="AY188" s="357">
        <v>0</v>
      </c>
      <c r="AZ188" s="357">
        <v>707777</v>
      </c>
      <c r="BA188" s="357">
        <v>1660104</v>
      </c>
      <c r="BB188" s="357">
        <v>0</v>
      </c>
      <c r="BC188" s="357">
        <v>0</v>
      </c>
      <c r="BD188" s="357">
        <v>1660104</v>
      </c>
      <c r="BE188" s="357">
        <v>2432448</v>
      </c>
      <c r="BF188" s="357">
        <v>0</v>
      </c>
      <c r="BG188" s="357">
        <v>0</v>
      </c>
      <c r="BH188" s="357">
        <v>2432448</v>
      </c>
      <c r="BI188" s="357">
        <v>126847</v>
      </c>
      <c r="BJ188" s="357">
        <v>0</v>
      </c>
      <c r="BK188" s="357">
        <v>0</v>
      </c>
      <c r="BL188" s="357">
        <v>126847</v>
      </c>
      <c r="BM188" s="357">
        <v>11967</v>
      </c>
      <c r="BN188" s="357">
        <v>0</v>
      </c>
      <c r="BO188" s="357">
        <v>0</v>
      </c>
      <c r="BP188" s="357">
        <v>11967</v>
      </c>
      <c r="BQ188" s="357">
        <v>4231366</v>
      </c>
      <c r="BR188" s="357">
        <v>0</v>
      </c>
      <c r="BS188" s="357">
        <v>0</v>
      </c>
      <c r="BT188" s="357">
        <v>100000</v>
      </c>
      <c r="BU188" s="357">
        <v>0</v>
      </c>
      <c r="BV188" s="357">
        <v>0</v>
      </c>
      <c r="BW188" s="357">
        <v>4331366</v>
      </c>
      <c r="BX188" s="357">
        <v>0</v>
      </c>
      <c r="BY188" s="357">
        <v>0</v>
      </c>
      <c r="BZ188" s="357">
        <v>4331366</v>
      </c>
      <c r="CA188" s="357">
        <v>1500</v>
      </c>
      <c r="CB188" s="357">
        <v>0</v>
      </c>
      <c r="CC188" s="357">
        <v>0</v>
      </c>
      <c r="CD188" s="357">
        <v>1500</v>
      </c>
      <c r="CE188" s="357">
        <v>1544857</v>
      </c>
      <c r="CF188" s="357">
        <v>0</v>
      </c>
      <c r="CG188" s="357">
        <v>0</v>
      </c>
      <c r="CH188" s="357">
        <v>1544857</v>
      </c>
      <c r="CI188" s="357">
        <v>1546357</v>
      </c>
      <c r="CJ188" s="357">
        <v>0</v>
      </c>
      <c r="CK188" s="357">
        <v>0</v>
      </c>
      <c r="CL188" s="357">
        <v>-50000</v>
      </c>
      <c r="CM188" s="357">
        <v>0</v>
      </c>
      <c r="CN188" s="357">
        <v>0</v>
      </c>
      <c r="CO188" s="357">
        <v>1496357</v>
      </c>
      <c r="CP188" s="357">
        <v>0</v>
      </c>
      <c r="CQ188" s="357">
        <v>0</v>
      </c>
      <c r="CR188" s="357">
        <v>1496357</v>
      </c>
      <c r="CS188" s="357">
        <v>103449</v>
      </c>
      <c r="CT188" s="357">
        <v>0</v>
      </c>
      <c r="CU188" s="357">
        <v>0</v>
      </c>
      <c r="CV188" s="357">
        <v>103449</v>
      </c>
      <c r="CW188" s="357">
        <v>172193</v>
      </c>
      <c r="CX188" s="357">
        <v>0</v>
      </c>
      <c r="CY188" s="357">
        <v>0</v>
      </c>
      <c r="CZ188" s="357">
        <v>172193</v>
      </c>
      <c r="DA188" s="357">
        <v>14882</v>
      </c>
      <c r="DB188" s="357">
        <v>0</v>
      </c>
      <c r="DC188" s="357">
        <v>0</v>
      </c>
      <c r="DD188" s="357">
        <v>14882</v>
      </c>
      <c r="DE188" s="357">
        <v>12843</v>
      </c>
      <c r="DF188" s="357">
        <v>0</v>
      </c>
      <c r="DG188" s="357">
        <v>0</v>
      </c>
      <c r="DH188" s="357">
        <v>12843</v>
      </c>
      <c r="DI188" s="357">
        <v>9472</v>
      </c>
      <c r="DJ188" s="357">
        <v>0</v>
      </c>
      <c r="DK188" s="357">
        <v>0</v>
      </c>
      <c r="DL188" s="357">
        <v>9472</v>
      </c>
      <c r="DM188" s="357">
        <v>0</v>
      </c>
      <c r="DN188" s="357">
        <v>0</v>
      </c>
      <c r="DO188" s="357">
        <v>0</v>
      </c>
      <c r="DP188" s="357">
        <v>0</v>
      </c>
      <c r="DQ188" s="357">
        <v>312839</v>
      </c>
      <c r="DR188" s="357">
        <v>0</v>
      </c>
      <c r="DS188" s="357">
        <v>0</v>
      </c>
      <c r="DT188" s="357">
        <v>21000</v>
      </c>
      <c r="DU188" s="357">
        <v>0</v>
      </c>
      <c r="DV188" s="357">
        <v>0</v>
      </c>
      <c r="DW188" s="357">
        <v>333839</v>
      </c>
      <c r="DX188" s="357">
        <v>0</v>
      </c>
      <c r="DY188" s="357">
        <v>0</v>
      </c>
      <c r="DZ188" s="357">
        <v>333839</v>
      </c>
      <c r="EA188" s="357">
        <v>0</v>
      </c>
      <c r="EB188" s="357">
        <v>0</v>
      </c>
      <c r="EC188" s="357">
        <v>0</v>
      </c>
      <c r="ED188" s="357">
        <v>0</v>
      </c>
      <c r="EE188" s="357">
        <v>0</v>
      </c>
      <c r="EF188" s="357">
        <v>0</v>
      </c>
      <c r="EG188" s="357">
        <v>50000</v>
      </c>
      <c r="EH188" s="357">
        <v>0</v>
      </c>
      <c r="EI188" s="357">
        <v>0</v>
      </c>
      <c r="EJ188" s="357">
        <v>50000</v>
      </c>
      <c r="EK188" s="357">
        <v>600000</v>
      </c>
      <c r="EL188" s="357">
        <v>0</v>
      </c>
      <c r="EM188" s="357">
        <v>0</v>
      </c>
      <c r="EN188" s="357">
        <v>600000</v>
      </c>
      <c r="EO188" s="357">
        <v>650000</v>
      </c>
      <c r="EP188" s="357">
        <v>0</v>
      </c>
      <c r="EQ188" s="357">
        <v>0</v>
      </c>
      <c r="ER188" s="357">
        <v>0</v>
      </c>
      <c r="ES188" s="357">
        <v>0</v>
      </c>
      <c r="ET188" s="357">
        <v>0</v>
      </c>
      <c r="EU188" s="357">
        <v>650000</v>
      </c>
      <c r="EV188" s="357">
        <v>0</v>
      </c>
      <c r="EW188" s="357">
        <v>0</v>
      </c>
      <c r="EX188" s="357">
        <v>650000</v>
      </c>
      <c r="EY188" s="357">
        <v>38337464</v>
      </c>
      <c r="EZ188" s="357">
        <v>0</v>
      </c>
      <c r="FA188" s="357">
        <v>0</v>
      </c>
      <c r="FB188" s="357">
        <v>38337464</v>
      </c>
      <c r="FC188" s="277">
        <v>0</v>
      </c>
      <c r="FD188" s="205"/>
    </row>
    <row r="189" spans="1:160" ht="12.75">
      <c r="A189" s="169">
        <v>182</v>
      </c>
      <c r="B189" s="172" t="s">
        <v>272</v>
      </c>
      <c r="C189" s="258" t="s">
        <v>273</v>
      </c>
      <c r="D189" s="235">
        <v>41639</v>
      </c>
      <c r="E189" s="357">
        <v>58349214</v>
      </c>
      <c r="F189" s="357">
        <v>0</v>
      </c>
      <c r="G189" s="357">
        <v>0</v>
      </c>
      <c r="H189" s="357">
        <v>58349214</v>
      </c>
      <c r="I189" s="357">
        <v>27482480</v>
      </c>
      <c r="J189" s="357">
        <v>0</v>
      </c>
      <c r="K189" s="357">
        <v>0</v>
      </c>
      <c r="L189" s="357">
        <v>617000</v>
      </c>
      <c r="M189" s="357">
        <v>0</v>
      </c>
      <c r="N189" s="357">
        <v>0</v>
      </c>
      <c r="O189" s="357">
        <v>28099480</v>
      </c>
      <c r="P189" s="357">
        <v>0</v>
      </c>
      <c r="Q189" s="357">
        <v>0</v>
      </c>
      <c r="R189" s="357">
        <v>28099480</v>
      </c>
      <c r="S189" s="357">
        <v>27412</v>
      </c>
      <c r="T189" s="357">
        <v>0</v>
      </c>
      <c r="U189" s="357">
        <v>0</v>
      </c>
      <c r="V189" s="357">
        <v>27412</v>
      </c>
      <c r="W189" s="357">
        <v>8021</v>
      </c>
      <c r="X189" s="357">
        <v>0</v>
      </c>
      <c r="Y189" s="357">
        <v>0</v>
      </c>
      <c r="Z189" s="357">
        <v>8021</v>
      </c>
      <c r="AA189" s="357">
        <v>19391</v>
      </c>
      <c r="AB189" s="357">
        <v>0</v>
      </c>
      <c r="AC189" s="357">
        <v>0</v>
      </c>
      <c r="AD189" s="357">
        <v>0</v>
      </c>
      <c r="AE189" s="357">
        <v>0</v>
      </c>
      <c r="AF189" s="357">
        <v>0</v>
      </c>
      <c r="AG189" s="357">
        <v>19391</v>
      </c>
      <c r="AH189" s="357">
        <v>0</v>
      </c>
      <c r="AI189" s="357">
        <v>0</v>
      </c>
      <c r="AJ189" s="357">
        <v>19391</v>
      </c>
      <c r="AK189" s="357">
        <v>19391</v>
      </c>
      <c r="AL189" s="357">
        <v>0</v>
      </c>
      <c r="AM189" s="357">
        <v>0</v>
      </c>
      <c r="AN189" s="357">
        <v>19391</v>
      </c>
      <c r="AO189" s="357">
        <v>2144458</v>
      </c>
      <c r="AP189" s="357">
        <v>0</v>
      </c>
      <c r="AQ189" s="357">
        <v>0</v>
      </c>
      <c r="AR189" s="357">
        <v>2144458</v>
      </c>
      <c r="AS189" s="357">
        <v>5000</v>
      </c>
      <c r="AT189" s="357">
        <v>0</v>
      </c>
      <c r="AU189" s="357">
        <v>0</v>
      </c>
      <c r="AV189" s="357">
        <v>5000</v>
      </c>
      <c r="AW189" s="357">
        <v>509670</v>
      </c>
      <c r="AX189" s="357">
        <v>0</v>
      </c>
      <c r="AY189" s="357">
        <v>0</v>
      </c>
      <c r="AZ189" s="357">
        <v>509670</v>
      </c>
      <c r="BA189" s="357">
        <v>1634788</v>
      </c>
      <c r="BB189" s="357">
        <v>0</v>
      </c>
      <c r="BC189" s="357">
        <v>0</v>
      </c>
      <c r="BD189" s="357">
        <v>1634788</v>
      </c>
      <c r="BE189" s="357">
        <v>1590176</v>
      </c>
      <c r="BF189" s="357">
        <v>0</v>
      </c>
      <c r="BG189" s="357">
        <v>0</v>
      </c>
      <c r="BH189" s="357">
        <v>1590176</v>
      </c>
      <c r="BI189" s="357">
        <v>44209</v>
      </c>
      <c r="BJ189" s="357">
        <v>0</v>
      </c>
      <c r="BK189" s="357">
        <v>0</v>
      </c>
      <c r="BL189" s="357">
        <v>44209</v>
      </c>
      <c r="BM189" s="357">
        <v>47484</v>
      </c>
      <c r="BN189" s="357">
        <v>0</v>
      </c>
      <c r="BO189" s="357">
        <v>0</v>
      </c>
      <c r="BP189" s="357">
        <v>47484</v>
      </c>
      <c r="BQ189" s="357">
        <v>3316657</v>
      </c>
      <c r="BR189" s="357">
        <v>0</v>
      </c>
      <c r="BS189" s="357">
        <v>0</v>
      </c>
      <c r="BT189" s="357">
        <v>0</v>
      </c>
      <c r="BU189" s="357">
        <v>0</v>
      </c>
      <c r="BV189" s="357">
        <v>0</v>
      </c>
      <c r="BW189" s="357">
        <v>3316657</v>
      </c>
      <c r="BX189" s="357">
        <v>0</v>
      </c>
      <c r="BY189" s="357">
        <v>0</v>
      </c>
      <c r="BZ189" s="357">
        <v>3316657</v>
      </c>
      <c r="CA189" s="357">
        <v>25000</v>
      </c>
      <c r="CB189" s="357">
        <v>0</v>
      </c>
      <c r="CC189" s="357">
        <v>0</v>
      </c>
      <c r="CD189" s="357">
        <v>25000</v>
      </c>
      <c r="CE189" s="357">
        <v>507426</v>
      </c>
      <c r="CF189" s="357">
        <v>0</v>
      </c>
      <c r="CG189" s="357">
        <v>0</v>
      </c>
      <c r="CH189" s="357">
        <v>507426</v>
      </c>
      <c r="CI189" s="357">
        <v>532426</v>
      </c>
      <c r="CJ189" s="357">
        <v>0</v>
      </c>
      <c r="CK189" s="357">
        <v>0</v>
      </c>
      <c r="CL189" s="357">
        <v>0</v>
      </c>
      <c r="CM189" s="357">
        <v>0</v>
      </c>
      <c r="CN189" s="357">
        <v>0</v>
      </c>
      <c r="CO189" s="357">
        <v>532426</v>
      </c>
      <c r="CP189" s="357">
        <v>0</v>
      </c>
      <c r="CQ189" s="357">
        <v>0</v>
      </c>
      <c r="CR189" s="357">
        <v>532426</v>
      </c>
      <c r="CS189" s="357">
        <v>64458</v>
      </c>
      <c r="CT189" s="357">
        <v>0</v>
      </c>
      <c r="CU189" s="357">
        <v>0</v>
      </c>
      <c r="CV189" s="357">
        <v>64458</v>
      </c>
      <c r="CW189" s="357">
        <v>15268</v>
      </c>
      <c r="CX189" s="357">
        <v>0</v>
      </c>
      <c r="CY189" s="357">
        <v>0</v>
      </c>
      <c r="CZ189" s="357">
        <v>15268</v>
      </c>
      <c r="DA189" s="357">
        <v>0</v>
      </c>
      <c r="DB189" s="357">
        <v>0</v>
      </c>
      <c r="DC189" s="357">
        <v>0</v>
      </c>
      <c r="DD189" s="357">
        <v>0</v>
      </c>
      <c r="DE189" s="357">
        <v>9471</v>
      </c>
      <c r="DF189" s="357">
        <v>0</v>
      </c>
      <c r="DG189" s="357">
        <v>0</v>
      </c>
      <c r="DH189" s="357">
        <v>9471</v>
      </c>
      <c r="DI189" s="357">
        <v>128</v>
      </c>
      <c r="DJ189" s="357">
        <v>0</v>
      </c>
      <c r="DK189" s="357">
        <v>0</v>
      </c>
      <c r="DL189" s="357">
        <v>128</v>
      </c>
      <c r="DM189" s="357">
        <v>0</v>
      </c>
      <c r="DN189" s="357">
        <v>0</v>
      </c>
      <c r="DO189" s="357">
        <v>0</v>
      </c>
      <c r="DP189" s="357">
        <v>0</v>
      </c>
      <c r="DQ189" s="357">
        <v>89325</v>
      </c>
      <c r="DR189" s="357">
        <v>0</v>
      </c>
      <c r="DS189" s="357">
        <v>0</v>
      </c>
      <c r="DT189" s="357">
        <v>0</v>
      </c>
      <c r="DU189" s="357">
        <v>0</v>
      </c>
      <c r="DV189" s="357">
        <v>0</v>
      </c>
      <c r="DW189" s="357">
        <v>89325</v>
      </c>
      <c r="DX189" s="357">
        <v>0</v>
      </c>
      <c r="DY189" s="357">
        <v>0</v>
      </c>
      <c r="DZ189" s="357">
        <v>89325</v>
      </c>
      <c r="EA189" s="357">
        <v>0</v>
      </c>
      <c r="EB189" s="357">
        <v>0</v>
      </c>
      <c r="EC189" s="357">
        <v>50000</v>
      </c>
      <c r="ED189" s="357">
        <v>0</v>
      </c>
      <c r="EE189" s="357">
        <v>0</v>
      </c>
      <c r="EF189" s="357">
        <v>50000</v>
      </c>
      <c r="EG189" s="357">
        <v>36000</v>
      </c>
      <c r="EH189" s="357">
        <v>0</v>
      </c>
      <c r="EI189" s="357">
        <v>0</v>
      </c>
      <c r="EJ189" s="357">
        <v>36000</v>
      </c>
      <c r="EK189" s="357">
        <v>400000</v>
      </c>
      <c r="EL189" s="357">
        <v>0</v>
      </c>
      <c r="EM189" s="357">
        <v>0</v>
      </c>
      <c r="EN189" s="357">
        <v>400000</v>
      </c>
      <c r="EO189" s="357">
        <v>486000</v>
      </c>
      <c r="EP189" s="357">
        <v>0</v>
      </c>
      <c r="EQ189" s="357">
        <v>0</v>
      </c>
      <c r="ER189" s="357">
        <v>0</v>
      </c>
      <c r="ES189" s="357">
        <v>0</v>
      </c>
      <c r="ET189" s="357">
        <v>0</v>
      </c>
      <c r="EU189" s="357">
        <v>486000</v>
      </c>
      <c r="EV189" s="357">
        <v>0</v>
      </c>
      <c r="EW189" s="357">
        <v>0</v>
      </c>
      <c r="EX189" s="357">
        <v>486000</v>
      </c>
      <c r="EY189" s="357">
        <v>23655681</v>
      </c>
      <c r="EZ189" s="357">
        <v>0</v>
      </c>
      <c r="FA189" s="357">
        <v>0</v>
      </c>
      <c r="FB189" s="357">
        <v>23655681</v>
      </c>
      <c r="FC189" s="277">
        <v>0</v>
      </c>
      <c r="FD189" s="205"/>
    </row>
    <row r="190" spans="1:160" ht="12.75">
      <c r="A190" s="169">
        <v>183</v>
      </c>
      <c r="B190" s="172" t="s">
        <v>274</v>
      </c>
      <c r="C190" s="258" t="s">
        <v>275</v>
      </c>
      <c r="D190" s="235">
        <v>41547</v>
      </c>
      <c r="E190" s="357">
        <v>213407169</v>
      </c>
      <c r="F190" s="357">
        <v>0</v>
      </c>
      <c r="G190" s="357">
        <v>0</v>
      </c>
      <c r="H190" s="357">
        <v>213407169</v>
      </c>
      <c r="I190" s="357">
        <v>100514777</v>
      </c>
      <c r="J190" s="357">
        <v>0</v>
      </c>
      <c r="K190" s="357">
        <v>0</v>
      </c>
      <c r="L190" s="357">
        <v>-2887327.5</v>
      </c>
      <c r="M190" s="357">
        <v>0</v>
      </c>
      <c r="N190" s="357">
        <v>0</v>
      </c>
      <c r="O190" s="357">
        <v>97627449.5</v>
      </c>
      <c r="P190" s="357">
        <v>0</v>
      </c>
      <c r="Q190" s="357">
        <v>0</v>
      </c>
      <c r="R190" s="357">
        <v>97627449.5</v>
      </c>
      <c r="S190" s="357">
        <v>403573</v>
      </c>
      <c r="T190" s="357">
        <v>0</v>
      </c>
      <c r="U190" s="357">
        <v>0</v>
      </c>
      <c r="V190" s="357">
        <v>403573</v>
      </c>
      <c r="W190" s="357">
        <v>5146</v>
      </c>
      <c r="X190" s="357">
        <v>0</v>
      </c>
      <c r="Y190" s="357">
        <v>0</v>
      </c>
      <c r="Z190" s="357">
        <v>5146</v>
      </c>
      <c r="AA190" s="357">
        <v>398427</v>
      </c>
      <c r="AB190" s="357">
        <v>0</v>
      </c>
      <c r="AC190" s="357">
        <v>0</v>
      </c>
      <c r="AD190" s="357">
        <v>0</v>
      </c>
      <c r="AE190" s="357">
        <v>0</v>
      </c>
      <c r="AF190" s="357">
        <v>0</v>
      </c>
      <c r="AG190" s="357">
        <v>398427</v>
      </c>
      <c r="AH190" s="357">
        <v>0</v>
      </c>
      <c r="AI190" s="357">
        <v>0</v>
      </c>
      <c r="AJ190" s="357">
        <v>398427</v>
      </c>
      <c r="AK190" s="357">
        <v>398427</v>
      </c>
      <c r="AL190" s="357">
        <v>0</v>
      </c>
      <c r="AM190" s="357">
        <v>0</v>
      </c>
      <c r="AN190" s="357">
        <v>398427</v>
      </c>
      <c r="AO190" s="357">
        <v>3273756</v>
      </c>
      <c r="AP190" s="357">
        <v>0</v>
      </c>
      <c r="AQ190" s="357">
        <v>0</v>
      </c>
      <c r="AR190" s="357">
        <v>3273756</v>
      </c>
      <c r="AS190" s="357">
        <v>50000</v>
      </c>
      <c r="AT190" s="357">
        <v>0</v>
      </c>
      <c r="AU190" s="357">
        <v>0</v>
      </c>
      <c r="AV190" s="357">
        <v>50000</v>
      </c>
      <c r="AW190" s="357">
        <v>2138729</v>
      </c>
      <c r="AX190" s="357">
        <v>0</v>
      </c>
      <c r="AY190" s="357">
        <v>0</v>
      </c>
      <c r="AZ190" s="357">
        <v>2138729</v>
      </c>
      <c r="BA190" s="357">
        <v>1135027</v>
      </c>
      <c r="BB190" s="357">
        <v>0</v>
      </c>
      <c r="BC190" s="357">
        <v>0</v>
      </c>
      <c r="BD190" s="357">
        <v>1135027</v>
      </c>
      <c r="BE190" s="357">
        <v>1894537</v>
      </c>
      <c r="BF190" s="357">
        <v>0</v>
      </c>
      <c r="BG190" s="357">
        <v>0</v>
      </c>
      <c r="BH190" s="357">
        <v>1894537</v>
      </c>
      <c r="BI190" s="357">
        <v>34964</v>
      </c>
      <c r="BJ190" s="357">
        <v>0</v>
      </c>
      <c r="BK190" s="357">
        <v>0</v>
      </c>
      <c r="BL190" s="357">
        <v>34964</v>
      </c>
      <c r="BM190" s="357">
        <v>24983</v>
      </c>
      <c r="BN190" s="357">
        <v>0</v>
      </c>
      <c r="BO190" s="357">
        <v>0</v>
      </c>
      <c r="BP190" s="357">
        <v>24983</v>
      </c>
      <c r="BQ190" s="357">
        <v>3089511</v>
      </c>
      <c r="BR190" s="357">
        <v>0</v>
      </c>
      <c r="BS190" s="357">
        <v>0</v>
      </c>
      <c r="BT190" s="357">
        <v>16800</v>
      </c>
      <c r="BU190" s="357">
        <v>0</v>
      </c>
      <c r="BV190" s="357">
        <v>0</v>
      </c>
      <c r="BW190" s="357">
        <v>3106311</v>
      </c>
      <c r="BX190" s="357">
        <v>0</v>
      </c>
      <c r="BY190" s="357">
        <v>0</v>
      </c>
      <c r="BZ190" s="357">
        <v>3106311</v>
      </c>
      <c r="CA190" s="357">
        <v>400000</v>
      </c>
      <c r="CB190" s="357">
        <v>0</v>
      </c>
      <c r="CC190" s="357">
        <v>0</v>
      </c>
      <c r="CD190" s="357">
        <v>400000</v>
      </c>
      <c r="CE190" s="357">
        <v>3520648</v>
      </c>
      <c r="CF190" s="357">
        <v>0</v>
      </c>
      <c r="CG190" s="357">
        <v>0</v>
      </c>
      <c r="CH190" s="357">
        <v>3520648</v>
      </c>
      <c r="CI190" s="357">
        <v>3920648</v>
      </c>
      <c r="CJ190" s="357">
        <v>0</v>
      </c>
      <c r="CK190" s="357">
        <v>0</v>
      </c>
      <c r="CL190" s="357">
        <v>-814500</v>
      </c>
      <c r="CM190" s="357">
        <v>0</v>
      </c>
      <c r="CN190" s="357">
        <v>0</v>
      </c>
      <c r="CO190" s="357">
        <v>3106148</v>
      </c>
      <c r="CP190" s="357">
        <v>0</v>
      </c>
      <c r="CQ190" s="357">
        <v>0</v>
      </c>
      <c r="CR190" s="357">
        <v>3106148</v>
      </c>
      <c r="CS190" s="357">
        <v>70733</v>
      </c>
      <c r="CT190" s="357">
        <v>0</v>
      </c>
      <c r="CU190" s="357">
        <v>0</v>
      </c>
      <c r="CV190" s="357">
        <v>70733</v>
      </c>
      <c r="CW190" s="357">
        <v>75236</v>
      </c>
      <c r="CX190" s="357">
        <v>0</v>
      </c>
      <c r="CY190" s="357">
        <v>0</v>
      </c>
      <c r="CZ190" s="357">
        <v>75236</v>
      </c>
      <c r="DA190" s="357">
        <v>4017</v>
      </c>
      <c r="DB190" s="357">
        <v>0</v>
      </c>
      <c r="DC190" s="357">
        <v>0</v>
      </c>
      <c r="DD190" s="357">
        <v>4017</v>
      </c>
      <c r="DE190" s="357">
        <v>22714</v>
      </c>
      <c r="DF190" s="357">
        <v>0</v>
      </c>
      <c r="DG190" s="357">
        <v>0</v>
      </c>
      <c r="DH190" s="357">
        <v>22714</v>
      </c>
      <c r="DI190" s="357">
        <v>2710</v>
      </c>
      <c r="DJ190" s="357">
        <v>0</v>
      </c>
      <c r="DK190" s="357">
        <v>0</v>
      </c>
      <c r="DL190" s="357">
        <v>2710</v>
      </c>
      <c r="DM190" s="357">
        <v>0</v>
      </c>
      <c r="DN190" s="357">
        <v>0</v>
      </c>
      <c r="DO190" s="357">
        <v>0</v>
      </c>
      <c r="DP190" s="357">
        <v>0</v>
      </c>
      <c r="DQ190" s="357">
        <v>175410</v>
      </c>
      <c r="DR190" s="357">
        <v>0</v>
      </c>
      <c r="DS190" s="357">
        <v>0</v>
      </c>
      <c r="DT190" s="357">
        <v>0</v>
      </c>
      <c r="DU190" s="357">
        <v>0</v>
      </c>
      <c r="DV190" s="357">
        <v>0</v>
      </c>
      <c r="DW190" s="357">
        <v>175410</v>
      </c>
      <c r="DX190" s="357">
        <v>0</v>
      </c>
      <c r="DY190" s="357">
        <v>0</v>
      </c>
      <c r="DZ190" s="357">
        <v>175410</v>
      </c>
      <c r="EA190" s="357">
        <v>0</v>
      </c>
      <c r="EB190" s="357">
        <v>0</v>
      </c>
      <c r="EC190" s="357">
        <v>0</v>
      </c>
      <c r="ED190" s="357">
        <v>0</v>
      </c>
      <c r="EE190" s="357">
        <v>0</v>
      </c>
      <c r="EF190" s="357">
        <v>0</v>
      </c>
      <c r="EG190" s="357">
        <v>93000</v>
      </c>
      <c r="EH190" s="357">
        <v>0</v>
      </c>
      <c r="EI190" s="357">
        <v>0</v>
      </c>
      <c r="EJ190" s="357">
        <v>93000</v>
      </c>
      <c r="EK190" s="357">
        <v>663000</v>
      </c>
      <c r="EL190" s="357">
        <v>0</v>
      </c>
      <c r="EM190" s="357">
        <v>0</v>
      </c>
      <c r="EN190" s="357">
        <v>663000</v>
      </c>
      <c r="EO190" s="357">
        <v>756000</v>
      </c>
      <c r="EP190" s="357">
        <v>0</v>
      </c>
      <c r="EQ190" s="357">
        <v>0</v>
      </c>
      <c r="ER190" s="357">
        <v>0</v>
      </c>
      <c r="ES190" s="357">
        <v>0</v>
      </c>
      <c r="ET190" s="357">
        <v>0</v>
      </c>
      <c r="EU190" s="357">
        <v>756000</v>
      </c>
      <c r="EV190" s="357">
        <v>0</v>
      </c>
      <c r="EW190" s="357">
        <v>0</v>
      </c>
      <c r="EX190" s="357">
        <v>756000</v>
      </c>
      <c r="EY190" s="357">
        <v>90085153.5</v>
      </c>
      <c r="EZ190" s="357">
        <v>0</v>
      </c>
      <c r="FA190" s="357">
        <v>0</v>
      </c>
      <c r="FB190" s="357">
        <v>90085153.5</v>
      </c>
      <c r="FC190" s="277">
        <v>0</v>
      </c>
      <c r="FD190" s="205"/>
    </row>
    <row r="191" spans="1:160" ht="12.75">
      <c r="A191" s="169">
        <v>184</v>
      </c>
      <c r="B191" s="172" t="s">
        <v>276</v>
      </c>
      <c r="C191" s="258" t="s">
        <v>277</v>
      </c>
      <c r="D191" s="235">
        <v>41654</v>
      </c>
      <c r="E191" s="357">
        <v>65152741</v>
      </c>
      <c r="F191" s="357">
        <v>0</v>
      </c>
      <c r="G191" s="357">
        <v>0</v>
      </c>
      <c r="H191" s="357">
        <v>65152741</v>
      </c>
      <c r="I191" s="357">
        <v>30686941</v>
      </c>
      <c r="J191" s="357">
        <v>0</v>
      </c>
      <c r="K191" s="357">
        <v>0</v>
      </c>
      <c r="L191" s="357">
        <v>226917</v>
      </c>
      <c r="M191" s="357">
        <v>0</v>
      </c>
      <c r="N191" s="357">
        <v>0</v>
      </c>
      <c r="O191" s="357">
        <v>30913858</v>
      </c>
      <c r="P191" s="357">
        <v>0</v>
      </c>
      <c r="Q191" s="357">
        <v>0</v>
      </c>
      <c r="R191" s="357">
        <v>30913858</v>
      </c>
      <c r="S191" s="357">
        <v>179360</v>
      </c>
      <c r="T191" s="357">
        <v>0</v>
      </c>
      <c r="U191" s="357">
        <v>0</v>
      </c>
      <c r="V191" s="357">
        <v>179360</v>
      </c>
      <c r="W191" s="357">
        <v>0</v>
      </c>
      <c r="X191" s="357">
        <v>0</v>
      </c>
      <c r="Y191" s="357">
        <v>0</v>
      </c>
      <c r="Z191" s="357">
        <v>0</v>
      </c>
      <c r="AA191" s="357">
        <v>179360</v>
      </c>
      <c r="AB191" s="357">
        <v>0</v>
      </c>
      <c r="AC191" s="357">
        <v>0</v>
      </c>
      <c r="AD191" s="357">
        <v>0</v>
      </c>
      <c r="AE191" s="357">
        <v>0</v>
      </c>
      <c r="AF191" s="357">
        <v>0</v>
      </c>
      <c r="AG191" s="357">
        <v>179360</v>
      </c>
      <c r="AH191" s="357">
        <v>0</v>
      </c>
      <c r="AI191" s="357">
        <v>0</v>
      </c>
      <c r="AJ191" s="357">
        <v>179360</v>
      </c>
      <c r="AK191" s="357">
        <v>179360</v>
      </c>
      <c r="AL191" s="357">
        <v>0</v>
      </c>
      <c r="AM191" s="357">
        <v>0</v>
      </c>
      <c r="AN191" s="357">
        <v>179360</v>
      </c>
      <c r="AO191" s="357">
        <v>3471327</v>
      </c>
      <c r="AP191" s="357">
        <v>0</v>
      </c>
      <c r="AQ191" s="357">
        <v>0</v>
      </c>
      <c r="AR191" s="357">
        <v>3471327</v>
      </c>
      <c r="AS191" s="357">
        <v>22000</v>
      </c>
      <c r="AT191" s="357">
        <v>0</v>
      </c>
      <c r="AU191" s="357">
        <v>0</v>
      </c>
      <c r="AV191" s="357">
        <v>22000</v>
      </c>
      <c r="AW191" s="357">
        <v>489030</v>
      </c>
      <c r="AX191" s="357">
        <v>0</v>
      </c>
      <c r="AY191" s="357">
        <v>0</v>
      </c>
      <c r="AZ191" s="357">
        <v>489030</v>
      </c>
      <c r="BA191" s="357">
        <v>2982297</v>
      </c>
      <c r="BB191" s="357">
        <v>0</v>
      </c>
      <c r="BC191" s="357">
        <v>0</v>
      </c>
      <c r="BD191" s="357">
        <v>2982297</v>
      </c>
      <c r="BE191" s="357">
        <v>1410587</v>
      </c>
      <c r="BF191" s="357">
        <v>0</v>
      </c>
      <c r="BG191" s="357">
        <v>0</v>
      </c>
      <c r="BH191" s="357">
        <v>1410587</v>
      </c>
      <c r="BI191" s="357">
        <v>58515</v>
      </c>
      <c r="BJ191" s="357">
        <v>0</v>
      </c>
      <c r="BK191" s="357">
        <v>0</v>
      </c>
      <c r="BL191" s="357">
        <v>58515</v>
      </c>
      <c r="BM191" s="357">
        <v>97673</v>
      </c>
      <c r="BN191" s="357">
        <v>0</v>
      </c>
      <c r="BO191" s="357">
        <v>0</v>
      </c>
      <c r="BP191" s="357">
        <v>97673</v>
      </c>
      <c r="BQ191" s="357">
        <v>4549072</v>
      </c>
      <c r="BR191" s="357">
        <v>0</v>
      </c>
      <c r="BS191" s="357">
        <v>0</v>
      </c>
      <c r="BT191" s="357">
        <v>2779</v>
      </c>
      <c r="BU191" s="357">
        <v>0</v>
      </c>
      <c r="BV191" s="357">
        <v>0</v>
      </c>
      <c r="BW191" s="357">
        <v>4551851</v>
      </c>
      <c r="BX191" s="357">
        <v>0</v>
      </c>
      <c r="BY191" s="357">
        <v>0</v>
      </c>
      <c r="BZ191" s="357">
        <v>4551851</v>
      </c>
      <c r="CA191" s="357">
        <v>260</v>
      </c>
      <c r="CB191" s="357">
        <v>0</v>
      </c>
      <c r="CC191" s="357">
        <v>0</v>
      </c>
      <c r="CD191" s="357">
        <v>260</v>
      </c>
      <c r="CE191" s="357">
        <v>325850</v>
      </c>
      <c r="CF191" s="357">
        <v>0</v>
      </c>
      <c r="CG191" s="357">
        <v>0</v>
      </c>
      <c r="CH191" s="357">
        <v>325850</v>
      </c>
      <c r="CI191" s="357">
        <v>326110</v>
      </c>
      <c r="CJ191" s="357">
        <v>0</v>
      </c>
      <c r="CK191" s="357">
        <v>0</v>
      </c>
      <c r="CL191" s="357">
        <v>26000</v>
      </c>
      <c r="CM191" s="357">
        <v>0</v>
      </c>
      <c r="CN191" s="357">
        <v>0</v>
      </c>
      <c r="CO191" s="357">
        <v>352110</v>
      </c>
      <c r="CP191" s="357">
        <v>0</v>
      </c>
      <c r="CQ191" s="357">
        <v>0</v>
      </c>
      <c r="CR191" s="357">
        <v>352110</v>
      </c>
      <c r="CS191" s="357">
        <v>16946</v>
      </c>
      <c r="CT191" s="357">
        <v>0</v>
      </c>
      <c r="CU191" s="357">
        <v>0</v>
      </c>
      <c r="CV191" s="357">
        <v>16946</v>
      </c>
      <c r="CW191" s="357">
        <v>170821</v>
      </c>
      <c r="CX191" s="357">
        <v>0</v>
      </c>
      <c r="CY191" s="357">
        <v>0</v>
      </c>
      <c r="CZ191" s="357">
        <v>170821</v>
      </c>
      <c r="DA191" s="357">
        <v>0</v>
      </c>
      <c r="DB191" s="357">
        <v>0</v>
      </c>
      <c r="DC191" s="357">
        <v>0</v>
      </c>
      <c r="DD191" s="357">
        <v>0</v>
      </c>
      <c r="DE191" s="357">
        <v>13549</v>
      </c>
      <c r="DF191" s="357">
        <v>0</v>
      </c>
      <c r="DG191" s="357">
        <v>0</v>
      </c>
      <c r="DH191" s="357">
        <v>13549</v>
      </c>
      <c r="DI191" s="357">
        <v>0</v>
      </c>
      <c r="DJ191" s="357">
        <v>0</v>
      </c>
      <c r="DK191" s="357">
        <v>0</v>
      </c>
      <c r="DL191" s="357">
        <v>0</v>
      </c>
      <c r="DM191" s="357">
        <v>0</v>
      </c>
      <c r="DN191" s="357">
        <v>0</v>
      </c>
      <c r="DO191" s="357">
        <v>0</v>
      </c>
      <c r="DP191" s="357">
        <v>0</v>
      </c>
      <c r="DQ191" s="357">
        <v>201316</v>
      </c>
      <c r="DR191" s="357">
        <v>0</v>
      </c>
      <c r="DS191" s="357">
        <v>0</v>
      </c>
      <c r="DT191" s="357">
        <v>26000</v>
      </c>
      <c r="DU191" s="357">
        <v>0</v>
      </c>
      <c r="DV191" s="357">
        <v>0</v>
      </c>
      <c r="DW191" s="357">
        <v>227316</v>
      </c>
      <c r="DX191" s="357">
        <v>0</v>
      </c>
      <c r="DY191" s="357">
        <v>0</v>
      </c>
      <c r="DZ191" s="357">
        <v>227316</v>
      </c>
      <c r="EA191" s="357">
        <v>0</v>
      </c>
      <c r="EB191" s="357">
        <v>0</v>
      </c>
      <c r="EC191" s="357">
        <v>5000</v>
      </c>
      <c r="ED191" s="357">
        <v>0</v>
      </c>
      <c r="EE191" s="357">
        <v>0</v>
      </c>
      <c r="EF191" s="357">
        <v>5000</v>
      </c>
      <c r="EG191" s="357">
        <v>75000</v>
      </c>
      <c r="EH191" s="357">
        <v>0</v>
      </c>
      <c r="EI191" s="357">
        <v>0</v>
      </c>
      <c r="EJ191" s="357">
        <v>75000</v>
      </c>
      <c r="EK191" s="357">
        <v>897000</v>
      </c>
      <c r="EL191" s="357">
        <v>0</v>
      </c>
      <c r="EM191" s="357">
        <v>0</v>
      </c>
      <c r="EN191" s="357">
        <v>897000</v>
      </c>
      <c r="EO191" s="357">
        <v>977000</v>
      </c>
      <c r="EP191" s="357">
        <v>0</v>
      </c>
      <c r="EQ191" s="357">
        <v>0</v>
      </c>
      <c r="ER191" s="357">
        <v>0</v>
      </c>
      <c r="ES191" s="357">
        <v>0</v>
      </c>
      <c r="ET191" s="357">
        <v>0</v>
      </c>
      <c r="EU191" s="357">
        <v>977000</v>
      </c>
      <c r="EV191" s="357">
        <v>0</v>
      </c>
      <c r="EW191" s="357">
        <v>0</v>
      </c>
      <c r="EX191" s="357">
        <v>977000</v>
      </c>
      <c r="EY191" s="357">
        <v>24626221</v>
      </c>
      <c r="EZ191" s="357">
        <v>0</v>
      </c>
      <c r="FA191" s="357">
        <v>0</v>
      </c>
      <c r="FB191" s="357">
        <v>24626221</v>
      </c>
      <c r="FC191" s="277">
        <v>0</v>
      </c>
      <c r="FD191" s="205"/>
    </row>
    <row r="192" spans="1:160" ht="12.75">
      <c r="A192" s="169">
        <v>185</v>
      </c>
      <c r="B192" s="172" t="s">
        <v>278</v>
      </c>
      <c r="C192" s="258" t="s">
        <v>279</v>
      </c>
      <c r="D192" s="235">
        <v>311213</v>
      </c>
      <c r="E192" s="357">
        <v>148484135</v>
      </c>
      <c r="F192" s="357">
        <v>1005275</v>
      </c>
      <c r="G192" s="357">
        <v>0</v>
      </c>
      <c r="H192" s="357">
        <v>149489410</v>
      </c>
      <c r="I192" s="357">
        <v>69936028</v>
      </c>
      <c r="J192" s="357">
        <v>473485</v>
      </c>
      <c r="K192" s="357">
        <v>0</v>
      </c>
      <c r="L192" s="357">
        <v>-1204332</v>
      </c>
      <c r="M192" s="357">
        <v>166986</v>
      </c>
      <c r="N192" s="357">
        <v>0</v>
      </c>
      <c r="O192" s="357">
        <v>68731696</v>
      </c>
      <c r="P192" s="357">
        <v>640471</v>
      </c>
      <c r="Q192" s="357">
        <v>0</v>
      </c>
      <c r="R192" s="357">
        <v>69372167</v>
      </c>
      <c r="S192" s="357">
        <v>105024</v>
      </c>
      <c r="T192" s="357">
        <v>385</v>
      </c>
      <c r="U192" s="357">
        <v>0</v>
      </c>
      <c r="V192" s="357">
        <v>105409</v>
      </c>
      <c r="W192" s="357">
        <v>219</v>
      </c>
      <c r="X192" s="357">
        <v>0</v>
      </c>
      <c r="Y192" s="357">
        <v>0</v>
      </c>
      <c r="Z192" s="357">
        <v>219</v>
      </c>
      <c r="AA192" s="357">
        <v>104805</v>
      </c>
      <c r="AB192" s="357">
        <v>385</v>
      </c>
      <c r="AC192" s="357">
        <v>0</v>
      </c>
      <c r="AD192" s="357">
        <v>0</v>
      </c>
      <c r="AE192" s="357">
        <v>0</v>
      </c>
      <c r="AF192" s="357">
        <v>0</v>
      </c>
      <c r="AG192" s="357">
        <v>104805</v>
      </c>
      <c r="AH192" s="357">
        <v>385</v>
      </c>
      <c r="AI192" s="357">
        <v>0</v>
      </c>
      <c r="AJ192" s="357">
        <v>105190</v>
      </c>
      <c r="AK192" s="357">
        <v>104805</v>
      </c>
      <c r="AL192" s="357">
        <v>385</v>
      </c>
      <c r="AM192" s="357">
        <v>0</v>
      </c>
      <c r="AN192" s="357">
        <v>105190</v>
      </c>
      <c r="AO192" s="357">
        <v>3663771</v>
      </c>
      <c r="AP192" s="357">
        <v>20313</v>
      </c>
      <c r="AQ192" s="357">
        <v>0</v>
      </c>
      <c r="AR192" s="357">
        <v>3684084</v>
      </c>
      <c r="AS192" s="357">
        <v>183188</v>
      </c>
      <c r="AT192" s="357">
        <v>0</v>
      </c>
      <c r="AU192" s="357">
        <v>0</v>
      </c>
      <c r="AV192" s="357">
        <v>183188</v>
      </c>
      <c r="AW192" s="357">
        <v>1310784</v>
      </c>
      <c r="AX192" s="357">
        <v>9837</v>
      </c>
      <c r="AY192" s="357">
        <v>0</v>
      </c>
      <c r="AZ192" s="357">
        <v>1320621</v>
      </c>
      <c r="BA192" s="357">
        <v>2352987</v>
      </c>
      <c r="BB192" s="357">
        <v>10476</v>
      </c>
      <c r="BC192" s="357">
        <v>0</v>
      </c>
      <c r="BD192" s="357">
        <v>2363463</v>
      </c>
      <c r="BE192" s="357">
        <v>3693985</v>
      </c>
      <c r="BF192" s="357">
        <v>126284</v>
      </c>
      <c r="BG192" s="357">
        <v>0</v>
      </c>
      <c r="BH192" s="357">
        <v>3820269</v>
      </c>
      <c r="BI192" s="357">
        <v>105771</v>
      </c>
      <c r="BJ192" s="357">
        <v>0</v>
      </c>
      <c r="BK192" s="357">
        <v>0</v>
      </c>
      <c r="BL192" s="357">
        <v>105771</v>
      </c>
      <c r="BM192" s="357">
        <v>16579</v>
      </c>
      <c r="BN192" s="357">
        <v>0</v>
      </c>
      <c r="BO192" s="357">
        <v>0</v>
      </c>
      <c r="BP192" s="357">
        <v>16579</v>
      </c>
      <c r="BQ192" s="357">
        <v>6169322</v>
      </c>
      <c r="BR192" s="357">
        <v>136760</v>
      </c>
      <c r="BS192" s="357">
        <v>0</v>
      </c>
      <c r="BT192" s="357">
        <v>0</v>
      </c>
      <c r="BU192" s="357">
        <v>36974</v>
      </c>
      <c r="BV192" s="357">
        <v>0</v>
      </c>
      <c r="BW192" s="357">
        <v>6169322</v>
      </c>
      <c r="BX192" s="357">
        <v>173734</v>
      </c>
      <c r="BY192" s="357">
        <v>0</v>
      </c>
      <c r="BZ192" s="357">
        <v>6343056</v>
      </c>
      <c r="CA192" s="357">
        <v>55888</v>
      </c>
      <c r="CB192" s="357">
        <v>0</v>
      </c>
      <c r="CC192" s="357">
        <v>0</v>
      </c>
      <c r="CD192" s="357">
        <v>55888</v>
      </c>
      <c r="CE192" s="357">
        <v>2609785</v>
      </c>
      <c r="CF192" s="357">
        <v>3568</v>
      </c>
      <c r="CG192" s="357">
        <v>0</v>
      </c>
      <c r="CH192" s="357">
        <v>2613353</v>
      </c>
      <c r="CI192" s="357">
        <v>2665673</v>
      </c>
      <c r="CJ192" s="357">
        <v>3568</v>
      </c>
      <c r="CK192" s="357">
        <v>0</v>
      </c>
      <c r="CL192" s="357">
        <v>0</v>
      </c>
      <c r="CM192" s="357">
        <v>0</v>
      </c>
      <c r="CN192" s="357">
        <v>0</v>
      </c>
      <c r="CO192" s="357">
        <v>2665673</v>
      </c>
      <c r="CP192" s="357">
        <v>3568</v>
      </c>
      <c r="CQ192" s="357">
        <v>0</v>
      </c>
      <c r="CR192" s="357">
        <v>2669241</v>
      </c>
      <c r="CS192" s="357">
        <v>64051</v>
      </c>
      <c r="CT192" s="357">
        <v>0</v>
      </c>
      <c r="CU192" s="357">
        <v>0</v>
      </c>
      <c r="CV192" s="357">
        <v>64051</v>
      </c>
      <c r="CW192" s="357">
        <v>672776</v>
      </c>
      <c r="CX192" s="357">
        <v>0</v>
      </c>
      <c r="CY192" s="357">
        <v>0</v>
      </c>
      <c r="CZ192" s="357">
        <v>672776</v>
      </c>
      <c r="DA192" s="357">
        <v>0</v>
      </c>
      <c r="DB192" s="357">
        <v>0</v>
      </c>
      <c r="DC192" s="357">
        <v>0</v>
      </c>
      <c r="DD192" s="357">
        <v>0</v>
      </c>
      <c r="DE192" s="357">
        <v>4910</v>
      </c>
      <c r="DF192" s="357">
        <v>0</v>
      </c>
      <c r="DG192" s="357">
        <v>0</v>
      </c>
      <c r="DH192" s="357">
        <v>4910</v>
      </c>
      <c r="DI192" s="357">
        <v>509</v>
      </c>
      <c r="DJ192" s="357">
        <v>0</v>
      </c>
      <c r="DK192" s="357">
        <v>0</v>
      </c>
      <c r="DL192" s="357">
        <v>509</v>
      </c>
      <c r="DM192" s="357">
        <v>0</v>
      </c>
      <c r="DN192" s="357">
        <v>0</v>
      </c>
      <c r="DO192" s="357">
        <v>0</v>
      </c>
      <c r="DP192" s="357">
        <v>0</v>
      </c>
      <c r="DQ192" s="357">
        <v>742246</v>
      </c>
      <c r="DR192" s="357">
        <v>0</v>
      </c>
      <c r="DS192" s="357">
        <v>0</v>
      </c>
      <c r="DT192" s="357">
        <v>0</v>
      </c>
      <c r="DU192" s="357">
        <v>1743</v>
      </c>
      <c r="DV192" s="357">
        <v>0</v>
      </c>
      <c r="DW192" s="357">
        <v>742246</v>
      </c>
      <c r="DX192" s="357">
        <v>1743</v>
      </c>
      <c r="DY192" s="357">
        <v>0</v>
      </c>
      <c r="DZ192" s="357">
        <v>743989</v>
      </c>
      <c r="EA192" s="357">
        <v>0</v>
      </c>
      <c r="EB192" s="357">
        <v>0</v>
      </c>
      <c r="EC192" s="357">
        <v>103431</v>
      </c>
      <c r="ED192" s="357">
        <v>79048</v>
      </c>
      <c r="EE192" s="357">
        <v>0</v>
      </c>
      <c r="EF192" s="357">
        <v>182479</v>
      </c>
      <c r="EG192" s="357">
        <v>25203</v>
      </c>
      <c r="EH192" s="357">
        <v>0</v>
      </c>
      <c r="EI192" s="357">
        <v>0</v>
      </c>
      <c r="EJ192" s="357">
        <v>25203</v>
      </c>
      <c r="EK192" s="357">
        <v>942364</v>
      </c>
      <c r="EL192" s="357">
        <v>0</v>
      </c>
      <c r="EM192" s="357">
        <v>0</v>
      </c>
      <c r="EN192" s="357">
        <v>942364</v>
      </c>
      <c r="EO192" s="357">
        <v>1070998</v>
      </c>
      <c r="EP192" s="357">
        <v>79048</v>
      </c>
      <c r="EQ192" s="357">
        <v>0</v>
      </c>
      <c r="ER192" s="357">
        <v>0</v>
      </c>
      <c r="ES192" s="357">
        <v>41281</v>
      </c>
      <c r="ET192" s="357">
        <v>0</v>
      </c>
      <c r="EU192" s="357">
        <v>1070998</v>
      </c>
      <c r="EV192" s="357">
        <v>120329</v>
      </c>
      <c r="EW192" s="357">
        <v>0</v>
      </c>
      <c r="EX192" s="357">
        <v>1191327</v>
      </c>
      <c r="EY192" s="357">
        <v>57978652</v>
      </c>
      <c r="EZ192" s="357">
        <v>340712</v>
      </c>
      <c r="FA192" s="357">
        <v>0</v>
      </c>
      <c r="FB192" s="357">
        <v>58319364</v>
      </c>
      <c r="FC192" s="277">
        <v>0</v>
      </c>
      <c r="FD192" s="205"/>
    </row>
    <row r="193" spans="1:160" ht="12.75">
      <c r="A193" s="169">
        <v>186</v>
      </c>
      <c r="B193" s="172" t="s">
        <v>280</v>
      </c>
      <c r="C193" s="258" t="s">
        <v>281</v>
      </c>
      <c r="D193" s="235">
        <v>41547</v>
      </c>
      <c r="E193" s="357">
        <v>147133057</v>
      </c>
      <c r="F193" s="357">
        <v>0</v>
      </c>
      <c r="G193" s="357">
        <v>1138700</v>
      </c>
      <c r="H193" s="357">
        <v>148271757</v>
      </c>
      <c r="I193" s="357">
        <v>69299670</v>
      </c>
      <c r="J193" s="357">
        <v>0</v>
      </c>
      <c r="K193" s="357">
        <v>536328</v>
      </c>
      <c r="L193" s="357">
        <v>0</v>
      </c>
      <c r="M193" s="357">
        <v>0</v>
      </c>
      <c r="N193" s="357">
        <v>0</v>
      </c>
      <c r="O193" s="357">
        <v>69299670</v>
      </c>
      <c r="P193" s="357">
        <v>0</v>
      </c>
      <c r="Q193" s="357">
        <v>536328</v>
      </c>
      <c r="R193" s="357">
        <v>69835998</v>
      </c>
      <c r="S193" s="357">
        <v>45409</v>
      </c>
      <c r="T193" s="357">
        <v>0</v>
      </c>
      <c r="U193" s="357">
        <v>0</v>
      </c>
      <c r="V193" s="357">
        <v>45409</v>
      </c>
      <c r="W193" s="357">
        <v>42321</v>
      </c>
      <c r="X193" s="357">
        <v>0</v>
      </c>
      <c r="Y193" s="357">
        <v>0</v>
      </c>
      <c r="Z193" s="357">
        <v>42321</v>
      </c>
      <c r="AA193" s="357">
        <v>3088</v>
      </c>
      <c r="AB193" s="357">
        <v>0</v>
      </c>
      <c r="AC193" s="357">
        <v>0</v>
      </c>
      <c r="AD193" s="357">
        <v>0</v>
      </c>
      <c r="AE193" s="357">
        <v>0</v>
      </c>
      <c r="AF193" s="357">
        <v>0</v>
      </c>
      <c r="AG193" s="357">
        <v>3088</v>
      </c>
      <c r="AH193" s="357">
        <v>0</v>
      </c>
      <c r="AI193" s="357">
        <v>0</v>
      </c>
      <c r="AJ193" s="357">
        <v>3088</v>
      </c>
      <c r="AK193" s="357">
        <v>3088</v>
      </c>
      <c r="AL193" s="357">
        <v>0</v>
      </c>
      <c r="AM193" s="357">
        <v>0</v>
      </c>
      <c r="AN193" s="357">
        <v>3088</v>
      </c>
      <c r="AO193" s="357">
        <v>3184626</v>
      </c>
      <c r="AP193" s="357">
        <v>0</v>
      </c>
      <c r="AQ193" s="357">
        <v>2714</v>
      </c>
      <c r="AR193" s="357">
        <v>3187340</v>
      </c>
      <c r="AS193" s="357">
        <v>0</v>
      </c>
      <c r="AT193" s="357">
        <v>0</v>
      </c>
      <c r="AU193" s="357">
        <v>0</v>
      </c>
      <c r="AV193" s="357">
        <v>0</v>
      </c>
      <c r="AW193" s="357">
        <v>1407222</v>
      </c>
      <c r="AX193" s="357">
        <v>0</v>
      </c>
      <c r="AY193" s="357">
        <v>12447</v>
      </c>
      <c r="AZ193" s="357">
        <v>1419669</v>
      </c>
      <c r="BA193" s="357">
        <v>1777404</v>
      </c>
      <c r="BB193" s="357">
        <v>0</v>
      </c>
      <c r="BC193" s="357">
        <v>-9733</v>
      </c>
      <c r="BD193" s="357">
        <v>1767671</v>
      </c>
      <c r="BE193" s="357">
        <v>3724702</v>
      </c>
      <c r="BF193" s="357">
        <v>0</v>
      </c>
      <c r="BG193" s="357">
        <v>0</v>
      </c>
      <c r="BH193" s="357">
        <v>3724702</v>
      </c>
      <c r="BI193" s="357">
        <v>58820</v>
      </c>
      <c r="BJ193" s="357">
        <v>0</v>
      </c>
      <c r="BK193" s="357">
        <v>0</v>
      </c>
      <c r="BL193" s="357">
        <v>58820</v>
      </c>
      <c r="BM193" s="357">
        <v>0</v>
      </c>
      <c r="BN193" s="357">
        <v>0</v>
      </c>
      <c r="BO193" s="357">
        <v>0</v>
      </c>
      <c r="BP193" s="357">
        <v>0</v>
      </c>
      <c r="BQ193" s="357">
        <v>5560926</v>
      </c>
      <c r="BR193" s="357">
        <v>0</v>
      </c>
      <c r="BS193" s="357">
        <v>-9733</v>
      </c>
      <c r="BT193" s="357">
        <v>47464</v>
      </c>
      <c r="BU193" s="357">
        <v>0</v>
      </c>
      <c r="BV193" s="357">
        <v>0</v>
      </c>
      <c r="BW193" s="357">
        <v>5608390</v>
      </c>
      <c r="BX193" s="357">
        <v>0</v>
      </c>
      <c r="BY193" s="357">
        <v>-9733</v>
      </c>
      <c r="BZ193" s="357">
        <v>5598657</v>
      </c>
      <c r="CA193" s="357">
        <v>500000</v>
      </c>
      <c r="CB193" s="357">
        <v>0</v>
      </c>
      <c r="CC193" s="357">
        <v>0</v>
      </c>
      <c r="CD193" s="357">
        <v>500000</v>
      </c>
      <c r="CE193" s="357">
        <v>2837293</v>
      </c>
      <c r="CF193" s="357">
        <v>0</v>
      </c>
      <c r="CG193" s="357">
        <v>0</v>
      </c>
      <c r="CH193" s="357">
        <v>2837293</v>
      </c>
      <c r="CI193" s="357">
        <v>3337293</v>
      </c>
      <c r="CJ193" s="357">
        <v>0</v>
      </c>
      <c r="CK193" s="357">
        <v>0</v>
      </c>
      <c r="CL193" s="357">
        <v>0</v>
      </c>
      <c r="CM193" s="357">
        <v>0</v>
      </c>
      <c r="CN193" s="357">
        <v>0</v>
      </c>
      <c r="CO193" s="357">
        <v>3337293</v>
      </c>
      <c r="CP193" s="357">
        <v>0</v>
      </c>
      <c r="CQ193" s="357">
        <v>0</v>
      </c>
      <c r="CR193" s="357">
        <v>3337293</v>
      </c>
      <c r="CS193" s="357">
        <v>262700</v>
      </c>
      <c r="CT193" s="357">
        <v>0</v>
      </c>
      <c r="CU193" s="357">
        <v>0</v>
      </c>
      <c r="CV193" s="357">
        <v>262700</v>
      </c>
      <c r="CW193" s="357">
        <v>22000</v>
      </c>
      <c r="CX193" s="357">
        <v>0</v>
      </c>
      <c r="CY193" s="357">
        <v>0</v>
      </c>
      <c r="CZ193" s="357">
        <v>22000</v>
      </c>
      <c r="DA193" s="357">
        <v>14705</v>
      </c>
      <c r="DB193" s="357">
        <v>0</v>
      </c>
      <c r="DC193" s="357">
        <v>0</v>
      </c>
      <c r="DD193" s="357">
        <v>14705</v>
      </c>
      <c r="DE193" s="357">
        <v>0</v>
      </c>
      <c r="DF193" s="357">
        <v>0</v>
      </c>
      <c r="DG193" s="357">
        <v>0</v>
      </c>
      <c r="DH193" s="357">
        <v>0</v>
      </c>
      <c r="DI193" s="357">
        <v>0</v>
      </c>
      <c r="DJ193" s="357">
        <v>0</v>
      </c>
      <c r="DK193" s="357">
        <v>0</v>
      </c>
      <c r="DL193" s="357">
        <v>0</v>
      </c>
      <c r="DM193" s="357">
        <v>0</v>
      </c>
      <c r="DN193" s="357">
        <v>0</v>
      </c>
      <c r="DO193" s="357">
        <v>0</v>
      </c>
      <c r="DP193" s="357">
        <v>0</v>
      </c>
      <c r="DQ193" s="357">
        <v>299405</v>
      </c>
      <c r="DR193" s="357">
        <v>0</v>
      </c>
      <c r="DS193" s="357">
        <v>0</v>
      </c>
      <c r="DT193" s="357">
        <v>0</v>
      </c>
      <c r="DU193" s="357">
        <v>0</v>
      </c>
      <c r="DV193" s="357">
        <v>0</v>
      </c>
      <c r="DW193" s="357">
        <v>299405</v>
      </c>
      <c r="DX193" s="357">
        <v>0</v>
      </c>
      <c r="DY193" s="357">
        <v>0</v>
      </c>
      <c r="DZ193" s="357">
        <v>299405</v>
      </c>
      <c r="EA193" s="357">
        <v>0</v>
      </c>
      <c r="EB193" s="357">
        <v>0</v>
      </c>
      <c r="EC193" s="357">
        <v>0</v>
      </c>
      <c r="ED193" s="357">
        <v>0</v>
      </c>
      <c r="EE193" s="357">
        <v>0</v>
      </c>
      <c r="EF193" s="357">
        <v>0</v>
      </c>
      <c r="EG193" s="357">
        <v>80000</v>
      </c>
      <c r="EH193" s="357">
        <v>0</v>
      </c>
      <c r="EI193" s="357">
        <v>0</v>
      </c>
      <c r="EJ193" s="357">
        <v>80000</v>
      </c>
      <c r="EK193" s="357">
        <v>778000</v>
      </c>
      <c r="EL193" s="357">
        <v>0</v>
      </c>
      <c r="EM193" s="357">
        <v>0</v>
      </c>
      <c r="EN193" s="357">
        <v>778000</v>
      </c>
      <c r="EO193" s="357">
        <v>858000</v>
      </c>
      <c r="EP193" s="357">
        <v>0</v>
      </c>
      <c r="EQ193" s="357">
        <v>0</v>
      </c>
      <c r="ER193" s="357">
        <v>0</v>
      </c>
      <c r="ES193" s="357">
        <v>0</v>
      </c>
      <c r="ET193" s="357">
        <v>0</v>
      </c>
      <c r="EU193" s="357">
        <v>858000</v>
      </c>
      <c r="EV193" s="357">
        <v>0</v>
      </c>
      <c r="EW193" s="357">
        <v>0</v>
      </c>
      <c r="EX193" s="357">
        <v>858000</v>
      </c>
      <c r="EY193" s="357">
        <v>59193494</v>
      </c>
      <c r="EZ193" s="357">
        <v>0</v>
      </c>
      <c r="FA193" s="357">
        <v>546061</v>
      </c>
      <c r="FB193" s="357">
        <v>59739555</v>
      </c>
      <c r="FC193" s="277">
        <v>0</v>
      </c>
      <c r="FD193" s="205"/>
    </row>
    <row r="194" spans="1:160" ht="12.75">
      <c r="A194" s="169">
        <v>187</v>
      </c>
      <c r="B194" s="172" t="s">
        <v>282</v>
      </c>
      <c r="C194" s="258" t="s">
        <v>283</v>
      </c>
      <c r="D194" s="235">
        <v>41550</v>
      </c>
      <c r="E194" s="357">
        <v>94828224</v>
      </c>
      <c r="F194" s="357">
        <v>0</v>
      </c>
      <c r="G194" s="357">
        <v>0</v>
      </c>
      <c r="H194" s="357">
        <v>94828224</v>
      </c>
      <c r="I194" s="357">
        <v>44664094</v>
      </c>
      <c r="J194" s="357">
        <v>0</v>
      </c>
      <c r="K194" s="357">
        <v>0</v>
      </c>
      <c r="L194" s="357">
        <v>1200000</v>
      </c>
      <c r="M194" s="357">
        <v>0</v>
      </c>
      <c r="N194" s="357">
        <v>0</v>
      </c>
      <c r="O194" s="357">
        <v>45864094</v>
      </c>
      <c r="P194" s="357">
        <v>0</v>
      </c>
      <c r="Q194" s="357">
        <v>0</v>
      </c>
      <c r="R194" s="357">
        <v>45864094</v>
      </c>
      <c r="S194" s="357">
        <v>69095</v>
      </c>
      <c r="T194" s="357">
        <v>0</v>
      </c>
      <c r="U194" s="357">
        <v>0</v>
      </c>
      <c r="V194" s="357">
        <v>69095</v>
      </c>
      <c r="W194" s="357">
        <v>99608</v>
      </c>
      <c r="X194" s="357">
        <v>0</v>
      </c>
      <c r="Y194" s="357">
        <v>0</v>
      </c>
      <c r="Z194" s="357">
        <v>99608</v>
      </c>
      <c r="AA194" s="357">
        <v>-30513</v>
      </c>
      <c r="AB194" s="357">
        <v>0</v>
      </c>
      <c r="AC194" s="357">
        <v>0</v>
      </c>
      <c r="AD194" s="357">
        <v>0</v>
      </c>
      <c r="AE194" s="357">
        <v>0</v>
      </c>
      <c r="AF194" s="357">
        <v>0</v>
      </c>
      <c r="AG194" s="357">
        <v>-30513</v>
      </c>
      <c r="AH194" s="357">
        <v>0</v>
      </c>
      <c r="AI194" s="357">
        <v>0</v>
      </c>
      <c r="AJ194" s="357">
        <v>-30513</v>
      </c>
      <c r="AK194" s="357">
        <v>-30513</v>
      </c>
      <c r="AL194" s="357">
        <v>0</v>
      </c>
      <c r="AM194" s="357">
        <v>0</v>
      </c>
      <c r="AN194" s="357">
        <v>-30513</v>
      </c>
      <c r="AO194" s="357">
        <v>1199303</v>
      </c>
      <c r="AP194" s="357">
        <v>0</v>
      </c>
      <c r="AQ194" s="357">
        <v>0</v>
      </c>
      <c r="AR194" s="357">
        <v>1199303</v>
      </c>
      <c r="AS194" s="357">
        <v>11993</v>
      </c>
      <c r="AT194" s="357">
        <v>0</v>
      </c>
      <c r="AU194" s="357">
        <v>0</v>
      </c>
      <c r="AV194" s="357">
        <v>11993</v>
      </c>
      <c r="AW194" s="357">
        <v>809694</v>
      </c>
      <c r="AX194" s="357">
        <v>0</v>
      </c>
      <c r="AY194" s="357">
        <v>0</v>
      </c>
      <c r="AZ194" s="357">
        <v>809694</v>
      </c>
      <c r="BA194" s="357">
        <v>389609</v>
      </c>
      <c r="BB194" s="357">
        <v>0</v>
      </c>
      <c r="BC194" s="357">
        <v>0</v>
      </c>
      <c r="BD194" s="357">
        <v>389609</v>
      </c>
      <c r="BE194" s="357">
        <v>761284</v>
      </c>
      <c r="BF194" s="357">
        <v>0</v>
      </c>
      <c r="BG194" s="357">
        <v>0</v>
      </c>
      <c r="BH194" s="357">
        <v>761284</v>
      </c>
      <c r="BI194" s="357">
        <v>27975</v>
      </c>
      <c r="BJ194" s="357">
        <v>0</v>
      </c>
      <c r="BK194" s="357">
        <v>0</v>
      </c>
      <c r="BL194" s="357">
        <v>27975</v>
      </c>
      <c r="BM194" s="357">
        <v>17274</v>
      </c>
      <c r="BN194" s="357">
        <v>0</v>
      </c>
      <c r="BO194" s="357">
        <v>0</v>
      </c>
      <c r="BP194" s="357">
        <v>17274</v>
      </c>
      <c r="BQ194" s="357">
        <v>1196142</v>
      </c>
      <c r="BR194" s="357">
        <v>0</v>
      </c>
      <c r="BS194" s="357">
        <v>0</v>
      </c>
      <c r="BT194" s="357">
        <v>28637</v>
      </c>
      <c r="BU194" s="357">
        <v>0</v>
      </c>
      <c r="BV194" s="357">
        <v>0</v>
      </c>
      <c r="BW194" s="357">
        <v>1224779</v>
      </c>
      <c r="BX194" s="357">
        <v>0</v>
      </c>
      <c r="BY194" s="357">
        <v>0</v>
      </c>
      <c r="BZ194" s="357">
        <v>1224779</v>
      </c>
      <c r="CA194" s="357">
        <v>300000</v>
      </c>
      <c r="CB194" s="357">
        <v>0</v>
      </c>
      <c r="CC194" s="357">
        <v>0</v>
      </c>
      <c r="CD194" s="357">
        <v>300000</v>
      </c>
      <c r="CE194" s="357">
        <v>1276041</v>
      </c>
      <c r="CF194" s="357">
        <v>0</v>
      </c>
      <c r="CG194" s="357">
        <v>0</v>
      </c>
      <c r="CH194" s="357">
        <v>1276041</v>
      </c>
      <c r="CI194" s="357">
        <v>1576041</v>
      </c>
      <c r="CJ194" s="357">
        <v>0</v>
      </c>
      <c r="CK194" s="357">
        <v>0</v>
      </c>
      <c r="CL194" s="357">
        <v>0</v>
      </c>
      <c r="CM194" s="357">
        <v>0</v>
      </c>
      <c r="CN194" s="357">
        <v>0</v>
      </c>
      <c r="CO194" s="357">
        <v>1576041</v>
      </c>
      <c r="CP194" s="357">
        <v>0</v>
      </c>
      <c r="CQ194" s="357">
        <v>0</v>
      </c>
      <c r="CR194" s="357">
        <v>1576041</v>
      </c>
      <c r="CS194" s="357">
        <v>29402</v>
      </c>
      <c r="CT194" s="357">
        <v>0</v>
      </c>
      <c r="CU194" s="357">
        <v>0</v>
      </c>
      <c r="CV194" s="357">
        <v>29402</v>
      </c>
      <c r="CW194" s="357">
        <v>2248</v>
      </c>
      <c r="CX194" s="357">
        <v>0</v>
      </c>
      <c r="CY194" s="357">
        <v>0</v>
      </c>
      <c r="CZ194" s="357">
        <v>2248</v>
      </c>
      <c r="DA194" s="357">
        <v>1328</v>
      </c>
      <c r="DB194" s="357">
        <v>0</v>
      </c>
      <c r="DC194" s="357">
        <v>0</v>
      </c>
      <c r="DD194" s="357">
        <v>1328</v>
      </c>
      <c r="DE194" s="357">
        <v>9090</v>
      </c>
      <c r="DF194" s="357">
        <v>0</v>
      </c>
      <c r="DG194" s="357">
        <v>0</v>
      </c>
      <c r="DH194" s="357">
        <v>9090</v>
      </c>
      <c r="DI194" s="357">
        <v>0</v>
      </c>
      <c r="DJ194" s="357">
        <v>0</v>
      </c>
      <c r="DK194" s="357">
        <v>0</v>
      </c>
      <c r="DL194" s="357">
        <v>0</v>
      </c>
      <c r="DM194" s="357">
        <v>0</v>
      </c>
      <c r="DN194" s="357">
        <v>0</v>
      </c>
      <c r="DO194" s="357">
        <v>0</v>
      </c>
      <c r="DP194" s="357">
        <v>0</v>
      </c>
      <c r="DQ194" s="357">
        <v>42068</v>
      </c>
      <c r="DR194" s="357">
        <v>0</v>
      </c>
      <c r="DS194" s="357">
        <v>0</v>
      </c>
      <c r="DT194" s="357">
        <v>0</v>
      </c>
      <c r="DU194" s="357">
        <v>0</v>
      </c>
      <c r="DV194" s="357">
        <v>0</v>
      </c>
      <c r="DW194" s="357">
        <v>42068</v>
      </c>
      <c r="DX194" s="357">
        <v>0</v>
      </c>
      <c r="DY194" s="357">
        <v>0</v>
      </c>
      <c r="DZ194" s="357">
        <v>42068</v>
      </c>
      <c r="EA194" s="357">
        <v>0</v>
      </c>
      <c r="EB194" s="357">
        <v>0</v>
      </c>
      <c r="EC194" s="357">
        <v>0</v>
      </c>
      <c r="ED194" s="357">
        <v>0</v>
      </c>
      <c r="EE194" s="357">
        <v>0</v>
      </c>
      <c r="EF194" s="357">
        <v>0</v>
      </c>
      <c r="EG194" s="357">
        <v>40000</v>
      </c>
      <c r="EH194" s="357">
        <v>0</v>
      </c>
      <c r="EI194" s="357">
        <v>0</v>
      </c>
      <c r="EJ194" s="357">
        <v>40000</v>
      </c>
      <c r="EK194" s="357">
        <v>403000</v>
      </c>
      <c r="EL194" s="357">
        <v>0</v>
      </c>
      <c r="EM194" s="357">
        <v>0</v>
      </c>
      <c r="EN194" s="357">
        <v>403000</v>
      </c>
      <c r="EO194" s="357">
        <v>443000</v>
      </c>
      <c r="EP194" s="357">
        <v>0</v>
      </c>
      <c r="EQ194" s="357">
        <v>0</v>
      </c>
      <c r="ER194" s="357">
        <v>0</v>
      </c>
      <c r="ES194" s="357">
        <v>0</v>
      </c>
      <c r="ET194" s="357">
        <v>0</v>
      </c>
      <c r="EU194" s="357">
        <v>443000</v>
      </c>
      <c r="EV194" s="357">
        <v>0</v>
      </c>
      <c r="EW194" s="357">
        <v>0</v>
      </c>
      <c r="EX194" s="357">
        <v>443000</v>
      </c>
      <c r="EY194" s="357">
        <v>42608719</v>
      </c>
      <c r="EZ194" s="357">
        <v>0</v>
      </c>
      <c r="FA194" s="357">
        <v>0</v>
      </c>
      <c r="FB194" s="357">
        <v>42608719</v>
      </c>
      <c r="FC194" s="277">
        <v>0</v>
      </c>
      <c r="FD194" s="205"/>
    </row>
    <row r="195" spans="1:160" ht="12.75">
      <c r="A195" s="169">
        <v>188</v>
      </c>
      <c r="B195" s="172" t="s">
        <v>305</v>
      </c>
      <c r="C195" s="258" t="s">
        <v>306</v>
      </c>
      <c r="D195" s="235">
        <v>41663</v>
      </c>
      <c r="E195" s="357">
        <v>116648047</v>
      </c>
      <c r="F195" s="357">
        <v>0</v>
      </c>
      <c r="G195" s="357">
        <v>0</v>
      </c>
      <c r="H195" s="357">
        <v>116648047</v>
      </c>
      <c r="I195" s="357">
        <v>54941230</v>
      </c>
      <c r="J195" s="357">
        <v>0</v>
      </c>
      <c r="K195" s="357">
        <v>0</v>
      </c>
      <c r="L195" s="357">
        <v>125000</v>
      </c>
      <c r="M195" s="357">
        <v>0</v>
      </c>
      <c r="N195" s="357">
        <v>0</v>
      </c>
      <c r="O195" s="357">
        <v>55066230</v>
      </c>
      <c r="P195" s="357">
        <v>0</v>
      </c>
      <c r="Q195" s="357">
        <v>0</v>
      </c>
      <c r="R195" s="357">
        <v>55066230</v>
      </c>
      <c r="S195" s="357">
        <v>30488</v>
      </c>
      <c r="T195" s="357">
        <v>0</v>
      </c>
      <c r="U195" s="357">
        <v>0</v>
      </c>
      <c r="V195" s="357">
        <v>30488</v>
      </c>
      <c r="W195" s="357">
        <v>1971.07</v>
      </c>
      <c r="X195" s="357">
        <v>0</v>
      </c>
      <c r="Y195" s="357">
        <v>0</v>
      </c>
      <c r="Z195" s="357">
        <v>1971.07</v>
      </c>
      <c r="AA195" s="357">
        <v>28516.93</v>
      </c>
      <c r="AB195" s="357">
        <v>0</v>
      </c>
      <c r="AC195" s="357">
        <v>0</v>
      </c>
      <c r="AD195" s="357">
        <v>0</v>
      </c>
      <c r="AE195" s="357">
        <v>0</v>
      </c>
      <c r="AF195" s="357">
        <v>0</v>
      </c>
      <c r="AG195" s="357">
        <v>28516.93</v>
      </c>
      <c r="AH195" s="357">
        <v>0</v>
      </c>
      <c r="AI195" s="357">
        <v>0</v>
      </c>
      <c r="AJ195" s="357">
        <v>28516.93</v>
      </c>
      <c r="AK195" s="357">
        <v>28516.93</v>
      </c>
      <c r="AL195" s="357">
        <v>0</v>
      </c>
      <c r="AM195" s="357">
        <v>0</v>
      </c>
      <c r="AN195" s="357">
        <v>28516.93</v>
      </c>
      <c r="AO195" s="357">
        <v>1720875</v>
      </c>
      <c r="AP195" s="357">
        <v>0</v>
      </c>
      <c r="AQ195" s="357">
        <v>0</v>
      </c>
      <c r="AR195" s="357">
        <v>1720875</v>
      </c>
      <c r="AS195" s="357">
        <v>0</v>
      </c>
      <c r="AT195" s="357">
        <v>0</v>
      </c>
      <c r="AU195" s="357">
        <v>0</v>
      </c>
      <c r="AV195" s="357">
        <v>0</v>
      </c>
      <c r="AW195" s="357">
        <v>1164713.8</v>
      </c>
      <c r="AX195" s="357">
        <v>0</v>
      </c>
      <c r="AY195" s="357">
        <v>0</v>
      </c>
      <c r="AZ195" s="357">
        <v>1164713.8</v>
      </c>
      <c r="BA195" s="357">
        <v>556161.2</v>
      </c>
      <c r="BB195" s="357">
        <v>0</v>
      </c>
      <c r="BC195" s="357">
        <v>0</v>
      </c>
      <c r="BD195" s="357">
        <v>556161.2</v>
      </c>
      <c r="BE195" s="357">
        <v>1234959</v>
      </c>
      <c r="BF195" s="357">
        <v>0</v>
      </c>
      <c r="BG195" s="357">
        <v>0</v>
      </c>
      <c r="BH195" s="357">
        <v>1234959</v>
      </c>
      <c r="BI195" s="357">
        <v>16928</v>
      </c>
      <c r="BJ195" s="357">
        <v>0</v>
      </c>
      <c r="BK195" s="357">
        <v>0</v>
      </c>
      <c r="BL195" s="357">
        <v>16928</v>
      </c>
      <c r="BM195" s="357">
        <v>10247.34</v>
      </c>
      <c r="BN195" s="357">
        <v>0</v>
      </c>
      <c r="BO195" s="357">
        <v>0</v>
      </c>
      <c r="BP195" s="357">
        <v>10247.34</v>
      </c>
      <c r="BQ195" s="357">
        <v>1818295.54</v>
      </c>
      <c r="BR195" s="357">
        <v>0</v>
      </c>
      <c r="BS195" s="357">
        <v>0</v>
      </c>
      <c r="BT195" s="357">
        <v>0</v>
      </c>
      <c r="BU195" s="357">
        <v>0</v>
      </c>
      <c r="BV195" s="357">
        <v>0</v>
      </c>
      <c r="BW195" s="357">
        <v>1818295.54</v>
      </c>
      <c r="BX195" s="357">
        <v>0</v>
      </c>
      <c r="BY195" s="357">
        <v>0</v>
      </c>
      <c r="BZ195" s="357">
        <v>1818295.54</v>
      </c>
      <c r="CA195" s="357">
        <v>100000</v>
      </c>
      <c r="CB195" s="357">
        <v>0</v>
      </c>
      <c r="CC195" s="357">
        <v>0</v>
      </c>
      <c r="CD195" s="357">
        <v>100000</v>
      </c>
      <c r="CE195" s="357">
        <v>1568276</v>
      </c>
      <c r="CF195" s="357">
        <v>0</v>
      </c>
      <c r="CG195" s="357">
        <v>0</v>
      </c>
      <c r="CH195" s="357">
        <v>1568276</v>
      </c>
      <c r="CI195" s="357">
        <v>1668276</v>
      </c>
      <c r="CJ195" s="357">
        <v>0</v>
      </c>
      <c r="CK195" s="357">
        <v>0</v>
      </c>
      <c r="CL195" s="357">
        <v>0</v>
      </c>
      <c r="CM195" s="357">
        <v>0</v>
      </c>
      <c r="CN195" s="357">
        <v>0</v>
      </c>
      <c r="CO195" s="357">
        <v>1668276</v>
      </c>
      <c r="CP195" s="357">
        <v>0</v>
      </c>
      <c r="CQ195" s="357">
        <v>0</v>
      </c>
      <c r="CR195" s="357">
        <v>1668276</v>
      </c>
      <c r="CS195" s="357">
        <v>44084</v>
      </c>
      <c r="CT195" s="357">
        <v>0</v>
      </c>
      <c r="CU195" s="357">
        <v>0</v>
      </c>
      <c r="CV195" s="357">
        <v>44084</v>
      </c>
      <c r="CW195" s="357">
        <v>73012</v>
      </c>
      <c r="CX195" s="357">
        <v>0</v>
      </c>
      <c r="CY195" s="357">
        <v>0</v>
      </c>
      <c r="CZ195" s="357">
        <v>73012</v>
      </c>
      <c r="DA195" s="357">
        <v>1575</v>
      </c>
      <c r="DB195" s="357">
        <v>0</v>
      </c>
      <c r="DC195" s="357">
        <v>0</v>
      </c>
      <c r="DD195" s="357">
        <v>1575</v>
      </c>
      <c r="DE195" s="357">
        <v>10247</v>
      </c>
      <c r="DF195" s="357">
        <v>0</v>
      </c>
      <c r="DG195" s="357">
        <v>0</v>
      </c>
      <c r="DH195" s="357">
        <v>10247</v>
      </c>
      <c r="DI195" s="357">
        <v>233</v>
      </c>
      <c r="DJ195" s="357">
        <v>0</v>
      </c>
      <c r="DK195" s="357">
        <v>0</v>
      </c>
      <c r="DL195" s="357">
        <v>233</v>
      </c>
      <c r="DM195" s="357">
        <v>0</v>
      </c>
      <c r="DN195" s="357">
        <v>0</v>
      </c>
      <c r="DO195" s="357">
        <v>0</v>
      </c>
      <c r="DP195" s="357">
        <v>0</v>
      </c>
      <c r="DQ195" s="357">
        <v>129151</v>
      </c>
      <c r="DR195" s="357">
        <v>0</v>
      </c>
      <c r="DS195" s="357">
        <v>0</v>
      </c>
      <c r="DT195" s="357">
        <v>0</v>
      </c>
      <c r="DU195" s="357">
        <v>0</v>
      </c>
      <c r="DV195" s="357">
        <v>0</v>
      </c>
      <c r="DW195" s="357">
        <v>129151</v>
      </c>
      <c r="DX195" s="357">
        <v>0</v>
      </c>
      <c r="DY195" s="357">
        <v>0</v>
      </c>
      <c r="DZ195" s="357">
        <v>129151</v>
      </c>
      <c r="EA195" s="357">
        <v>0</v>
      </c>
      <c r="EB195" s="357">
        <v>0</v>
      </c>
      <c r="EC195" s="357">
        <v>0</v>
      </c>
      <c r="ED195" s="357">
        <v>0</v>
      </c>
      <c r="EE195" s="357">
        <v>0</v>
      </c>
      <c r="EF195" s="357">
        <v>0</v>
      </c>
      <c r="EG195" s="357">
        <v>30198</v>
      </c>
      <c r="EH195" s="357">
        <v>0</v>
      </c>
      <c r="EI195" s="357">
        <v>0</v>
      </c>
      <c r="EJ195" s="357">
        <v>30198</v>
      </c>
      <c r="EK195" s="357">
        <v>394988</v>
      </c>
      <c r="EL195" s="357">
        <v>0</v>
      </c>
      <c r="EM195" s="357">
        <v>0</v>
      </c>
      <c r="EN195" s="357">
        <v>394988</v>
      </c>
      <c r="EO195" s="357">
        <v>425186</v>
      </c>
      <c r="EP195" s="357">
        <v>0</v>
      </c>
      <c r="EQ195" s="357">
        <v>0</v>
      </c>
      <c r="ER195" s="357">
        <v>0</v>
      </c>
      <c r="ES195" s="357">
        <v>0</v>
      </c>
      <c r="ET195" s="357">
        <v>0</v>
      </c>
      <c r="EU195" s="357">
        <v>425186</v>
      </c>
      <c r="EV195" s="357">
        <v>0</v>
      </c>
      <c r="EW195" s="357">
        <v>0</v>
      </c>
      <c r="EX195" s="357">
        <v>425186</v>
      </c>
      <c r="EY195" s="357">
        <v>50996804.5</v>
      </c>
      <c r="EZ195" s="357">
        <v>0</v>
      </c>
      <c r="FA195" s="357">
        <v>0</v>
      </c>
      <c r="FB195" s="357">
        <v>50996804.5</v>
      </c>
      <c r="FC195" s="277">
        <v>0</v>
      </c>
      <c r="FD195" s="205"/>
    </row>
    <row r="196" spans="1:160" ht="12.75">
      <c r="A196" s="169">
        <v>189</v>
      </c>
      <c r="B196" s="172" t="s">
        <v>307</v>
      </c>
      <c r="C196" s="258" t="s">
        <v>308</v>
      </c>
      <c r="D196" s="235">
        <v>311213</v>
      </c>
      <c r="E196" s="357">
        <v>237314749</v>
      </c>
      <c r="F196" s="357">
        <v>0</v>
      </c>
      <c r="G196" s="357">
        <v>7342325</v>
      </c>
      <c r="H196" s="357">
        <v>244657074</v>
      </c>
      <c r="I196" s="357">
        <v>111775247</v>
      </c>
      <c r="J196" s="357">
        <v>0</v>
      </c>
      <c r="K196" s="357">
        <v>3458235</v>
      </c>
      <c r="L196" s="357">
        <v>3796124</v>
      </c>
      <c r="M196" s="357">
        <v>0</v>
      </c>
      <c r="N196" s="357">
        <v>117446</v>
      </c>
      <c r="O196" s="357">
        <v>115571371</v>
      </c>
      <c r="P196" s="357">
        <v>0</v>
      </c>
      <c r="Q196" s="357">
        <v>3575681</v>
      </c>
      <c r="R196" s="357">
        <v>119147052</v>
      </c>
      <c r="S196" s="357">
        <v>55703</v>
      </c>
      <c r="T196" s="357">
        <v>0</v>
      </c>
      <c r="U196" s="357">
        <v>0</v>
      </c>
      <c r="V196" s="357">
        <v>55703</v>
      </c>
      <c r="W196" s="357">
        <v>476062</v>
      </c>
      <c r="X196" s="357">
        <v>0</v>
      </c>
      <c r="Y196" s="357">
        <v>0</v>
      </c>
      <c r="Z196" s="357">
        <v>476062</v>
      </c>
      <c r="AA196" s="357">
        <v>-420359</v>
      </c>
      <c r="AB196" s="357">
        <v>0</v>
      </c>
      <c r="AC196" s="357">
        <v>0</v>
      </c>
      <c r="AD196" s="357">
        <v>0</v>
      </c>
      <c r="AE196" s="357">
        <v>0</v>
      </c>
      <c r="AF196" s="357">
        <v>0</v>
      </c>
      <c r="AG196" s="357">
        <v>-420359</v>
      </c>
      <c r="AH196" s="357">
        <v>0</v>
      </c>
      <c r="AI196" s="357">
        <v>0</v>
      </c>
      <c r="AJ196" s="357">
        <v>-420359</v>
      </c>
      <c r="AK196" s="357">
        <v>-420359</v>
      </c>
      <c r="AL196" s="357">
        <v>0</v>
      </c>
      <c r="AM196" s="357">
        <v>0</v>
      </c>
      <c r="AN196" s="357">
        <v>-420359</v>
      </c>
      <c r="AO196" s="357">
        <v>3365989</v>
      </c>
      <c r="AP196" s="357">
        <v>0</v>
      </c>
      <c r="AQ196" s="357">
        <v>31484</v>
      </c>
      <c r="AR196" s="357">
        <v>3397473</v>
      </c>
      <c r="AS196" s="357">
        <v>0</v>
      </c>
      <c r="AT196" s="357">
        <v>0</v>
      </c>
      <c r="AU196" s="357">
        <v>0</v>
      </c>
      <c r="AV196" s="357">
        <v>0</v>
      </c>
      <c r="AW196" s="357">
        <v>2038376</v>
      </c>
      <c r="AX196" s="357">
        <v>0</v>
      </c>
      <c r="AY196" s="357">
        <v>0</v>
      </c>
      <c r="AZ196" s="357">
        <v>2038376</v>
      </c>
      <c r="BA196" s="357">
        <v>1327613</v>
      </c>
      <c r="BB196" s="357">
        <v>0</v>
      </c>
      <c r="BC196" s="357">
        <v>31484</v>
      </c>
      <c r="BD196" s="357">
        <v>1359097</v>
      </c>
      <c r="BE196" s="357">
        <v>6333417</v>
      </c>
      <c r="BF196" s="357">
        <v>0</v>
      </c>
      <c r="BG196" s="357">
        <v>37070</v>
      </c>
      <c r="BH196" s="357">
        <v>6370487</v>
      </c>
      <c r="BI196" s="357">
        <v>14959</v>
      </c>
      <c r="BJ196" s="357">
        <v>0</v>
      </c>
      <c r="BK196" s="357">
        <v>0</v>
      </c>
      <c r="BL196" s="357">
        <v>14959</v>
      </c>
      <c r="BM196" s="357">
        <v>0</v>
      </c>
      <c r="BN196" s="357">
        <v>0</v>
      </c>
      <c r="BO196" s="357">
        <v>0</v>
      </c>
      <c r="BP196" s="357">
        <v>0</v>
      </c>
      <c r="BQ196" s="357">
        <v>7675989</v>
      </c>
      <c r="BR196" s="357">
        <v>0</v>
      </c>
      <c r="BS196" s="357">
        <v>68554</v>
      </c>
      <c r="BT196" s="357">
        <v>69066</v>
      </c>
      <c r="BU196" s="357">
        <v>0</v>
      </c>
      <c r="BV196" s="357">
        <v>0</v>
      </c>
      <c r="BW196" s="357">
        <v>7745055</v>
      </c>
      <c r="BX196" s="357">
        <v>0</v>
      </c>
      <c r="BY196" s="357">
        <v>68554</v>
      </c>
      <c r="BZ196" s="357">
        <v>7813609</v>
      </c>
      <c r="CA196" s="357">
        <v>711115</v>
      </c>
      <c r="CB196" s="357">
        <v>0</v>
      </c>
      <c r="CC196" s="357">
        <v>0</v>
      </c>
      <c r="CD196" s="357">
        <v>711115</v>
      </c>
      <c r="CE196" s="357">
        <v>4723352</v>
      </c>
      <c r="CF196" s="357">
        <v>0</v>
      </c>
      <c r="CG196" s="357">
        <v>18824</v>
      </c>
      <c r="CH196" s="357">
        <v>4742176</v>
      </c>
      <c r="CI196" s="357">
        <v>5434467</v>
      </c>
      <c r="CJ196" s="357">
        <v>0</v>
      </c>
      <c r="CK196" s="357">
        <v>18824</v>
      </c>
      <c r="CL196" s="357">
        <v>-224424</v>
      </c>
      <c r="CM196" s="357">
        <v>0</v>
      </c>
      <c r="CN196" s="357">
        <v>0</v>
      </c>
      <c r="CO196" s="357">
        <v>5210043</v>
      </c>
      <c r="CP196" s="357">
        <v>0</v>
      </c>
      <c r="CQ196" s="357">
        <v>18824</v>
      </c>
      <c r="CR196" s="357">
        <v>5228867</v>
      </c>
      <c r="CS196" s="357">
        <v>224927</v>
      </c>
      <c r="CT196" s="357">
        <v>0</v>
      </c>
      <c r="CU196" s="357">
        <v>0</v>
      </c>
      <c r="CV196" s="357">
        <v>224927</v>
      </c>
      <c r="CW196" s="357">
        <v>131756</v>
      </c>
      <c r="CX196" s="357">
        <v>0</v>
      </c>
      <c r="CY196" s="357">
        <v>0</v>
      </c>
      <c r="CZ196" s="357">
        <v>131756</v>
      </c>
      <c r="DA196" s="357">
        <v>1788</v>
      </c>
      <c r="DB196" s="357">
        <v>0</v>
      </c>
      <c r="DC196" s="357">
        <v>0</v>
      </c>
      <c r="DD196" s="357">
        <v>1788</v>
      </c>
      <c r="DE196" s="357">
        <v>0</v>
      </c>
      <c r="DF196" s="357">
        <v>0</v>
      </c>
      <c r="DG196" s="357">
        <v>0</v>
      </c>
      <c r="DH196" s="357">
        <v>0</v>
      </c>
      <c r="DI196" s="357">
        <v>0</v>
      </c>
      <c r="DJ196" s="357">
        <v>0</v>
      </c>
      <c r="DK196" s="357">
        <v>0</v>
      </c>
      <c r="DL196" s="357">
        <v>0</v>
      </c>
      <c r="DM196" s="357">
        <v>0</v>
      </c>
      <c r="DN196" s="357">
        <v>0</v>
      </c>
      <c r="DO196" s="357">
        <v>0</v>
      </c>
      <c r="DP196" s="357">
        <v>0</v>
      </c>
      <c r="DQ196" s="357">
        <v>358471</v>
      </c>
      <c r="DR196" s="357">
        <v>0</v>
      </c>
      <c r="DS196" s="357">
        <v>0</v>
      </c>
      <c r="DT196" s="357">
        <v>0</v>
      </c>
      <c r="DU196" s="357">
        <v>0</v>
      </c>
      <c r="DV196" s="357">
        <v>0</v>
      </c>
      <c r="DW196" s="357">
        <v>358471</v>
      </c>
      <c r="DX196" s="357">
        <v>0</v>
      </c>
      <c r="DY196" s="357">
        <v>0</v>
      </c>
      <c r="DZ196" s="357">
        <v>358471</v>
      </c>
      <c r="EA196" s="357">
        <v>1901455</v>
      </c>
      <c r="EB196" s="357">
        <v>0</v>
      </c>
      <c r="EC196" s="357">
        <v>0</v>
      </c>
      <c r="ED196" s="357">
        <v>0</v>
      </c>
      <c r="EE196" s="357">
        <v>0</v>
      </c>
      <c r="EF196" s="357">
        <v>0</v>
      </c>
      <c r="EG196" s="357">
        <v>0</v>
      </c>
      <c r="EH196" s="357">
        <v>0</v>
      </c>
      <c r="EI196" s="357">
        <v>0</v>
      </c>
      <c r="EJ196" s="357">
        <v>0</v>
      </c>
      <c r="EK196" s="357">
        <v>835972</v>
      </c>
      <c r="EL196" s="357">
        <v>0</v>
      </c>
      <c r="EM196" s="357">
        <v>0</v>
      </c>
      <c r="EN196" s="357">
        <v>835972</v>
      </c>
      <c r="EO196" s="357">
        <v>835972</v>
      </c>
      <c r="EP196" s="357">
        <v>0</v>
      </c>
      <c r="EQ196" s="357">
        <v>0</v>
      </c>
      <c r="ER196" s="357">
        <v>0</v>
      </c>
      <c r="ES196" s="357">
        <v>0</v>
      </c>
      <c r="ET196" s="357">
        <v>0</v>
      </c>
      <c r="EU196" s="357">
        <v>835972</v>
      </c>
      <c r="EV196" s="357">
        <v>0</v>
      </c>
      <c r="EW196" s="357">
        <v>0</v>
      </c>
      <c r="EX196" s="357">
        <v>835972</v>
      </c>
      <c r="EY196" s="357">
        <v>101842189</v>
      </c>
      <c r="EZ196" s="357">
        <v>0</v>
      </c>
      <c r="FA196" s="357">
        <v>3488303</v>
      </c>
      <c r="FB196" s="357">
        <v>105330492</v>
      </c>
      <c r="FC196" s="277">
        <v>0</v>
      </c>
      <c r="FD196" s="205"/>
    </row>
    <row r="197" spans="1:160" ht="12.75">
      <c r="A197" s="169">
        <v>190</v>
      </c>
      <c r="B197" s="172" t="s">
        <v>309</v>
      </c>
      <c r="C197" s="258" t="s">
        <v>310</v>
      </c>
      <c r="D197" s="235">
        <v>41639</v>
      </c>
      <c r="E197" s="357">
        <v>196360854</v>
      </c>
      <c r="F197" s="357">
        <v>0</v>
      </c>
      <c r="G197" s="357">
        <v>46500</v>
      </c>
      <c r="H197" s="357">
        <v>196407354</v>
      </c>
      <c r="I197" s="357">
        <v>92485962</v>
      </c>
      <c r="J197" s="357">
        <v>0</v>
      </c>
      <c r="K197" s="357">
        <v>21902</v>
      </c>
      <c r="L197" s="357">
        <v>2886759</v>
      </c>
      <c r="M197" s="357">
        <v>0</v>
      </c>
      <c r="N197" s="357">
        <v>0</v>
      </c>
      <c r="O197" s="357">
        <v>95372721</v>
      </c>
      <c r="P197" s="357">
        <v>0</v>
      </c>
      <c r="Q197" s="357">
        <v>21902</v>
      </c>
      <c r="R197" s="357">
        <v>95394623</v>
      </c>
      <c r="S197" s="357">
        <v>211564</v>
      </c>
      <c r="T197" s="357">
        <v>0</v>
      </c>
      <c r="U197" s="357">
        <v>0</v>
      </c>
      <c r="V197" s="357">
        <v>211564</v>
      </c>
      <c r="W197" s="357">
        <v>1173</v>
      </c>
      <c r="X197" s="357">
        <v>0</v>
      </c>
      <c r="Y197" s="357">
        <v>0</v>
      </c>
      <c r="Z197" s="357">
        <v>1173</v>
      </c>
      <c r="AA197" s="357">
        <v>210391</v>
      </c>
      <c r="AB197" s="357">
        <v>0</v>
      </c>
      <c r="AC197" s="357">
        <v>0</v>
      </c>
      <c r="AD197" s="357">
        <v>0</v>
      </c>
      <c r="AE197" s="357">
        <v>0</v>
      </c>
      <c r="AF197" s="357">
        <v>0</v>
      </c>
      <c r="AG197" s="357">
        <v>210391</v>
      </c>
      <c r="AH197" s="357">
        <v>0</v>
      </c>
      <c r="AI197" s="357">
        <v>0</v>
      </c>
      <c r="AJ197" s="357">
        <v>210391</v>
      </c>
      <c r="AK197" s="357">
        <v>210391</v>
      </c>
      <c r="AL197" s="357">
        <v>0</v>
      </c>
      <c r="AM197" s="357">
        <v>0</v>
      </c>
      <c r="AN197" s="357">
        <v>210391</v>
      </c>
      <c r="AO197" s="357">
        <v>7116869.68</v>
      </c>
      <c r="AP197" s="357">
        <v>0</v>
      </c>
      <c r="AQ197" s="357">
        <v>0</v>
      </c>
      <c r="AR197" s="357">
        <v>7116869.68</v>
      </c>
      <c r="AS197" s="357">
        <v>93942.68</v>
      </c>
      <c r="AT197" s="357">
        <v>0</v>
      </c>
      <c r="AU197" s="357">
        <v>0</v>
      </c>
      <c r="AV197" s="357">
        <v>93942.68</v>
      </c>
      <c r="AW197" s="357">
        <v>1768476.75</v>
      </c>
      <c r="AX197" s="357">
        <v>0</v>
      </c>
      <c r="AY197" s="357">
        <v>0</v>
      </c>
      <c r="AZ197" s="357">
        <v>1768476.75</v>
      </c>
      <c r="BA197" s="357">
        <v>5348392.93</v>
      </c>
      <c r="BB197" s="357">
        <v>0</v>
      </c>
      <c r="BC197" s="357">
        <v>0</v>
      </c>
      <c r="BD197" s="357">
        <v>5348392.93</v>
      </c>
      <c r="BE197" s="357">
        <v>5978044.65</v>
      </c>
      <c r="BF197" s="357">
        <v>0</v>
      </c>
      <c r="BG197" s="357">
        <v>0</v>
      </c>
      <c r="BH197" s="357">
        <v>5978044.65</v>
      </c>
      <c r="BI197" s="357">
        <v>181248.39</v>
      </c>
      <c r="BJ197" s="357">
        <v>0</v>
      </c>
      <c r="BK197" s="357">
        <v>0</v>
      </c>
      <c r="BL197" s="357">
        <v>181248.39</v>
      </c>
      <c r="BM197" s="357">
        <v>96718.91</v>
      </c>
      <c r="BN197" s="357">
        <v>0</v>
      </c>
      <c r="BO197" s="357">
        <v>0</v>
      </c>
      <c r="BP197" s="357">
        <v>96718.91</v>
      </c>
      <c r="BQ197" s="357">
        <v>11604404.9</v>
      </c>
      <c r="BR197" s="357">
        <v>0</v>
      </c>
      <c r="BS197" s="357">
        <v>0</v>
      </c>
      <c r="BT197" s="357">
        <v>0</v>
      </c>
      <c r="BU197" s="357">
        <v>0</v>
      </c>
      <c r="BV197" s="357">
        <v>0</v>
      </c>
      <c r="BW197" s="357">
        <v>11604404.9</v>
      </c>
      <c r="BX197" s="357">
        <v>0</v>
      </c>
      <c r="BY197" s="357">
        <v>0</v>
      </c>
      <c r="BZ197" s="357">
        <v>11604404.9</v>
      </c>
      <c r="CA197" s="357">
        <v>102947.52</v>
      </c>
      <c r="CB197" s="357">
        <v>0</v>
      </c>
      <c r="CC197" s="357">
        <v>0</v>
      </c>
      <c r="CD197" s="357">
        <v>102947.52</v>
      </c>
      <c r="CE197" s="357">
        <v>2420297.67</v>
      </c>
      <c r="CF197" s="357">
        <v>0</v>
      </c>
      <c r="CG197" s="357">
        <v>0</v>
      </c>
      <c r="CH197" s="357">
        <v>2420297.67</v>
      </c>
      <c r="CI197" s="357">
        <v>2523245.19</v>
      </c>
      <c r="CJ197" s="357">
        <v>0</v>
      </c>
      <c r="CK197" s="357">
        <v>0</v>
      </c>
      <c r="CL197" s="357">
        <v>0</v>
      </c>
      <c r="CM197" s="357">
        <v>0</v>
      </c>
      <c r="CN197" s="357">
        <v>0</v>
      </c>
      <c r="CO197" s="357">
        <v>2523245.19</v>
      </c>
      <c r="CP197" s="357">
        <v>0</v>
      </c>
      <c r="CQ197" s="357">
        <v>0</v>
      </c>
      <c r="CR197" s="357">
        <v>2523245.19</v>
      </c>
      <c r="CS197" s="357">
        <v>553485.49</v>
      </c>
      <c r="CT197" s="357">
        <v>0</v>
      </c>
      <c r="CU197" s="357">
        <v>0</v>
      </c>
      <c r="CV197" s="357">
        <v>553485.49</v>
      </c>
      <c r="CW197" s="357">
        <v>360896.44</v>
      </c>
      <c r="CX197" s="357">
        <v>0</v>
      </c>
      <c r="CY197" s="357">
        <v>0</v>
      </c>
      <c r="CZ197" s="357">
        <v>360896.44</v>
      </c>
      <c r="DA197" s="357">
        <v>19425.96</v>
      </c>
      <c r="DB197" s="357">
        <v>0</v>
      </c>
      <c r="DC197" s="357">
        <v>0</v>
      </c>
      <c r="DD197" s="357">
        <v>19425.96</v>
      </c>
      <c r="DE197" s="357">
        <v>5464.07</v>
      </c>
      <c r="DF197" s="357">
        <v>0</v>
      </c>
      <c r="DG197" s="357">
        <v>0</v>
      </c>
      <c r="DH197" s="357">
        <v>5464.07</v>
      </c>
      <c r="DI197" s="357">
        <v>5769.73</v>
      </c>
      <c r="DJ197" s="357">
        <v>0</v>
      </c>
      <c r="DK197" s="357">
        <v>0</v>
      </c>
      <c r="DL197" s="357">
        <v>5769.73</v>
      </c>
      <c r="DM197" s="357">
        <v>150000</v>
      </c>
      <c r="DN197" s="357">
        <v>0</v>
      </c>
      <c r="DO197" s="357">
        <v>0</v>
      </c>
      <c r="DP197" s="357">
        <v>150000</v>
      </c>
      <c r="DQ197" s="357">
        <v>1095041.69</v>
      </c>
      <c r="DR197" s="357">
        <v>0</v>
      </c>
      <c r="DS197" s="357">
        <v>0</v>
      </c>
      <c r="DT197" s="357">
        <v>0</v>
      </c>
      <c r="DU197" s="357">
        <v>0</v>
      </c>
      <c r="DV197" s="357">
        <v>0</v>
      </c>
      <c r="DW197" s="357">
        <v>1095041.69</v>
      </c>
      <c r="DX197" s="357">
        <v>0</v>
      </c>
      <c r="DY197" s="357">
        <v>0</v>
      </c>
      <c r="DZ197" s="357">
        <v>1095041.69</v>
      </c>
      <c r="EA197" s="357">
        <v>11207</v>
      </c>
      <c r="EB197" s="357">
        <v>0</v>
      </c>
      <c r="EC197" s="357">
        <v>150000</v>
      </c>
      <c r="ED197" s="357">
        <v>0</v>
      </c>
      <c r="EE197" s="357">
        <v>0</v>
      </c>
      <c r="EF197" s="357">
        <v>150000</v>
      </c>
      <c r="EG197" s="357">
        <v>28989.65</v>
      </c>
      <c r="EH197" s="357">
        <v>0</v>
      </c>
      <c r="EI197" s="357">
        <v>0</v>
      </c>
      <c r="EJ197" s="357">
        <v>28989.65</v>
      </c>
      <c r="EK197" s="357">
        <v>1055823.82</v>
      </c>
      <c r="EL197" s="357">
        <v>0</v>
      </c>
      <c r="EM197" s="357">
        <v>0</v>
      </c>
      <c r="EN197" s="357">
        <v>1055823.82</v>
      </c>
      <c r="EO197" s="357">
        <v>1234813.47</v>
      </c>
      <c r="EP197" s="357">
        <v>0</v>
      </c>
      <c r="EQ197" s="357">
        <v>0</v>
      </c>
      <c r="ER197" s="357">
        <v>0</v>
      </c>
      <c r="ES197" s="357">
        <v>0</v>
      </c>
      <c r="ET197" s="357">
        <v>0</v>
      </c>
      <c r="EU197" s="357">
        <v>1234813.47</v>
      </c>
      <c r="EV197" s="357">
        <v>0</v>
      </c>
      <c r="EW197" s="357">
        <v>0</v>
      </c>
      <c r="EX197" s="357">
        <v>1234813.47</v>
      </c>
      <c r="EY197" s="357">
        <v>78704824.8</v>
      </c>
      <c r="EZ197" s="357">
        <v>0</v>
      </c>
      <c r="FA197" s="357">
        <v>21902</v>
      </c>
      <c r="FB197" s="357">
        <v>78726726.8</v>
      </c>
      <c r="FC197" s="277">
        <v>0</v>
      </c>
      <c r="FD197" s="205"/>
    </row>
    <row r="198" spans="1:160" ht="12.75">
      <c r="A198" s="169">
        <v>191</v>
      </c>
      <c r="B198" s="172" t="s">
        <v>311</v>
      </c>
      <c r="C198" s="258" t="s">
        <v>312</v>
      </c>
      <c r="D198" s="235">
        <v>41547</v>
      </c>
      <c r="E198" s="357">
        <v>195632661</v>
      </c>
      <c r="F198" s="357">
        <v>0</v>
      </c>
      <c r="G198" s="357">
        <v>0</v>
      </c>
      <c r="H198" s="357">
        <v>195632661</v>
      </c>
      <c r="I198" s="357">
        <v>92142983</v>
      </c>
      <c r="J198" s="357">
        <v>0</v>
      </c>
      <c r="K198" s="357">
        <v>0</v>
      </c>
      <c r="L198" s="357">
        <v>-460715</v>
      </c>
      <c r="M198" s="357">
        <v>0</v>
      </c>
      <c r="N198" s="357">
        <v>0</v>
      </c>
      <c r="O198" s="357">
        <v>91682268</v>
      </c>
      <c r="P198" s="357">
        <v>0</v>
      </c>
      <c r="Q198" s="357">
        <v>0</v>
      </c>
      <c r="R198" s="357">
        <v>91682268</v>
      </c>
      <c r="S198" s="357">
        <v>44872</v>
      </c>
      <c r="T198" s="357">
        <v>0</v>
      </c>
      <c r="U198" s="357">
        <v>0</v>
      </c>
      <c r="V198" s="357">
        <v>44872</v>
      </c>
      <c r="W198" s="357">
        <v>27290</v>
      </c>
      <c r="X198" s="357">
        <v>0</v>
      </c>
      <c r="Y198" s="357">
        <v>0</v>
      </c>
      <c r="Z198" s="357">
        <v>27290</v>
      </c>
      <c r="AA198" s="357">
        <v>17582</v>
      </c>
      <c r="AB198" s="357">
        <v>0</v>
      </c>
      <c r="AC198" s="357">
        <v>0</v>
      </c>
      <c r="AD198" s="357">
        <v>0</v>
      </c>
      <c r="AE198" s="357">
        <v>0</v>
      </c>
      <c r="AF198" s="357">
        <v>0</v>
      </c>
      <c r="AG198" s="357">
        <v>17582</v>
      </c>
      <c r="AH198" s="357">
        <v>0</v>
      </c>
      <c r="AI198" s="357">
        <v>0</v>
      </c>
      <c r="AJ198" s="357">
        <v>17582</v>
      </c>
      <c r="AK198" s="357">
        <v>17582</v>
      </c>
      <c r="AL198" s="357">
        <v>0</v>
      </c>
      <c r="AM198" s="357">
        <v>0</v>
      </c>
      <c r="AN198" s="357">
        <v>17582</v>
      </c>
      <c r="AO198" s="357">
        <v>3026763</v>
      </c>
      <c r="AP198" s="357">
        <v>0</v>
      </c>
      <c r="AQ198" s="357">
        <v>0</v>
      </c>
      <c r="AR198" s="357">
        <v>3026763</v>
      </c>
      <c r="AS198" s="357">
        <v>6053</v>
      </c>
      <c r="AT198" s="357">
        <v>0</v>
      </c>
      <c r="AU198" s="357">
        <v>0</v>
      </c>
      <c r="AV198" s="357">
        <v>6053</v>
      </c>
      <c r="AW198" s="357">
        <v>1904144</v>
      </c>
      <c r="AX198" s="357">
        <v>0</v>
      </c>
      <c r="AY198" s="357">
        <v>0</v>
      </c>
      <c r="AZ198" s="357">
        <v>1904144</v>
      </c>
      <c r="BA198" s="357">
        <v>1122619</v>
      </c>
      <c r="BB198" s="357">
        <v>0</v>
      </c>
      <c r="BC198" s="357">
        <v>0</v>
      </c>
      <c r="BD198" s="357">
        <v>1122619</v>
      </c>
      <c r="BE198" s="357">
        <v>5410081</v>
      </c>
      <c r="BF198" s="357">
        <v>0</v>
      </c>
      <c r="BG198" s="357">
        <v>0</v>
      </c>
      <c r="BH198" s="357">
        <v>5410081</v>
      </c>
      <c r="BI198" s="357">
        <v>24081</v>
      </c>
      <c r="BJ198" s="357">
        <v>0</v>
      </c>
      <c r="BK198" s="357">
        <v>0</v>
      </c>
      <c r="BL198" s="357">
        <v>24081</v>
      </c>
      <c r="BM198" s="357">
        <v>0</v>
      </c>
      <c r="BN198" s="357">
        <v>0</v>
      </c>
      <c r="BO198" s="357">
        <v>0</v>
      </c>
      <c r="BP198" s="357">
        <v>0</v>
      </c>
      <c r="BQ198" s="357">
        <v>6556781</v>
      </c>
      <c r="BR198" s="357">
        <v>0</v>
      </c>
      <c r="BS198" s="357">
        <v>0</v>
      </c>
      <c r="BT198" s="357">
        <v>0</v>
      </c>
      <c r="BU198" s="357">
        <v>0</v>
      </c>
      <c r="BV198" s="357">
        <v>0</v>
      </c>
      <c r="BW198" s="357">
        <v>6556781</v>
      </c>
      <c r="BX198" s="357">
        <v>0</v>
      </c>
      <c r="BY198" s="357">
        <v>0</v>
      </c>
      <c r="BZ198" s="357">
        <v>6556781</v>
      </c>
      <c r="CA198" s="357">
        <v>23832</v>
      </c>
      <c r="CB198" s="357">
        <v>0</v>
      </c>
      <c r="CC198" s="357">
        <v>0</v>
      </c>
      <c r="CD198" s="357">
        <v>23832</v>
      </c>
      <c r="CE198" s="357">
        <v>4491844</v>
      </c>
      <c r="CF198" s="357">
        <v>0</v>
      </c>
      <c r="CG198" s="357">
        <v>0</v>
      </c>
      <c r="CH198" s="357">
        <v>4491844</v>
      </c>
      <c r="CI198" s="357">
        <v>4515676</v>
      </c>
      <c r="CJ198" s="357">
        <v>0</v>
      </c>
      <c r="CK198" s="357">
        <v>0</v>
      </c>
      <c r="CL198" s="357">
        <v>0</v>
      </c>
      <c r="CM198" s="357">
        <v>0</v>
      </c>
      <c r="CN198" s="357">
        <v>0</v>
      </c>
      <c r="CO198" s="357">
        <v>4515676</v>
      </c>
      <c r="CP198" s="357">
        <v>0</v>
      </c>
      <c r="CQ198" s="357">
        <v>0</v>
      </c>
      <c r="CR198" s="357">
        <v>4515676</v>
      </c>
      <c r="CS198" s="357">
        <v>104675</v>
      </c>
      <c r="CT198" s="357">
        <v>0</v>
      </c>
      <c r="CU198" s="357">
        <v>0</v>
      </c>
      <c r="CV198" s="357">
        <v>104675</v>
      </c>
      <c r="CW198" s="357">
        <v>50614</v>
      </c>
      <c r="CX198" s="357">
        <v>0</v>
      </c>
      <c r="CY198" s="357">
        <v>0</v>
      </c>
      <c r="CZ198" s="357">
        <v>50614</v>
      </c>
      <c r="DA198" s="357">
        <v>0</v>
      </c>
      <c r="DB198" s="357">
        <v>0</v>
      </c>
      <c r="DC198" s="357">
        <v>0</v>
      </c>
      <c r="DD198" s="357">
        <v>0</v>
      </c>
      <c r="DE198" s="357">
        <v>0</v>
      </c>
      <c r="DF198" s="357">
        <v>0</v>
      </c>
      <c r="DG198" s="357">
        <v>0</v>
      </c>
      <c r="DH198" s="357">
        <v>0</v>
      </c>
      <c r="DI198" s="357">
        <v>0</v>
      </c>
      <c r="DJ198" s="357">
        <v>0</v>
      </c>
      <c r="DK198" s="357">
        <v>0</v>
      </c>
      <c r="DL198" s="357">
        <v>0</v>
      </c>
      <c r="DM198" s="357">
        <v>0</v>
      </c>
      <c r="DN198" s="357">
        <v>0</v>
      </c>
      <c r="DO198" s="357">
        <v>0</v>
      </c>
      <c r="DP198" s="357">
        <v>0</v>
      </c>
      <c r="DQ198" s="357">
        <v>155289</v>
      </c>
      <c r="DR198" s="357">
        <v>0</v>
      </c>
      <c r="DS198" s="357">
        <v>0</v>
      </c>
      <c r="DT198" s="357">
        <v>0</v>
      </c>
      <c r="DU198" s="357">
        <v>0</v>
      </c>
      <c r="DV198" s="357">
        <v>0</v>
      </c>
      <c r="DW198" s="357">
        <v>155289</v>
      </c>
      <c r="DX198" s="357">
        <v>0</v>
      </c>
      <c r="DY198" s="357">
        <v>0</v>
      </c>
      <c r="DZ198" s="357">
        <v>155289</v>
      </c>
      <c r="EA198" s="357">
        <v>0</v>
      </c>
      <c r="EB198" s="357">
        <v>0</v>
      </c>
      <c r="EC198" s="357">
        <v>0</v>
      </c>
      <c r="ED198" s="357">
        <v>0</v>
      </c>
      <c r="EE198" s="357">
        <v>0</v>
      </c>
      <c r="EF198" s="357">
        <v>0</v>
      </c>
      <c r="EG198" s="357">
        <v>52013</v>
      </c>
      <c r="EH198" s="357">
        <v>0</v>
      </c>
      <c r="EI198" s="357">
        <v>0</v>
      </c>
      <c r="EJ198" s="357">
        <v>52013</v>
      </c>
      <c r="EK198" s="357">
        <v>1079000</v>
      </c>
      <c r="EL198" s="357">
        <v>0</v>
      </c>
      <c r="EM198" s="357">
        <v>0</v>
      </c>
      <c r="EN198" s="357">
        <v>1079000</v>
      </c>
      <c r="EO198" s="357">
        <v>1131013</v>
      </c>
      <c r="EP198" s="357">
        <v>0</v>
      </c>
      <c r="EQ198" s="357">
        <v>0</v>
      </c>
      <c r="ER198" s="357">
        <v>0</v>
      </c>
      <c r="ES198" s="357">
        <v>0</v>
      </c>
      <c r="ET198" s="357">
        <v>0</v>
      </c>
      <c r="EU198" s="357">
        <v>1131013</v>
      </c>
      <c r="EV198" s="357">
        <v>0</v>
      </c>
      <c r="EW198" s="357">
        <v>0</v>
      </c>
      <c r="EX198" s="357">
        <v>1131013</v>
      </c>
      <c r="EY198" s="357">
        <v>79305927</v>
      </c>
      <c r="EZ198" s="357">
        <v>0</v>
      </c>
      <c r="FA198" s="357">
        <v>0</v>
      </c>
      <c r="FB198" s="357">
        <v>79305927</v>
      </c>
      <c r="FC198" s="277">
        <v>0</v>
      </c>
      <c r="FD198" s="205"/>
    </row>
    <row r="199" spans="1:160" ht="12.75">
      <c r="A199" s="169">
        <v>192</v>
      </c>
      <c r="B199" s="172" t="s">
        <v>313</v>
      </c>
      <c r="C199" s="258" t="s">
        <v>314</v>
      </c>
      <c r="D199" s="235">
        <v>41589</v>
      </c>
      <c r="E199" s="357">
        <v>302155750</v>
      </c>
      <c r="F199" s="357">
        <v>14788288</v>
      </c>
      <c r="G199" s="357">
        <v>8402000</v>
      </c>
      <c r="H199" s="357">
        <v>325346038</v>
      </c>
      <c r="I199" s="357">
        <v>142315358</v>
      </c>
      <c r="J199" s="357">
        <v>6965284</v>
      </c>
      <c r="K199" s="357">
        <v>3957342</v>
      </c>
      <c r="L199" s="357">
        <v>0</v>
      </c>
      <c r="M199" s="357">
        <v>0</v>
      </c>
      <c r="N199" s="357">
        <v>0</v>
      </c>
      <c r="O199" s="357">
        <v>142315358</v>
      </c>
      <c r="P199" s="357">
        <v>6965284</v>
      </c>
      <c r="Q199" s="357">
        <v>3957342</v>
      </c>
      <c r="R199" s="357">
        <v>153237984</v>
      </c>
      <c r="S199" s="357">
        <v>17193</v>
      </c>
      <c r="T199" s="357">
        <v>6250</v>
      </c>
      <c r="U199" s="357">
        <v>0</v>
      </c>
      <c r="V199" s="357">
        <v>23443</v>
      </c>
      <c r="W199" s="357">
        <v>175718</v>
      </c>
      <c r="X199" s="357">
        <v>37500</v>
      </c>
      <c r="Y199" s="357">
        <v>0</v>
      </c>
      <c r="Z199" s="357">
        <v>213218</v>
      </c>
      <c r="AA199" s="357">
        <v>-158525</v>
      </c>
      <c r="AB199" s="357">
        <v>-31250</v>
      </c>
      <c r="AC199" s="357">
        <v>0</v>
      </c>
      <c r="AD199" s="357">
        <v>0</v>
      </c>
      <c r="AE199" s="357">
        <v>0</v>
      </c>
      <c r="AF199" s="357">
        <v>0</v>
      </c>
      <c r="AG199" s="357">
        <v>-158525</v>
      </c>
      <c r="AH199" s="357">
        <v>-31250</v>
      </c>
      <c r="AI199" s="357">
        <v>0</v>
      </c>
      <c r="AJ199" s="357">
        <v>-189775</v>
      </c>
      <c r="AK199" s="357">
        <v>-158525</v>
      </c>
      <c r="AL199" s="357">
        <v>-31250</v>
      </c>
      <c r="AM199" s="357">
        <v>0</v>
      </c>
      <c r="AN199" s="357">
        <v>-189775</v>
      </c>
      <c r="AO199" s="357">
        <v>4795000</v>
      </c>
      <c r="AP199" s="357">
        <v>205000</v>
      </c>
      <c r="AQ199" s="357">
        <v>2650</v>
      </c>
      <c r="AR199" s="357">
        <v>5002650</v>
      </c>
      <c r="AS199" s="357">
        <v>95000</v>
      </c>
      <c r="AT199" s="357">
        <v>5000</v>
      </c>
      <c r="AU199" s="357">
        <v>0</v>
      </c>
      <c r="AV199" s="357">
        <v>100000</v>
      </c>
      <c r="AW199" s="357">
        <v>2530722</v>
      </c>
      <c r="AX199" s="357">
        <v>81335</v>
      </c>
      <c r="AY199" s="357">
        <v>94422</v>
      </c>
      <c r="AZ199" s="357">
        <v>2706479</v>
      </c>
      <c r="BA199" s="357">
        <v>2264278</v>
      </c>
      <c r="BB199" s="357">
        <v>123665</v>
      </c>
      <c r="BC199" s="357">
        <v>-91772</v>
      </c>
      <c r="BD199" s="357">
        <v>2296171</v>
      </c>
      <c r="BE199" s="357">
        <v>13012800</v>
      </c>
      <c r="BF199" s="357">
        <v>7200</v>
      </c>
      <c r="BG199" s="357">
        <v>0</v>
      </c>
      <c r="BH199" s="357">
        <v>13020000</v>
      </c>
      <c r="BI199" s="357">
        <v>44868</v>
      </c>
      <c r="BJ199" s="357">
        <v>0</v>
      </c>
      <c r="BK199" s="357">
        <v>0</v>
      </c>
      <c r="BL199" s="357">
        <v>44868</v>
      </c>
      <c r="BM199" s="357">
        <v>0</v>
      </c>
      <c r="BN199" s="357">
        <v>0</v>
      </c>
      <c r="BO199" s="357">
        <v>0</v>
      </c>
      <c r="BP199" s="357">
        <v>0</v>
      </c>
      <c r="BQ199" s="357">
        <v>15321946</v>
      </c>
      <c r="BR199" s="357">
        <v>130865</v>
      </c>
      <c r="BS199" s="357">
        <v>-91772</v>
      </c>
      <c r="BT199" s="357">
        <v>0</v>
      </c>
      <c r="BU199" s="357">
        <v>0</v>
      </c>
      <c r="BV199" s="357">
        <v>0</v>
      </c>
      <c r="BW199" s="357">
        <v>15321946</v>
      </c>
      <c r="BX199" s="357">
        <v>130865</v>
      </c>
      <c r="BY199" s="357">
        <v>-91772</v>
      </c>
      <c r="BZ199" s="357">
        <v>15361039</v>
      </c>
      <c r="CA199" s="357">
        <v>275000</v>
      </c>
      <c r="CB199" s="357">
        <v>15000</v>
      </c>
      <c r="CC199" s="357">
        <v>10000</v>
      </c>
      <c r="CD199" s="357">
        <v>300000</v>
      </c>
      <c r="CE199" s="357">
        <v>6209000</v>
      </c>
      <c r="CF199" s="357">
        <v>491000</v>
      </c>
      <c r="CG199" s="357">
        <v>0</v>
      </c>
      <c r="CH199" s="357">
        <v>6700000</v>
      </c>
      <c r="CI199" s="357">
        <v>6484000</v>
      </c>
      <c r="CJ199" s="357">
        <v>506000</v>
      </c>
      <c r="CK199" s="357">
        <v>10000</v>
      </c>
      <c r="CL199" s="357">
        <v>0</v>
      </c>
      <c r="CM199" s="357">
        <v>0</v>
      </c>
      <c r="CN199" s="357">
        <v>0</v>
      </c>
      <c r="CO199" s="357">
        <v>6484000</v>
      </c>
      <c r="CP199" s="357">
        <v>506000</v>
      </c>
      <c r="CQ199" s="357">
        <v>10000</v>
      </c>
      <c r="CR199" s="357">
        <v>7000000</v>
      </c>
      <c r="CS199" s="357">
        <v>158323</v>
      </c>
      <c r="CT199" s="357">
        <v>1677</v>
      </c>
      <c r="CU199" s="357">
        <v>0</v>
      </c>
      <c r="CV199" s="357">
        <v>160000</v>
      </c>
      <c r="CW199" s="357">
        <v>239000</v>
      </c>
      <c r="CX199" s="357">
        <v>261000</v>
      </c>
      <c r="CY199" s="357">
        <v>0</v>
      </c>
      <c r="CZ199" s="357">
        <v>500000</v>
      </c>
      <c r="DA199" s="357">
        <v>801</v>
      </c>
      <c r="DB199" s="357">
        <v>0</v>
      </c>
      <c r="DC199" s="357">
        <v>0</v>
      </c>
      <c r="DD199" s="357">
        <v>801</v>
      </c>
      <c r="DE199" s="357">
        <v>0</v>
      </c>
      <c r="DF199" s="357">
        <v>0</v>
      </c>
      <c r="DG199" s="357">
        <v>0</v>
      </c>
      <c r="DH199" s="357">
        <v>0</v>
      </c>
      <c r="DI199" s="357">
        <v>0</v>
      </c>
      <c r="DJ199" s="357">
        <v>0</v>
      </c>
      <c r="DK199" s="357">
        <v>0</v>
      </c>
      <c r="DL199" s="357">
        <v>0</v>
      </c>
      <c r="DM199" s="357">
        <v>0</v>
      </c>
      <c r="DN199" s="357">
        <v>0</v>
      </c>
      <c r="DO199" s="357">
        <v>0</v>
      </c>
      <c r="DP199" s="357">
        <v>0</v>
      </c>
      <c r="DQ199" s="357">
        <v>398124</v>
      </c>
      <c r="DR199" s="357">
        <v>262677</v>
      </c>
      <c r="DS199" s="357">
        <v>0</v>
      </c>
      <c r="DT199" s="357">
        <v>0</v>
      </c>
      <c r="DU199" s="357">
        <v>0</v>
      </c>
      <c r="DV199" s="357">
        <v>0</v>
      </c>
      <c r="DW199" s="357">
        <v>398124</v>
      </c>
      <c r="DX199" s="357">
        <v>262677</v>
      </c>
      <c r="DY199" s="357">
        <v>0</v>
      </c>
      <c r="DZ199" s="357">
        <v>660801</v>
      </c>
      <c r="EA199" s="357">
        <v>55000</v>
      </c>
      <c r="EB199" s="357">
        <v>0</v>
      </c>
      <c r="EC199" s="357">
        <v>161500</v>
      </c>
      <c r="ED199" s="357">
        <v>8500</v>
      </c>
      <c r="EE199" s="357">
        <v>0</v>
      </c>
      <c r="EF199" s="357">
        <v>170000</v>
      </c>
      <c r="EG199" s="357">
        <v>104500</v>
      </c>
      <c r="EH199" s="357">
        <v>5500</v>
      </c>
      <c r="EI199" s="357">
        <v>0</v>
      </c>
      <c r="EJ199" s="357">
        <v>110000</v>
      </c>
      <c r="EK199" s="357">
        <v>949000</v>
      </c>
      <c r="EL199" s="357">
        <v>50000</v>
      </c>
      <c r="EM199" s="357">
        <v>1000</v>
      </c>
      <c r="EN199" s="357">
        <v>1000000</v>
      </c>
      <c r="EO199" s="357">
        <v>1215000</v>
      </c>
      <c r="EP199" s="357">
        <v>64000</v>
      </c>
      <c r="EQ199" s="357">
        <v>1000</v>
      </c>
      <c r="ER199" s="357">
        <v>0</v>
      </c>
      <c r="ES199" s="357">
        <v>0</v>
      </c>
      <c r="ET199" s="357">
        <v>0</v>
      </c>
      <c r="EU199" s="357">
        <v>1215000</v>
      </c>
      <c r="EV199" s="357">
        <v>64000</v>
      </c>
      <c r="EW199" s="357">
        <v>1000</v>
      </c>
      <c r="EX199" s="357">
        <v>1280000</v>
      </c>
      <c r="EY199" s="357">
        <v>119054813</v>
      </c>
      <c r="EZ199" s="357">
        <v>6032992</v>
      </c>
      <c r="FA199" s="357">
        <v>4038114</v>
      </c>
      <c r="FB199" s="357">
        <v>129125919</v>
      </c>
      <c r="FC199" s="277">
        <v>0</v>
      </c>
      <c r="FD199" s="205"/>
    </row>
    <row r="200" spans="1:160" ht="12.75">
      <c r="A200" s="169">
        <v>193</v>
      </c>
      <c r="B200" s="172" t="s">
        <v>315</v>
      </c>
      <c r="C200" s="258" t="s">
        <v>316</v>
      </c>
      <c r="D200" s="235">
        <v>41652</v>
      </c>
      <c r="E200" s="357">
        <v>83807767</v>
      </c>
      <c r="F200" s="357">
        <v>0</v>
      </c>
      <c r="G200" s="357">
        <v>0</v>
      </c>
      <c r="H200" s="357">
        <v>83807767</v>
      </c>
      <c r="I200" s="357">
        <v>39473458</v>
      </c>
      <c r="J200" s="357">
        <v>0</v>
      </c>
      <c r="K200" s="357">
        <v>0</v>
      </c>
      <c r="L200" s="357">
        <v>199722</v>
      </c>
      <c r="M200" s="357">
        <v>0</v>
      </c>
      <c r="N200" s="357">
        <v>0</v>
      </c>
      <c r="O200" s="357">
        <v>39673180</v>
      </c>
      <c r="P200" s="357">
        <v>0</v>
      </c>
      <c r="Q200" s="357">
        <v>0</v>
      </c>
      <c r="R200" s="357">
        <v>39673180</v>
      </c>
      <c r="S200" s="357">
        <v>17197</v>
      </c>
      <c r="T200" s="357">
        <v>0</v>
      </c>
      <c r="U200" s="357">
        <v>0</v>
      </c>
      <c r="V200" s="357">
        <v>17197</v>
      </c>
      <c r="W200" s="357">
        <v>6223</v>
      </c>
      <c r="X200" s="357">
        <v>0</v>
      </c>
      <c r="Y200" s="357">
        <v>0</v>
      </c>
      <c r="Z200" s="357">
        <v>6223</v>
      </c>
      <c r="AA200" s="357">
        <v>10974</v>
      </c>
      <c r="AB200" s="357">
        <v>0</v>
      </c>
      <c r="AC200" s="357">
        <v>0</v>
      </c>
      <c r="AD200" s="357">
        <v>0</v>
      </c>
      <c r="AE200" s="357">
        <v>0</v>
      </c>
      <c r="AF200" s="357">
        <v>0</v>
      </c>
      <c r="AG200" s="357">
        <v>10974</v>
      </c>
      <c r="AH200" s="357">
        <v>0</v>
      </c>
      <c r="AI200" s="357">
        <v>0</v>
      </c>
      <c r="AJ200" s="357">
        <v>10974</v>
      </c>
      <c r="AK200" s="357">
        <v>10974</v>
      </c>
      <c r="AL200" s="357">
        <v>0</v>
      </c>
      <c r="AM200" s="357">
        <v>0</v>
      </c>
      <c r="AN200" s="357">
        <v>10974</v>
      </c>
      <c r="AO200" s="357">
        <v>1721360</v>
      </c>
      <c r="AP200" s="357">
        <v>0</v>
      </c>
      <c r="AQ200" s="357">
        <v>0</v>
      </c>
      <c r="AR200" s="357">
        <v>1721360</v>
      </c>
      <c r="AS200" s="357">
        <v>0</v>
      </c>
      <c r="AT200" s="357">
        <v>0</v>
      </c>
      <c r="AU200" s="357">
        <v>0</v>
      </c>
      <c r="AV200" s="357">
        <v>0</v>
      </c>
      <c r="AW200" s="357">
        <v>785583</v>
      </c>
      <c r="AX200" s="357">
        <v>0</v>
      </c>
      <c r="AY200" s="357">
        <v>0</v>
      </c>
      <c r="AZ200" s="357">
        <v>785583</v>
      </c>
      <c r="BA200" s="357">
        <v>935777</v>
      </c>
      <c r="BB200" s="357">
        <v>0</v>
      </c>
      <c r="BC200" s="357">
        <v>0</v>
      </c>
      <c r="BD200" s="357">
        <v>935777</v>
      </c>
      <c r="BE200" s="357">
        <v>1734948</v>
      </c>
      <c r="BF200" s="357">
        <v>0</v>
      </c>
      <c r="BG200" s="357">
        <v>0</v>
      </c>
      <c r="BH200" s="357">
        <v>1734948</v>
      </c>
      <c r="BI200" s="357">
        <v>7712</v>
      </c>
      <c r="BJ200" s="357">
        <v>0</v>
      </c>
      <c r="BK200" s="357">
        <v>0</v>
      </c>
      <c r="BL200" s="357">
        <v>7712</v>
      </c>
      <c r="BM200" s="357">
        <v>0</v>
      </c>
      <c r="BN200" s="357">
        <v>0</v>
      </c>
      <c r="BO200" s="357">
        <v>0</v>
      </c>
      <c r="BP200" s="357">
        <v>0</v>
      </c>
      <c r="BQ200" s="357">
        <v>2678437</v>
      </c>
      <c r="BR200" s="357">
        <v>0</v>
      </c>
      <c r="BS200" s="357">
        <v>0</v>
      </c>
      <c r="BT200" s="357">
        <v>208588</v>
      </c>
      <c r="BU200" s="357">
        <v>0</v>
      </c>
      <c r="BV200" s="357">
        <v>0</v>
      </c>
      <c r="BW200" s="357">
        <v>2887025</v>
      </c>
      <c r="BX200" s="357">
        <v>0</v>
      </c>
      <c r="BY200" s="357">
        <v>0</v>
      </c>
      <c r="BZ200" s="357">
        <v>2887025</v>
      </c>
      <c r="CA200" s="357">
        <v>50000</v>
      </c>
      <c r="CB200" s="357">
        <v>0</v>
      </c>
      <c r="CC200" s="357">
        <v>0</v>
      </c>
      <c r="CD200" s="357">
        <v>50000</v>
      </c>
      <c r="CE200" s="357">
        <v>1100000</v>
      </c>
      <c r="CF200" s="357">
        <v>0</v>
      </c>
      <c r="CG200" s="357">
        <v>0</v>
      </c>
      <c r="CH200" s="357">
        <v>1100000</v>
      </c>
      <c r="CI200" s="357">
        <v>1150000</v>
      </c>
      <c r="CJ200" s="357">
        <v>0</v>
      </c>
      <c r="CK200" s="357">
        <v>0</v>
      </c>
      <c r="CL200" s="357">
        <v>0</v>
      </c>
      <c r="CM200" s="357">
        <v>0</v>
      </c>
      <c r="CN200" s="357">
        <v>0</v>
      </c>
      <c r="CO200" s="357">
        <v>1150000</v>
      </c>
      <c r="CP200" s="357">
        <v>0</v>
      </c>
      <c r="CQ200" s="357">
        <v>0</v>
      </c>
      <c r="CR200" s="357">
        <v>1150000</v>
      </c>
      <c r="CS200" s="357">
        <v>54413</v>
      </c>
      <c r="CT200" s="357">
        <v>0</v>
      </c>
      <c r="CU200" s="357">
        <v>0</v>
      </c>
      <c r="CV200" s="357">
        <v>54413</v>
      </c>
      <c r="CW200" s="357">
        <v>44051</v>
      </c>
      <c r="CX200" s="357">
        <v>0</v>
      </c>
      <c r="CY200" s="357">
        <v>0</v>
      </c>
      <c r="CZ200" s="357">
        <v>44051</v>
      </c>
      <c r="DA200" s="357">
        <v>0</v>
      </c>
      <c r="DB200" s="357">
        <v>0</v>
      </c>
      <c r="DC200" s="357">
        <v>0</v>
      </c>
      <c r="DD200" s="357">
        <v>0</v>
      </c>
      <c r="DE200" s="357">
        <v>0</v>
      </c>
      <c r="DF200" s="357">
        <v>0</v>
      </c>
      <c r="DG200" s="357">
        <v>0</v>
      </c>
      <c r="DH200" s="357">
        <v>0</v>
      </c>
      <c r="DI200" s="357">
        <v>0</v>
      </c>
      <c r="DJ200" s="357">
        <v>0</v>
      </c>
      <c r="DK200" s="357">
        <v>0</v>
      </c>
      <c r="DL200" s="357">
        <v>0</v>
      </c>
      <c r="DM200" s="357">
        <v>50000</v>
      </c>
      <c r="DN200" s="357">
        <v>0</v>
      </c>
      <c r="DO200" s="357">
        <v>0</v>
      </c>
      <c r="DP200" s="357">
        <v>50000</v>
      </c>
      <c r="DQ200" s="357">
        <v>148464</v>
      </c>
      <c r="DR200" s="357">
        <v>0</v>
      </c>
      <c r="DS200" s="357">
        <v>0</v>
      </c>
      <c r="DT200" s="357">
        <v>0</v>
      </c>
      <c r="DU200" s="357">
        <v>0</v>
      </c>
      <c r="DV200" s="357">
        <v>0</v>
      </c>
      <c r="DW200" s="357">
        <v>148464</v>
      </c>
      <c r="DX200" s="357">
        <v>0</v>
      </c>
      <c r="DY200" s="357">
        <v>0</v>
      </c>
      <c r="DZ200" s="357">
        <v>148464</v>
      </c>
      <c r="EA200" s="357">
        <v>0</v>
      </c>
      <c r="EB200" s="357">
        <v>0</v>
      </c>
      <c r="EC200" s="357">
        <v>0</v>
      </c>
      <c r="ED200" s="357">
        <v>0</v>
      </c>
      <c r="EE200" s="357">
        <v>0</v>
      </c>
      <c r="EF200" s="357">
        <v>0</v>
      </c>
      <c r="EG200" s="357">
        <v>0</v>
      </c>
      <c r="EH200" s="357">
        <v>0</v>
      </c>
      <c r="EI200" s="357">
        <v>0</v>
      </c>
      <c r="EJ200" s="357">
        <v>0</v>
      </c>
      <c r="EK200" s="357">
        <v>571000</v>
      </c>
      <c r="EL200" s="357">
        <v>0</v>
      </c>
      <c r="EM200" s="357">
        <v>0</v>
      </c>
      <c r="EN200" s="357">
        <v>571000</v>
      </c>
      <c r="EO200" s="357">
        <v>571000</v>
      </c>
      <c r="EP200" s="357">
        <v>0</v>
      </c>
      <c r="EQ200" s="357">
        <v>0</v>
      </c>
      <c r="ER200" s="357">
        <v>0</v>
      </c>
      <c r="ES200" s="357">
        <v>0</v>
      </c>
      <c r="ET200" s="357">
        <v>0</v>
      </c>
      <c r="EU200" s="357">
        <v>571000</v>
      </c>
      <c r="EV200" s="357">
        <v>0</v>
      </c>
      <c r="EW200" s="357">
        <v>0</v>
      </c>
      <c r="EX200" s="357">
        <v>571000</v>
      </c>
      <c r="EY200" s="357">
        <v>34905717</v>
      </c>
      <c r="EZ200" s="357">
        <v>0</v>
      </c>
      <c r="FA200" s="357">
        <v>0</v>
      </c>
      <c r="FB200" s="357">
        <v>34905717</v>
      </c>
      <c r="FC200" s="277">
        <v>0</v>
      </c>
      <c r="FD200" s="205"/>
    </row>
    <row r="201" spans="1:160" ht="12.75">
      <c r="A201" s="169">
        <v>194</v>
      </c>
      <c r="B201" s="172" t="s">
        <v>317</v>
      </c>
      <c r="C201" s="258" t="s">
        <v>318</v>
      </c>
      <c r="D201" s="235">
        <v>41639</v>
      </c>
      <c r="E201" s="357">
        <v>31403943</v>
      </c>
      <c r="F201" s="357">
        <v>0</v>
      </c>
      <c r="G201" s="357">
        <v>0</v>
      </c>
      <c r="H201" s="357">
        <v>31403943</v>
      </c>
      <c r="I201" s="357">
        <v>14791257</v>
      </c>
      <c r="J201" s="357">
        <v>0</v>
      </c>
      <c r="K201" s="357">
        <v>0</v>
      </c>
      <c r="L201" s="357">
        <v>0</v>
      </c>
      <c r="M201" s="357">
        <v>0</v>
      </c>
      <c r="N201" s="357">
        <v>0</v>
      </c>
      <c r="O201" s="357">
        <v>14791257</v>
      </c>
      <c r="P201" s="357">
        <v>0</v>
      </c>
      <c r="Q201" s="357">
        <v>0</v>
      </c>
      <c r="R201" s="357">
        <v>14791257</v>
      </c>
      <c r="S201" s="357">
        <v>1000</v>
      </c>
      <c r="T201" s="357">
        <v>0</v>
      </c>
      <c r="U201" s="357">
        <v>0</v>
      </c>
      <c r="V201" s="357">
        <v>1000</v>
      </c>
      <c r="W201" s="357">
        <v>2000</v>
      </c>
      <c r="X201" s="357">
        <v>0</v>
      </c>
      <c r="Y201" s="357">
        <v>0</v>
      </c>
      <c r="Z201" s="357">
        <v>2000</v>
      </c>
      <c r="AA201" s="357">
        <v>-1000</v>
      </c>
      <c r="AB201" s="357">
        <v>0</v>
      </c>
      <c r="AC201" s="357">
        <v>0</v>
      </c>
      <c r="AD201" s="357">
        <v>0</v>
      </c>
      <c r="AE201" s="357">
        <v>0</v>
      </c>
      <c r="AF201" s="357">
        <v>0</v>
      </c>
      <c r="AG201" s="357">
        <v>-1000</v>
      </c>
      <c r="AH201" s="357">
        <v>0</v>
      </c>
      <c r="AI201" s="357">
        <v>0</v>
      </c>
      <c r="AJ201" s="357">
        <v>-1000</v>
      </c>
      <c r="AK201" s="357">
        <v>-1000</v>
      </c>
      <c r="AL201" s="357">
        <v>0</v>
      </c>
      <c r="AM201" s="357">
        <v>0</v>
      </c>
      <c r="AN201" s="357">
        <v>-1000</v>
      </c>
      <c r="AO201" s="357">
        <v>940525</v>
      </c>
      <c r="AP201" s="357">
        <v>0</v>
      </c>
      <c r="AQ201" s="357">
        <v>0</v>
      </c>
      <c r="AR201" s="357">
        <v>940525</v>
      </c>
      <c r="AS201" s="357">
        <v>10000</v>
      </c>
      <c r="AT201" s="357">
        <v>0</v>
      </c>
      <c r="AU201" s="357">
        <v>0</v>
      </c>
      <c r="AV201" s="357">
        <v>10000</v>
      </c>
      <c r="AW201" s="357">
        <v>277342</v>
      </c>
      <c r="AX201" s="357">
        <v>0</v>
      </c>
      <c r="AY201" s="357">
        <v>0</v>
      </c>
      <c r="AZ201" s="357">
        <v>277342</v>
      </c>
      <c r="BA201" s="357">
        <v>663183</v>
      </c>
      <c r="BB201" s="357">
        <v>0</v>
      </c>
      <c r="BC201" s="357">
        <v>0</v>
      </c>
      <c r="BD201" s="357">
        <v>663183</v>
      </c>
      <c r="BE201" s="357">
        <v>1430699</v>
      </c>
      <c r="BF201" s="357">
        <v>0</v>
      </c>
      <c r="BG201" s="357">
        <v>0</v>
      </c>
      <c r="BH201" s="357">
        <v>1430699</v>
      </c>
      <c r="BI201" s="357">
        <v>0</v>
      </c>
      <c r="BJ201" s="357">
        <v>0</v>
      </c>
      <c r="BK201" s="357">
        <v>0</v>
      </c>
      <c r="BL201" s="357">
        <v>0</v>
      </c>
      <c r="BM201" s="357">
        <v>0</v>
      </c>
      <c r="BN201" s="357">
        <v>0</v>
      </c>
      <c r="BO201" s="357">
        <v>0</v>
      </c>
      <c r="BP201" s="357">
        <v>0</v>
      </c>
      <c r="BQ201" s="357">
        <v>2093882</v>
      </c>
      <c r="BR201" s="357">
        <v>0</v>
      </c>
      <c r="BS201" s="357">
        <v>0</v>
      </c>
      <c r="BT201" s="357">
        <v>0</v>
      </c>
      <c r="BU201" s="357">
        <v>0</v>
      </c>
      <c r="BV201" s="357">
        <v>0</v>
      </c>
      <c r="BW201" s="357">
        <v>2093882</v>
      </c>
      <c r="BX201" s="357">
        <v>0</v>
      </c>
      <c r="BY201" s="357">
        <v>0</v>
      </c>
      <c r="BZ201" s="357">
        <v>2093882</v>
      </c>
      <c r="CA201" s="357">
        <v>10000</v>
      </c>
      <c r="CB201" s="357">
        <v>0</v>
      </c>
      <c r="CC201" s="357">
        <v>0</v>
      </c>
      <c r="CD201" s="357">
        <v>10000</v>
      </c>
      <c r="CE201" s="357">
        <v>469200</v>
      </c>
      <c r="CF201" s="357">
        <v>0</v>
      </c>
      <c r="CG201" s="357">
        <v>0</v>
      </c>
      <c r="CH201" s="357">
        <v>469200</v>
      </c>
      <c r="CI201" s="357">
        <v>479200</v>
      </c>
      <c r="CJ201" s="357">
        <v>0</v>
      </c>
      <c r="CK201" s="357">
        <v>0</v>
      </c>
      <c r="CL201" s="357">
        <v>0</v>
      </c>
      <c r="CM201" s="357">
        <v>0</v>
      </c>
      <c r="CN201" s="357">
        <v>0</v>
      </c>
      <c r="CO201" s="357">
        <v>479200</v>
      </c>
      <c r="CP201" s="357">
        <v>0</v>
      </c>
      <c r="CQ201" s="357">
        <v>0</v>
      </c>
      <c r="CR201" s="357">
        <v>479200</v>
      </c>
      <c r="CS201" s="357">
        <v>55425</v>
      </c>
      <c r="CT201" s="357">
        <v>0</v>
      </c>
      <c r="CU201" s="357">
        <v>0</v>
      </c>
      <c r="CV201" s="357">
        <v>55425</v>
      </c>
      <c r="CW201" s="357">
        <v>13155</v>
      </c>
      <c r="CX201" s="357">
        <v>0</v>
      </c>
      <c r="CY201" s="357">
        <v>0</v>
      </c>
      <c r="CZ201" s="357">
        <v>13155</v>
      </c>
      <c r="DA201" s="357">
        <v>0</v>
      </c>
      <c r="DB201" s="357">
        <v>0</v>
      </c>
      <c r="DC201" s="357">
        <v>0</v>
      </c>
      <c r="DD201" s="357">
        <v>0</v>
      </c>
      <c r="DE201" s="357">
        <v>0</v>
      </c>
      <c r="DF201" s="357">
        <v>0</v>
      </c>
      <c r="DG201" s="357">
        <v>0</v>
      </c>
      <c r="DH201" s="357">
        <v>0</v>
      </c>
      <c r="DI201" s="357">
        <v>0</v>
      </c>
      <c r="DJ201" s="357">
        <v>0</v>
      </c>
      <c r="DK201" s="357">
        <v>0</v>
      </c>
      <c r="DL201" s="357">
        <v>0</v>
      </c>
      <c r="DM201" s="357">
        <v>0</v>
      </c>
      <c r="DN201" s="357">
        <v>0</v>
      </c>
      <c r="DO201" s="357">
        <v>0</v>
      </c>
      <c r="DP201" s="357">
        <v>0</v>
      </c>
      <c r="DQ201" s="357">
        <v>68580</v>
      </c>
      <c r="DR201" s="357">
        <v>0</v>
      </c>
      <c r="DS201" s="357">
        <v>0</v>
      </c>
      <c r="DT201" s="357">
        <v>0</v>
      </c>
      <c r="DU201" s="357">
        <v>0</v>
      </c>
      <c r="DV201" s="357">
        <v>0</v>
      </c>
      <c r="DW201" s="357">
        <v>68580</v>
      </c>
      <c r="DX201" s="357">
        <v>0</v>
      </c>
      <c r="DY201" s="357">
        <v>0</v>
      </c>
      <c r="DZ201" s="357">
        <v>68580</v>
      </c>
      <c r="EA201" s="357">
        <v>0</v>
      </c>
      <c r="EB201" s="357">
        <v>0</v>
      </c>
      <c r="EC201" s="357">
        <v>0</v>
      </c>
      <c r="ED201" s="357">
        <v>0</v>
      </c>
      <c r="EE201" s="357">
        <v>0</v>
      </c>
      <c r="EF201" s="357">
        <v>0</v>
      </c>
      <c r="EG201" s="357">
        <v>10000</v>
      </c>
      <c r="EH201" s="357">
        <v>0</v>
      </c>
      <c r="EI201" s="357">
        <v>0</v>
      </c>
      <c r="EJ201" s="357">
        <v>10000</v>
      </c>
      <c r="EK201" s="357">
        <v>210994</v>
      </c>
      <c r="EL201" s="357">
        <v>0</v>
      </c>
      <c r="EM201" s="357">
        <v>0</v>
      </c>
      <c r="EN201" s="357">
        <v>210994</v>
      </c>
      <c r="EO201" s="357">
        <v>220994</v>
      </c>
      <c r="EP201" s="357">
        <v>0</v>
      </c>
      <c r="EQ201" s="357">
        <v>0</v>
      </c>
      <c r="ER201" s="357">
        <v>0</v>
      </c>
      <c r="ES201" s="357">
        <v>0</v>
      </c>
      <c r="ET201" s="357">
        <v>0</v>
      </c>
      <c r="EU201" s="357">
        <v>220994</v>
      </c>
      <c r="EV201" s="357">
        <v>0</v>
      </c>
      <c r="EW201" s="357">
        <v>0</v>
      </c>
      <c r="EX201" s="357">
        <v>220994</v>
      </c>
      <c r="EY201" s="357">
        <v>11929601</v>
      </c>
      <c r="EZ201" s="357">
        <v>0</v>
      </c>
      <c r="FA201" s="357">
        <v>0</v>
      </c>
      <c r="FB201" s="357">
        <v>11929601</v>
      </c>
      <c r="FC201" s="277">
        <v>0</v>
      </c>
      <c r="FD201" s="205"/>
    </row>
    <row r="202" spans="1:160" ht="12.75">
      <c r="A202" s="169">
        <v>195</v>
      </c>
      <c r="B202" s="172" t="s">
        <v>319</v>
      </c>
      <c r="C202" s="258" t="s">
        <v>320</v>
      </c>
      <c r="D202" s="235">
        <v>41639</v>
      </c>
      <c r="E202" s="357">
        <v>157166919</v>
      </c>
      <c r="F202" s="357">
        <v>0</v>
      </c>
      <c r="G202" s="357">
        <v>0</v>
      </c>
      <c r="H202" s="357">
        <v>157166919</v>
      </c>
      <c r="I202" s="357">
        <v>74025619</v>
      </c>
      <c r="J202" s="357">
        <v>0</v>
      </c>
      <c r="K202" s="357">
        <v>0</v>
      </c>
      <c r="L202" s="357">
        <v>94200</v>
      </c>
      <c r="M202" s="357">
        <v>0</v>
      </c>
      <c r="N202" s="357">
        <v>0</v>
      </c>
      <c r="O202" s="357">
        <v>74119819</v>
      </c>
      <c r="P202" s="357">
        <v>0</v>
      </c>
      <c r="Q202" s="357">
        <v>0</v>
      </c>
      <c r="R202" s="357">
        <v>74119819</v>
      </c>
      <c r="S202" s="357">
        <v>39639</v>
      </c>
      <c r="T202" s="357">
        <v>0</v>
      </c>
      <c r="U202" s="357">
        <v>0</v>
      </c>
      <c r="V202" s="357">
        <v>39639</v>
      </c>
      <c r="W202" s="357">
        <v>30263</v>
      </c>
      <c r="X202" s="357">
        <v>0</v>
      </c>
      <c r="Y202" s="357">
        <v>0</v>
      </c>
      <c r="Z202" s="357">
        <v>30263</v>
      </c>
      <c r="AA202" s="357">
        <v>9376</v>
      </c>
      <c r="AB202" s="357">
        <v>0</v>
      </c>
      <c r="AC202" s="357">
        <v>0</v>
      </c>
      <c r="AD202" s="357">
        <v>0</v>
      </c>
      <c r="AE202" s="357">
        <v>0</v>
      </c>
      <c r="AF202" s="357">
        <v>0</v>
      </c>
      <c r="AG202" s="357">
        <v>9376</v>
      </c>
      <c r="AH202" s="357">
        <v>0</v>
      </c>
      <c r="AI202" s="357">
        <v>0</v>
      </c>
      <c r="AJ202" s="357">
        <v>9376</v>
      </c>
      <c r="AK202" s="357">
        <v>9376</v>
      </c>
      <c r="AL202" s="357">
        <v>0</v>
      </c>
      <c r="AM202" s="357">
        <v>0</v>
      </c>
      <c r="AN202" s="357">
        <v>9376</v>
      </c>
      <c r="AO202" s="357">
        <v>5361524</v>
      </c>
      <c r="AP202" s="357">
        <v>0</v>
      </c>
      <c r="AQ202" s="357">
        <v>0</v>
      </c>
      <c r="AR202" s="357">
        <v>5361524</v>
      </c>
      <c r="AS202" s="357">
        <v>0</v>
      </c>
      <c r="AT202" s="357">
        <v>0</v>
      </c>
      <c r="AU202" s="357">
        <v>0</v>
      </c>
      <c r="AV202" s="357">
        <v>0</v>
      </c>
      <c r="AW202" s="357">
        <v>1427748</v>
      </c>
      <c r="AX202" s="357">
        <v>0</v>
      </c>
      <c r="AY202" s="357">
        <v>0</v>
      </c>
      <c r="AZ202" s="357">
        <v>1427748</v>
      </c>
      <c r="BA202" s="357">
        <v>3933776</v>
      </c>
      <c r="BB202" s="357">
        <v>0</v>
      </c>
      <c r="BC202" s="357">
        <v>0</v>
      </c>
      <c r="BD202" s="357">
        <v>3933776</v>
      </c>
      <c r="BE202" s="357">
        <v>5132385</v>
      </c>
      <c r="BF202" s="357">
        <v>0</v>
      </c>
      <c r="BG202" s="357">
        <v>0</v>
      </c>
      <c r="BH202" s="357">
        <v>5132385</v>
      </c>
      <c r="BI202" s="357">
        <v>87271</v>
      </c>
      <c r="BJ202" s="357">
        <v>0</v>
      </c>
      <c r="BK202" s="357">
        <v>0</v>
      </c>
      <c r="BL202" s="357">
        <v>87271</v>
      </c>
      <c r="BM202" s="357">
        <v>12098</v>
      </c>
      <c r="BN202" s="357">
        <v>0</v>
      </c>
      <c r="BO202" s="357">
        <v>0</v>
      </c>
      <c r="BP202" s="357">
        <v>12098</v>
      </c>
      <c r="BQ202" s="357">
        <v>9165530</v>
      </c>
      <c r="BR202" s="357">
        <v>0</v>
      </c>
      <c r="BS202" s="357">
        <v>0</v>
      </c>
      <c r="BT202" s="357">
        <v>0</v>
      </c>
      <c r="BU202" s="357">
        <v>0</v>
      </c>
      <c r="BV202" s="357">
        <v>0</v>
      </c>
      <c r="BW202" s="357">
        <v>9165530</v>
      </c>
      <c r="BX202" s="357">
        <v>0</v>
      </c>
      <c r="BY202" s="357">
        <v>0</v>
      </c>
      <c r="BZ202" s="357">
        <v>9165530</v>
      </c>
      <c r="CA202" s="357">
        <v>20000</v>
      </c>
      <c r="CB202" s="357">
        <v>0</v>
      </c>
      <c r="CC202" s="357">
        <v>0</v>
      </c>
      <c r="CD202" s="357">
        <v>20000</v>
      </c>
      <c r="CE202" s="357">
        <v>3822258</v>
      </c>
      <c r="CF202" s="357">
        <v>0</v>
      </c>
      <c r="CG202" s="357">
        <v>0</v>
      </c>
      <c r="CH202" s="357">
        <v>3822258</v>
      </c>
      <c r="CI202" s="357">
        <v>3842258</v>
      </c>
      <c r="CJ202" s="357">
        <v>0</v>
      </c>
      <c r="CK202" s="357">
        <v>0</v>
      </c>
      <c r="CL202" s="357">
        <v>0</v>
      </c>
      <c r="CM202" s="357">
        <v>0</v>
      </c>
      <c r="CN202" s="357">
        <v>0</v>
      </c>
      <c r="CO202" s="357">
        <v>3842258</v>
      </c>
      <c r="CP202" s="357">
        <v>0</v>
      </c>
      <c r="CQ202" s="357">
        <v>0</v>
      </c>
      <c r="CR202" s="357">
        <v>3842258</v>
      </c>
      <c r="CS202" s="357">
        <v>200370</v>
      </c>
      <c r="CT202" s="357">
        <v>0</v>
      </c>
      <c r="CU202" s="357">
        <v>0</v>
      </c>
      <c r="CV202" s="357">
        <v>200370</v>
      </c>
      <c r="CW202" s="357">
        <v>72512</v>
      </c>
      <c r="CX202" s="357">
        <v>0</v>
      </c>
      <c r="CY202" s="357">
        <v>0</v>
      </c>
      <c r="CZ202" s="357">
        <v>72512</v>
      </c>
      <c r="DA202" s="357">
        <v>345</v>
      </c>
      <c r="DB202" s="357">
        <v>0</v>
      </c>
      <c r="DC202" s="357">
        <v>0</v>
      </c>
      <c r="DD202" s="357">
        <v>345</v>
      </c>
      <c r="DE202" s="357">
        <v>1663</v>
      </c>
      <c r="DF202" s="357">
        <v>0</v>
      </c>
      <c r="DG202" s="357">
        <v>0</v>
      </c>
      <c r="DH202" s="357">
        <v>1663</v>
      </c>
      <c r="DI202" s="357">
        <v>0</v>
      </c>
      <c r="DJ202" s="357">
        <v>0</v>
      </c>
      <c r="DK202" s="357">
        <v>0</v>
      </c>
      <c r="DL202" s="357">
        <v>0</v>
      </c>
      <c r="DM202" s="357">
        <v>0</v>
      </c>
      <c r="DN202" s="357">
        <v>0</v>
      </c>
      <c r="DO202" s="357">
        <v>0</v>
      </c>
      <c r="DP202" s="357">
        <v>0</v>
      </c>
      <c r="DQ202" s="357">
        <v>274890</v>
      </c>
      <c r="DR202" s="357">
        <v>0</v>
      </c>
      <c r="DS202" s="357">
        <v>0</v>
      </c>
      <c r="DT202" s="357">
        <v>0</v>
      </c>
      <c r="DU202" s="357">
        <v>0</v>
      </c>
      <c r="DV202" s="357">
        <v>0</v>
      </c>
      <c r="DW202" s="357">
        <v>274890</v>
      </c>
      <c r="DX202" s="357">
        <v>0</v>
      </c>
      <c r="DY202" s="357">
        <v>0</v>
      </c>
      <c r="DZ202" s="357">
        <v>274890</v>
      </c>
      <c r="EA202" s="357">
        <v>0</v>
      </c>
      <c r="EB202" s="357">
        <v>0</v>
      </c>
      <c r="EC202" s="357">
        <v>4945</v>
      </c>
      <c r="ED202" s="357">
        <v>0</v>
      </c>
      <c r="EE202" s="357">
        <v>0</v>
      </c>
      <c r="EF202" s="357">
        <v>4945</v>
      </c>
      <c r="EG202" s="357">
        <v>40976</v>
      </c>
      <c r="EH202" s="357">
        <v>0</v>
      </c>
      <c r="EI202" s="357">
        <v>0</v>
      </c>
      <c r="EJ202" s="357">
        <v>40976</v>
      </c>
      <c r="EK202" s="357">
        <v>1027269</v>
      </c>
      <c r="EL202" s="357">
        <v>0</v>
      </c>
      <c r="EM202" s="357">
        <v>0</v>
      </c>
      <c r="EN202" s="357">
        <v>1027269</v>
      </c>
      <c r="EO202" s="357">
        <v>1073190</v>
      </c>
      <c r="EP202" s="357">
        <v>0</v>
      </c>
      <c r="EQ202" s="357">
        <v>0</v>
      </c>
      <c r="ER202" s="357">
        <v>0</v>
      </c>
      <c r="ES202" s="357">
        <v>0</v>
      </c>
      <c r="ET202" s="357">
        <v>0</v>
      </c>
      <c r="EU202" s="357">
        <v>1073190</v>
      </c>
      <c r="EV202" s="357">
        <v>0</v>
      </c>
      <c r="EW202" s="357">
        <v>0</v>
      </c>
      <c r="EX202" s="357">
        <v>1073190</v>
      </c>
      <c r="EY202" s="357">
        <v>59754575</v>
      </c>
      <c r="EZ202" s="357">
        <v>0</v>
      </c>
      <c r="FA202" s="357">
        <v>0</v>
      </c>
      <c r="FB202" s="357">
        <v>59754575</v>
      </c>
      <c r="FC202" s="277">
        <v>0</v>
      </c>
      <c r="FD202" s="205"/>
    </row>
    <row r="203" spans="1:160" ht="12.75">
      <c r="A203" s="169">
        <v>196</v>
      </c>
      <c r="B203" s="172" t="s">
        <v>321</v>
      </c>
      <c r="C203" s="258" t="s">
        <v>322</v>
      </c>
      <c r="D203" s="235">
        <v>200114</v>
      </c>
      <c r="E203" s="357">
        <v>230512162</v>
      </c>
      <c r="F203" s="357">
        <v>0</v>
      </c>
      <c r="G203" s="357">
        <v>0</v>
      </c>
      <c r="H203" s="357">
        <v>230512162</v>
      </c>
      <c r="I203" s="357">
        <v>108571228</v>
      </c>
      <c r="J203" s="357">
        <v>0</v>
      </c>
      <c r="K203" s="357">
        <v>0</v>
      </c>
      <c r="L203" s="357">
        <v>-406853</v>
      </c>
      <c r="M203" s="357">
        <v>0</v>
      </c>
      <c r="N203" s="357">
        <v>0</v>
      </c>
      <c r="O203" s="357">
        <v>108164375</v>
      </c>
      <c r="P203" s="357">
        <v>0</v>
      </c>
      <c r="Q203" s="357">
        <v>0</v>
      </c>
      <c r="R203" s="357">
        <v>108164375</v>
      </c>
      <c r="S203" s="357">
        <v>39828</v>
      </c>
      <c r="T203" s="357">
        <v>0</v>
      </c>
      <c r="U203" s="357">
        <v>0</v>
      </c>
      <c r="V203" s="357">
        <v>39828</v>
      </c>
      <c r="W203" s="357">
        <v>55880</v>
      </c>
      <c r="X203" s="357">
        <v>0</v>
      </c>
      <c r="Y203" s="357">
        <v>0</v>
      </c>
      <c r="Z203" s="357">
        <v>55880</v>
      </c>
      <c r="AA203" s="357">
        <v>-16052</v>
      </c>
      <c r="AB203" s="357">
        <v>0</v>
      </c>
      <c r="AC203" s="357">
        <v>0</v>
      </c>
      <c r="AD203" s="357">
        <v>0</v>
      </c>
      <c r="AE203" s="357">
        <v>0</v>
      </c>
      <c r="AF203" s="357">
        <v>0</v>
      </c>
      <c r="AG203" s="357">
        <v>-16052</v>
      </c>
      <c r="AH203" s="357">
        <v>0</v>
      </c>
      <c r="AI203" s="357">
        <v>0</v>
      </c>
      <c r="AJ203" s="357">
        <v>-16052</v>
      </c>
      <c r="AK203" s="357">
        <v>-16052</v>
      </c>
      <c r="AL203" s="357">
        <v>0</v>
      </c>
      <c r="AM203" s="357">
        <v>0</v>
      </c>
      <c r="AN203" s="357">
        <v>-16052</v>
      </c>
      <c r="AO203" s="357">
        <v>1103406</v>
      </c>
      <c r="AP203" s="357">
        <v>0</v>
      </c>
      <c r="AQ203" s="357">
        <v>0</v>
      </c>
      <c r="AR203" s="357">
        <v>1103406</v>
      </c>
      <c r="AS203" s="357">
        <v>15000</v>
      </c>
      <c r="AT203" s="357">
        <v>0</v>
      </c>
      <c r="AU203" s="357">
        <v>0</v>
      </c>
      <c r="AV203" s="357">
        <v>15000</v>
      </c>
      <c r="AW203" s="357">
        <v>2368990</v>
      </c>
      <c r="AX203" s="357">
        <v>0</v>
      </c>
      <c r="AY203" s="357">
        <v>0</v>
      </c>
      <c r="AZ203" s="357">
        <v>2368990</v>
      </c>
      <c r="BA203" s="357">
        <v>-1265584</v>
      </c>
      <c r="BB203" s="357">
        <v>0</v>
      </c>
      <c r="BC203" s="357">
        <v>0</v>
      </c>
      <c r="BD203" s="357">
        <v>-1265584</v>
      </c>
      <c r="BE203" s="357">
        <v>20076659</v>
      </c>
      <c r="BF203" s="357">
        <v>0</v>
      </c>
      <c r="BG203" s="357">
        <v>0</v>
      </c>
      <c r="BH203" s="357">
        <v>20076659</v>
      </c>
      <c r="BI203" s="357">
        <v>33952</v>
      </c>
      <c r="BJ203" s="357">
        <v>0</v>
      </c>
      <c r="BK203" s="357">
        <v>0</v>
      </c>
      <c r="BL203" s="357">
        <v>33952</v>
      </c>
      <c r="BM203" s="357">
        <v>0</v>
      </c>
      <c r="BN203" s="357">
        <v>0</v>
      </c>
      <c r="BO203" s="357">
        <v>0</v>
      </c>
      <c r="BP203" s="357">
        <v>0</v>
      </c>
      <c r="BQ203" s="357">
        <v>18845027</v>
      </c>
      <c r="BR203" s="357">
        <v>0</v>
      </c>
      <c r="BS203" s="357">
        <v>0</v>
      </c>
      <c r="BT203" s="357">
        <v>0</v>
      </c>
      <c r="BU203" s="357">
        <v>0</v>
      </c>
      <c r="BV203" s="357">
        <v>0</v>
      </c>
      <c r="BW203" s="357">
        <v>18845027</v>
      </c>
      <c r="BX203" s="357">
        <v>0</v>
      </c>
      <c r="BY203" s="357">
        <v>0</v>
      </c>
      <c r="BZ203" s="357">
        <v>18845027</v>
      </c>
      <c r="CA203" s="357">
        <v>70000</v>
      </c>
      <c r="CB203" s="357">
        <v>0</v>
      </c>
      <c r="CC203" s="357">
        <v>0</v>
      </c>
      <c r="CD203" s="357">
        <v>70000</v>
      </c>
      <c r="CE203" s="357">
        <v>1867315</v>
      </c>
      <c r="CF203" s="357">
        <v>0</v>
      </c>
      <c r="CG203" s="357">
        <v>0</v>
      </c>
      <c r="CH203" s="357">
        <v>1867315</v>
      </c>
      <c r="CI203" s="357">
        <v>1937315</v>
      </c>
      <c r="CJ203" s="357">
        <v>0</v>
      </c>
      <c r="CK203" s="357">
        <v>0</v>
      </c>
      <c r="CL203" s="357">
        <v>0</v>
      </c>
      <c r="CM203" s="357">
        <v>0</v>
      </c>
      <c r="CN203" s="357">
        <v>0</v>
      </c>
      <c r="CO203" s="357">
        <v>1937315</v>
      </c>
      <c r="CP203" s="357">
        <v>0</v>
      </c>
      <c r="CQ203" s="357">
        <v>0</v>
      </c>
      <c r="CR203" s="357">
        <v>1937315</v>
      </c>
      <c r="CS203" s="357">
        <v>0</v>
      </c>
      <c r="CT203" s="357">
        <v>0</v>
      </c>
      <c r="CU203" s="357">
        <v>0</v>
      </c>
      <c r="CV203" s="357">
        <v>0</v>
      </c>
      <c r="CW203" s="357">
        <v>51852</v>
      </c>
      <c r="CX203" s="357">
        <v>0</v>
      </c>
      <c r="CY203" s="357">
        <v>0</v>
      </c>
      <c r="CZ203" s="357">
        <v>51852</v>
      </c>
      <c r="DA203" s="357">
        <v>0</v>
      </c>
      <c r="DB203" s="357">
        <v>0</v>
      </c>
      <c r="DC203" s="357">
        <v>0</v>
      </c>
      <c r="DD203" s="357">
        <v>0</v>
      </c>
      <c r="DE203" s="357">
        <v>0</v>
      </c>
      <c r="DF203" s="357">
        <v>0</v>
      </c>
      <c r="DG203" s="357">
        <v>0</v>
      </c>
      <c r="DH203" s="357">
        <v>0</v>
      </c>
      <c r="DI203" s="357">
        <v>0</v>
      </c>
      <c r="DJ203" s="357">
        <v>0</v>
      </c>
      <c r="DK203" s="357">
        <v>0</v>
      </c>
      <c r="DL203" s="357">
        <v>0</v>
      </c>
      <c r="DM203" s="357">
        <v>0</v>
      </c>
      <c r="DN203" s="357">
        <v>0</v>
      </c>
      <c r="DO203" s="357">
        <v>0</v>
      </c>
      <c r="DP203" s="357">
        <v>0</v>
      </c>
      <c r="DQ203" s="357">
        <v>51852</v>
      </c>
      <c r="DR203" s="357">
        <v>0</v>
      </c>
      <c r="DS203" s="357">
        <v>0</v>
      </c>
      <c r="DT203" s="357">
        <v>0</v>
      </c>
      <c r="DU203" s="357">
        <v>0</v>
      </c>
      <c r="DV203" s="357">
        <v>0</v>
      </c>
      <c r="DW203" s="357">
        <v>51852</v>
      </c>
      <c r="DX203" s="357">
        <v>0</v>
      </c>
      <c r="DY203" s="357">
        <v>0</v>
      </c>
      <c r="DZ203" s="357">
        <v>51852</v>
      </c>
      <c r="EA203" s="357">
        <v>0</v>
      </c>
      <c r="EB203" s="357">
        <v>0</v>
      </c>
      <c r="EC203" s="357">
        <v>15000</v>
      </c>
      <c r="ED203" s="357">
        <v>0</v>
      </c>
      <c r="EE203" s="357">
        <v>0</v>
      </c>
      <c r="EF203" s="357">
        <v>15000</v>
      </c>
      <c r="EG203" s="357">
        <v>15000</v>
      </c>
      <c r="EH203" s="357">
        <v>0</v>
      </c>
      <c r="EI203" s="357">
        <v>0</v>
      </c>
      <c r="EJ203" s="357">
        <v>15000</v>
      </c>
      <c r="EK203" s="357">
        <v>1154000</v>
      </c>
      <c r="EL203" s="357">
        <v>0</v>
      </c>
      <c r="EM203" s="357">
        <v>0</v>
      </c>
      <c r="EN203" s="357">
        <v>1154000</v>
      </c>
      <c r="EO203" s="357">
        <v>1184000</v>
      </c>
      <c r="EP203" s="357">
        <v>0</v>
      </c>
      <c r="EQ203" s="357">
        <v>0</v>
      </c>
      <c r="ER203" s="357">
        <v>0</v>
      </c>
      <c r="ES203" s="357">
        <v>0</v>
      </c>
      <c r="ET203" s="357">
        <v>0</v>
      </c>
      <c r="EU203" s="357">
        <v>1184000</v>
      </c>
      <c r="EV203" s="357">
        <v>0</v>
      </c>
      <c r="EW203" s="357">
        <v>0</v>
      </c>
      <c r="EX203" s="357">
        <v>1184000</v>
      </c>
      <c r="EY203" s="357">
        <v>86162233</v>
      </c>
      <c r="EZ203" s="357">
        <v>0</v>
      </c>
      <c r="FA203" s="357">
        <v>0</v>
      </c>
      <c r="FB203" s="357">
        <v>86162233</v>
      </c>
      <c r="FC203" s="277">
        <v>0</v>
      </c>
      <c r="FD203" s="205"/>
    </row>
    <row r="204" spans="1:160" ht="12.75">
      <c r="A204" s="169">
        <v>197</v>
      </c>
      <c r="B204" s="172" t="s">
        <v>323</v>
      </c>
      <c r="C204" s="258" t="s">
        <v>324</v>
      </c>
      <c r="D204" s="235">
        <v>41639</v>
      </c>
      <c r="E204" s="357">
        <v>51880934</v>
      </c>
      <c r="F204" s="357">
        <v>0</v>
      </c>
      <c r="G204" s="357">
        <v>0</v>
      </c>
      <c r="H204" s="357">
        <v>51880934</v>
      </c>
      <c r="I204" s="357">
        <v>24435920</v>
      </c>
      <c r="J204" s="357">
        <v>0</v>
      </c>
      <c r="K204" s="357">
        <v>0</v>
      </c>
      <c r="L204" s="357">
        <v>-522930</v>
      </c>
      <c r="M204" s="357">
        <v>0</v>
      </c>
      <c r="N204" s="357">
        <v>0</v>
      </c>
      <c r="O204" s="357">
        <v>23912990</v>
      </c>
      <c r="P204" s="357">
        <v>0</v>
      </c>
      <c r="Q204" s="357">
        <v>0</v>
      </c>
      <c r="R204" s="357">
        <v>23912990</v>
      </c>
      <c r="S204" s="357">
        <v>39433</v>
      </c>
      <c r="T204" s="357">
        <v>0</v>
      </c>
      <c r="U204" s="357">
        <v>0</v>
      </c>
      <c r="V204" s="357">
        <v>39433</v>
      </c>
      <c r="W204" s="357">
        <v>15358</v>
      </c>
      <c r="X204" s="357">
        <v>0</v>
      </c>
      <c r="Y204" s="357">
        <v>0</v>
      </c>
      <c r="Z204" s="357">
        <v>15358</v>
      </c>
      <c r="AA204" s="357">
        <v>24075</v>
      </c>
      <c r="AB204" s="357">
        <v>0</v>
      </c>
      <c r="AC204" s="357">
        <v>0</v>
      </c>
      <c r="AD204" s="357">
        <v>0</v>
      </c>
      <c r="AE204" s="357">
        <v>0</v>
      </c>
      <c r="AF204" s="357">
        <v>0</v>
      </c>
      <c r="AG204" s="357">
        <v>24075</v>
      </c>
      <c r="AH204" s="357">
        <v>0</v>
      </c>
      <c r="AI204" s="357">
        <v>0</v>
      </c>
      <c r="AJ204" s="357">
        <v>24075</v>
      </c>
      <c r="AK204" s="357">
        <v>24075</v>
      </c>
      <c r="AL204" s="357">
        <v>0</v>
      </c>
      <c r="AM204" s="357">
        <v>0</v>
      </c>
      <c r="AN204" s="357">
        <v>24075</v>
      </c>
      <c r="AO204" s="357">
        <v>2507027</v>
      </c>
      <c r="AP204" s="357">
        <v>0</v>
      </c>
      <c r="AQ204" s="357">
        <v>0</v>
      </c>
      <c r="AR204" s="357">
        <v>2507027</v>
      </c>
      <c r="AS204" s="357">
        <v>250703</v>
      </c>
      <c r="AT204" s="357">
        <v>0</v>
      </c>
      <c r="AU204" s="357">
        <v>0</v>
      </c>
      <c r="AV204" s="357">
        <v>250703</v>
      </c>
      <c r="AW204" s="357">
        <v>434853</v>
      </c>
      <c r="AX204" s="357">
        <v>0</v>
      </c>
      <c r="AY204" s="357">
        <v>0</v>
      </c>
      <c r="AZ204" s="357">
        <v>434853</v>
      </c>
      <c r="BA204" s="357">
        <v>2072174</v>
      </c>
      <c r="BB204" s="357">
        <v>0</v>
      </c>
      <c r="BC204" s="357">
        <v>0</v>
      </c>
      <c r="BD204" s="357">
        <v>2072174</v>
      </c>
      <c r="BE204" s="357">
        <v>1013119</v>
      </c>
      <c r="BF204" s="357">
        <v>0</v>
      </c>
      <c r="BG204" s="357">
        <v>0</v>
      </c>
      <c r="BH204" s="357">
        <v>1013119</v>
      </c>
      <c r="BI204" s="357">
        <v>0</v>
      </c>
      <c r="BJ204" s="357">
        <v>0</v>
      </c>
      <c r="BK204" s="357">
        <v>0</v>
      </c>
      <c r="BL204" s="357">
        <v>0</v>
      </c>
      <c r="BM204" s="357">
        <v>766</v>
      </c>
      <c r="BN204" s="357">
        <v>0</v>
      </c>
      <c r="BO204" s="357">
        <v>0</v>
      </c>
      <c r="BP204" s="357">
        <v>766</v>
      </c>
      <c r="BQ204" s="357">
        <v>3086059</v>
      </c>
      <c r="BR204" s="357">
        <v>0</v>
      </c>
      <c r="BS204" s="357">
        <v>0</v>
      </c>
      <c r="BT204" s="357">
        <v>90000</v>
      </c>
      <c r="BU204" s="357">
        <v>0</v>
      </c>
      <c r="BV204" s="357">
        <v>0</v>
      </c>
      <c r="BW204" s="357">
        <v>3176059</v>
      </c>
      <c r="BX204" s="357">
        <v>0</v>
      </c>
      <c r="BY204" s="357">
        <v>0</v>
      </c>
      <c r="BZ204" s="357">
        <v>3176059</v>
      </c>
      <c r="CA204" s="357">
        <v>0</v>
      </c>
      <c r="CB204" s="357">
        <v>0</v>
      </c>
      <c r="CC204" s="357">
        <v>0</v>
      </c>
      <c r="CD204" s="357">
        <v>0</v>
      </c>
      <c r="CE204" s="357">
        <v>670617</v>
      </c>
      <c r="CF204" s="357">
        <v>0</v>
      </c>
      <c r="CG204" s="357">
        <v>0</v>
      </c>
      <c r="CH204" s="357">
        <v>670617</v>
      </c>
      <c r="CI204" s="357">
        <v>670617</v>
      </c>
      <c r="CJ204" s="357">
        <v>0</v>
      </c>
      <c r="CK204" s="357">
        <v>0</v>
      </c>
      <c r="CL204" s="357">
        <v>-100000</v>
      </c>
      <c r="CM204" s="357">
        <v>0</v>
      </c>
      <c r="CN204" s="357">
        <v>0</v>
      </c>
      <c r="CO204" s="357">
        <v>570617</v>
      </c>
      <c r="CP204" s="357">
        <v>0</v>
      </c>
      <c r="CQ204" s="357">
        <v>0</v>
      </c>
      <c r="CR204" s="357">
        <v>570617</v>
      </c>
      <c r="CS204" s="357">
        <v>117370</v>
      </c>
      <c r="CT204" s="357">
        <v>0</v>
      </c>
      <c r="CU204" s="357">
        <v>0</v>
      </c>
      <c r="CV204" s="357">
        <v>117370</v>
      </c>
      <c r="CW204" s="357">
        <v>109555</v>
      </c>
      <c r="CX204" s="357">
        <v>0</v>
      </c>
      <c r="CY204" s="357">
        <v>0</v>
      </c>
      <c r="CZ204" s="357">
        <v>109555</v>
      </c>
      <c r="DA204" s="357">
        <v>0</v>
      </c>
      <c r="DB204" s="357">
        <v>0</v>
      </c>
      <c r="DC204" s="357">
        <v>0</v>
      </c>
      <c r="DD204" s="357">
        <v>0</v>
      </c>
      <c r="DE204" s="357">
        <v>766</v>
      </c>
      <c r="DF204" s="357">
        <v>0</v>
      </c>
      <c r="DG204" s="357">
        <v>0</v>
      </c>
      <c r="DH204" s="357">
        <v>766</v>
      </c>
      <c r="DI204" s="357">
        <v>0</v>
      </c>
      <c r="DJ204" s="357">
        <v>0</v>
      </c>
      <c r="DK204" s="357">
        <v>0</v>
      </c>
      <c r="DL204" s="357">
        <v>0</v>
      </c>
      <c r="DM204" s="357">
        <v>0</v>
      </c>
      <c r="DN204" s="357">
        <v>0</v>
      </c>
      <c r="DO204" s="357">
        <v>0</v>
      </c>
      <c r="DP204" s="357">
        <v>0</v>
      </c>
      <c r="DQ204" s="357">
        <v>227691</v>
      </c>
      <c r="DR204" s="357">
        <v>0</v>
      </c>
      <c r="DS204" s="357">
        <v>0</v>
      </c>
      <c r="DT204" s="357">
        <v>0</v>
      </c>
      <c r="DU204" s="357">
        <v>0</v>
      </c>
      <c r="DV204" s="357">
        <v>0</v>
      </c>
      <c r="DW204" s="357">
        <v>227691</v>
      </c>
      <c r="DX204" s="357">
        <v>0</v>
      </c>
      <c r="DY204" s="357">
        <v>0</v>
      </c>
      <c r="DZ204" s="357">
        <v>227691</v>
      </c>
      <c r="EA204" s="357">
        <v>0</v>
      </c>
      <c r="EB204" s="357">
        <v>0</v>
      </c>
      <c r="EC204" s="357">
        <v>0</v>
      </c>
      <c r="ED204" s="357">
        <v>0</v>
      </c>
      <c r="EE204" s="357">
        <v>0</v>
      </c>
      <c r="EF204" s="357">
        <v>0</v>
      </c>
      <c r="EG204" s="357">
        <v>0</v>
      </c>
      <c r="EH204" s="357">
        <v>0</v>
      </c>
      <c r="EI204" s="357">
        <v>0</v>
      </c>
      <c r="EJ204" s="357">
        <v>0</v>
      </c>
      <c r="EK204" s="357">
        <v>435205</v>
      </c>
      <c r="EL204" s="357">
        <v>0</v>
      </c>
      <c r="EM204" s="357">
        <v>0</v>
      </c>
      <c r="EN204" s="357">
        <v>435205</v>
      </c>
      <c r="EO204" s="357">
        <v>435205</v>
      </c>
      <c r="EP204" s="357">
        <v>0</v>
      </c>
      <c r="EQ204" s="357">
        <v>0</v>
      </c>
      <c r="ER204" s="357">
        <v>0</v>
      </c>
      <c r="ES204" s="357">
        <v>0</v>
      </c>
      <c r="ET204" s="357">
        <v>0</v>
      </c>
      <c r="EU204" s="357">
        <v>435205</v>
      </c>
      <c r="EV204" s="357">
        <v>0</v>
      </c>
      <c r="EW204" s="357">
        <v>0</v>
      </c>
      <c r="EX204" s="357">
        <v>435205</v>
      </c>
      <c r="EY204" s="357">
        <v>19479343</v>
      </c>
      <c r="EZ204" s="357">
        <v>0</v>
      </c>
      <c r="FA204" s="357">
        <v>0</v>
      </c>
      <c r="FB204" s="357">
        <v>19479343</v>
      </c>
      <c r="FC204" s="277">
        <v>0</v>
      </c>
      <c r="FD204" s="205"/>
    </row>
    <row r="205" spans="1:160" ht="12.75">
      <c r="A205" s="169">
        <v>198</v>
      </c>
      <c r="B205" s="172" t="s">
        <v>325</v>
      </c>
      <c r="C205" s="258" t="s">
        <v>326</v>
      </c>
      <c r="D205" s="235">
        <v>311213</v>
      </c>
      <c r="E205" s="357">
        <v>230309595</v>
      </c>
      <c r="F205" s="357">
        <v>0</v>
      </c>
      <c r="G205" s="357">
        <v>0</v>
      </c>
      <c r="H205" s="357">
        <v>230309595</v>
      </c>
      <c r="I205" s="357">
        <v>108475819</v>
      </c>
      <c r="J205" s="357">
        <v>0</v>
      </c>
      <c r="K205" s="357">
        <v>0</v>
      </c>
      <c r="L205" s="357">
        <v>-1604000</v>
      </c>
      <c r="M205" s="357">
        <v>0</v>
      </c>
      <c r="N205" s="357">
        <v>0</v>
      </c>
      <c r="O205" s="357">
        <v>106871819</v>
      </c>
      <c r="P205" s="357">
        <v>0</v>
      </c>
      <c r="Q205" s="357">
        <v>0</v>
      </c>
      <c r="R205" s="357">
        <v>106871819</v>
      </c>
      <c r="S205" s="357">
        <v>1554382</v>
      </c>
      <c r="T205" s="357">
        <v>0</v>
      </c>
      <c r="U205" s="357">
        <v>0</v>
      </c>
      <c r="V205" s="357">
        <v>1554382</v>
      </c>
      <c r="W205" s="357">
        <v>8113</v>
      </c>
      <c r="X205" s="357">
        <v>0</v>
      </c>
      <c r="Y205" s="357">
        <v>0</v>
      </c>
      <c r="Z205" s="357">
        <v>8113</v>
      </c>
      <c r="AA205" s="357">
        <v>1546269</v>
      </c>
      <c r="AB205" s="357">
        <v>0</v>
      </c>
      <c r="AC205" s="357">
        <v>0</v>
      </c>
      <c r="AD205" s="357">
        <v>0</v>
      </c>
      <c r="AE205" s="357">
        <v>0</v>
      </c>
      <c r="AF205" s="357">
        <v>0</v>
      </c>
      <c r="AG205" s="357">
        <v>1546269</v>
      </c>
      <c r="AH205" s="357">
        <v>0</v>
      </c>
      <c r="AI205" s="357">
        <v>0</v>
      </c>
      <c r="AJ205" s="357">
        <v>1546269</v>
      </c>
      <c r="AK205" s="357">
        <v>1546269</v>
      </c>
      <c r="AL205" s="357">
        <v>0</v>
      </c>
      <c r="AM205" s="357">
        <v>0</v>
      </c>
      <c r="AN205" s="357">
        <v>1546269</v>
      </c>
      <c r="AO205" s="357">
        <v>2852145</v>
      </c>
      <c r="AP205" s="357">
        <v>0</v>
      </c>
      <c r="AQ205" s="357">
        <v>0</v>
      </c>
      <c r="AR205" s="357">
        <v>2852145</v>
      </c>
      <c r="AS205" s="357">
        <v>0</v>
      </c>
      <c r="AT205" s="357">
        <v>0</v>
      </c>
      <c r="AU205" s="357">
        <v>0</v>
      </c>
      <c r="AV205" s="357">
        <v>0</v>
      </c>
      <c r="AW205" s="357">
        <v>2298430</v>
      </c>
      <c r="AX205" s="357">
        <v>0</v>
      </c>
      <c r="AY205" s="357">
        <v>0</v>
      </c>
      <c r="AZ205" s="357">
        <v>2298430</v>
      </c>
      <c r="BA205" s="357">
        <v>553715</v>
      </c>
      <c r="BB205" s="357">
        <v>0</v>
      </c>
      <c r="BC205" s="357">
        <v>0</v>
      </c>
      <c r="BD205" s="357">
        <v>553715</v>
      </c>
      <c r="BE205" s="357">
        <v>5033408</v>
      </c>
      <c r="BF205" s="357">
        <v>0</v>
      </c>
      <c r="BG205" s="357">
        <v>0</v>
      </c>
      <c r="BH205" s="357">
        <v>5033408</v>
      </c>
      <c r="BI205" s="357">
        <v>55141</v>
      </c>
      <c r="BJ205" s="357">
        <v>0</v>
      </c>
      <c r="BK205" s="357">
        <v>0</v>
      </c>
      <c r="BL205" s="357">
        <v>55141</v>
      </c>
      <c r="BM205" s="357">
        <v>16456</v>
      </c>
      <c r="BN205" s="357">
        <v>0</v>
      </c>
      <c r="BO205" s="357">
        <v>0</v>
      </c>
      <c r="BP205" s="357">
        <v>16456</v>
      </c>
      <c r="BQ205" s="357">
        <v>5658720</v>
      </c>
      <c r="BR205" s="357">
        <v>0</v>
      </c>
      <c r="BS205" s="357">
        <v>0</v>
      </c>
      <c r="BT205" s="357">
        <v>0</v>
      </c>
      <c r="BU205" s="357">
        <v>0</v>
      </c>
      <c r="BV205" s="357">
        <v>0</v>
      </c>
      <c r="BW205" s="357">
        <v>5658720</v>
      </c>
      <c r="BX205" s="357">
        <v>0</v>
      </c>
      <c r="BY205" s="357">
        <v>0</v>
      </c>
      <c r="BZ205" s="357">
        <v>5658720</v>
      </c>
      <c r="CA205" s="357">
        <v>158001</v>
      </c>
      <c r="CB205" s="357">
        <v>0</v>
      </c>
      <c r="CC205" s="357">
        <v>0</v>
      </c>
      <c r="CD205" s="357">
        <v>158001</v>
      </c>
      <c r="CE205" s="357">
        <v>1377317</v>
      </c>
      <c r="CF205" s="357">
        <v>0</v>
      </c>
      <c r="CG205" s="357">
        <v>0</v>
      </c>
      <c r="CH205" s="357">
        <v>1377317</v>
      </c>
      <c r="CI205" s="357">
        <v>1535318</v>
      </c>
      <c r="CJ205" s="357">
        <v>0</v>
      </c>
      <c r="CK205" s="357">
        <v>0</v>
      </c>
      <c r="CL205" s="357">
        <v>2189000</v>
      </c>
      <c r="CM205" s="357">
        <v>0</v>
      </c>
      <c r="CN205" s="357">
        <v>0</v>
      </c>
      <c r="CO205" s="357">
        <v>3724318</v>
      </c>
      <c r="CP205" s="357">
        <v>0</v>
      </c>
      <c r="CQ205" s="357">
        <v>0</v>
      </c>
      <c r="CR205" s="357">
        <v>3724318</v>
      </c>
      <c r="CS205" s="357">
        <v>278303</v>
      </c>
      <c r="CT205" s="357">
        <v>0</v>
      </c>
      <c r="CU205" s="357">
        <v>0</v>
      </c>
      <c r="CV205" s="357">
        <v>278303</v>
      </c>
      <c r="CW205" s="357">
        <v>56497</v>
      </c>
      <c r="CX205" s="357">
        <v>0</v>
      </c>
      <c r="CY205" s="357">
        <v>0</v>
      </c>
      <c r="CZ205" s="357">
        <v>56497</v>
      </c>
      <c r="DA205" s="357">
        <v>2591</v>
      </c>
      <c r="DB205" s="357">
        <v>0</v>
      </c>
      <c r="DC205" s="357">
        <v>0</v>
      </c>
      <c r="DD205" s="357">
        <v>2591</v>
      </c>
      <c r="DE205" s="357">
        <v>6435</v>
      </c>
      <c r="DF205" s="357">
        <v>0</v>
      </c>
      <c r="DG205" s="357">
        <v>0</v>
      </c>
      <c r="DH205" s="357">
        <v>6435</v>
      </c>
      <c r="DI205" s="357">
        <v>940</v>
      </c>
      <c r="DJ205" s="357">
        <v>0</v>
      </c>
      <c r="DK205" s="357">
        <v>0</v>
      </c>
      <c r="DL205" s="357">
        <v>940</v>
      </c>
      <c r="DM205" s="357">
        <v>0</v>
      </c>
      <c r="DN205" s="357">
        <v>0</v>
      </c>
      <c r="DO205" s="357">
        <v>0</v>
      </c>
      <c r="DP205" s="357">
        <v>0</v>
      </c>
      <c r="DQ205" s="357">
        <v>344766</v>
      </c>
      <c r="DR205" s="357">
        <v>0</v>
      </c>
      <c r="DS205" s="357">
        <v>0</v>
      </c>
      <c r="DT205" s="357">
        <v>52000</v>
      </c>
      <c r="DU205" s="357">
        <v>0</v>
      </c>
      <c r="DV205" s="357">
        <v>0</v>
      </c>
      <c r="DW205" s="357">
        <v>396766</v>
      </c>
      <c r="DX205" s="357">
        <v>0</v>
      </c>
      <c r="DY205" s="357">
        <v>0</v>
      </c>
      <c r="DZ205" s="357">
        <v>396766</v>
      </c>
      <c r="EA205" s="357">
        <v>0</v>
      </c>
      <c r="EB205" s="357">
        <v>0</v>
      </c>
      <c r="EC205" s="357">
        <v>0</v>
      </c>
      <c r="ED205" s="357">
        <v>0</v>
      </c>
      <c r="EE205" s="357">
        <v>0</v>
      </c>
      <c r="EF205" s="357">
        <v>0</v>
      </c>
      <c r="EG205" s="357">
        <v>0</v>
      </c>
      <c r="EH205" s="357">
        <v>0</v>
      </c>
      <c r="EI205" s="357">
        <v>0</v>
      </c>
      <c r="EJ205" s="357">
        <v>0</v>
      </c>
      <c r="EK205" s="357">
        <v>675419</v>
      </c>
      <c r="EL205" s="357">
        <v>0</v>
      </c>
      <c r="EM205" s="357">
        <v>0</v>
      </c>
      <c r="EN205" s="357">
        <v>675419</v>
      </c>
      <c r="EO205" s="357">
        <v>675419</v>
      </c>
      <c r="EP205" s="357">
        <v>0</v>
      </c>
      <c r="EQ205" s="357">
        <v>0</v>
      </c>
      <c r="ER205" s="357">
        <v>0</v>
      </c>
      <c r="ES205" s="357">
        <v>0</v>
      </c>
      <c r="ET205" s="357">
        <v>0</v>
      </c>
      <c r="EU205" s="357">
        <v>675419</v>
      </c>
      <c r="EV205" s="357">
        <v>0</v>
      </c>
      <c r="EW205" s="357">
        <v>0</v>
      </c>
      <c r="EX205" s="357">
        <v>675419</v>
      </c>
      <c r="EY205" s="357">
        <v>94870327</v>
      </c>
      <c r="EZ205" s="357">
        <v>0</v>
      </c>
      <c r="FA205" s="357">
        <v>0</v>
      </c>
      <c r="FB205" s="357">
        <v>94870327</v>
      </c>
      <c r="FC205" s="277">
        <v>0</v>
      </c>
      <c r="FD205" s="205"/>
    </row>
    <row r="206" spans="1:160" ht="12.75">
      <c r="A206" s="169">
        <v>199</v>
      </c>
      <c r="B206" s="172" t="s">
        <v>327</v>
      </c>
      <c r="C206" s="258" t="s">
        <v>328</v>
      </c>
      <c r="D206" s="235">
        <v>41662</v>
      </c>
      <c r="E206" s="357">
        <v>224690298</v>
      </c>
      <c r="F206" s="357">
        <v>0</v>
      </c>
      <c r="G206" s="357">
        <v>0</v>
      </c>
      <c r="H206" s="357">
        <v>224690298</v>
      </c>
      <c r="I206" s="357">
        <v>105829130</v>
      </c>
      <c r="J206" s="357">
        <v>0</v>
      </c>
      <c r="K206" s="357">
        <v>0</v>
      </c>
      <c r="L206" s="357">
        <v>-115934</v>
      </c>
      <c r="M206" s="357">
        <v>0</v>
      </c>
      <c r="N206" s="357">
        <v>0</v>
      </c>
      <c r="O206" s="357">
        <v>105713196</v>
      </c>
      <c r="P206" s="357">
        <v>0</v>
      </c>
      <c r="Q206" s="357">
        <v>0</v>
      </c>
      <c r="R206" s="357">
        <v>105713196</v>
      </c>
      <c r="S206" s="357">
        <v>74060</v>
      </c>
      <c r="T206" s="357">
        <v>0</v>
      </c>
      <c r="U206" s="357">
        <v>0</v>
      </c>
      <c r="V206" s="357">
        <v>74060</v>
      </c>
      <c r="W206" s="357">
        <v>144562</v>
      </c>
      <c r="X206" s="357">
        <v>0</v>
      </c>
      <c r="Y206" s="357">
        <v>0</v>
      </c>
      <c r="Z206" s="357">
        <v>144562</v>
      </c>
      <c r="AA206" s="357">
        <v>-70502</v>
      </c>
      <c r="AB206" s="357">
        <v>0</v>
      </c>
      <c r="AC206" s="357">
        <v>0</v>
      </c>
      <c r="AD206" s="357">
        <v>0</v>
      </c>
      <c r="AE206" s="357">
        <v>0</v>
      </c>
      <c r="AF206" s="357">
        <v>0</v>
      </c>
      <c r="AG206" s="357">
        <v>-70502</v>
      </c>
      <c r="AH206" s="357">
        <v>0</v>
      </c>
      <c r="AI206" s="357">
        <v>0</v>
      </c>
      <c r="AJ206" s="357">
        <v>-70502</v>
      </c>
      <c r="AK206" s="357">
        <v>-70502</v>
      </c>
      <c r="AL206" s="357">
        <v>0</v>
      </c>
      <c r="AM206" s="357">
        <v>0</v>
      </c>
      <c r="AN206" s="357">
        <v>-70502</v>
      </c>
      <c r="AO206" s="357">
        <v>4126637</v>
      </c>
      <c r="AP206" s="357">
        <v>0</v>
      </c>
      <c r="AQ206" s="357">
        <v>0</v>
      </c>
      <c r="AR206" s="357">
        <v>4126637</v>
      </c>
      <c r="AS206" s="357">
        <v>0</v>
      </c>
      <c r="AT206" s="357">
        <v>0</v>
      </c>
      <c r="AU206" s="357">
        <v>0</v>
      </c>
      <c r="AV206" s="357">
        <v>0</v>
      </c>
      <c r="AW206" s="357">
        <v>2173134</v>
      </c>
      <c r="AX206" s="357">
        <v>0</v>
      </c>
      <c r="AY206" s="357">
        <v>0</v>
      </c>
      <c r="AZ206" s="357">
        <v>2173134</v>
      </c>
      <c r="BA206" s="357">
        <v>1953503</v>
      </c>
      <c r="BB206" s="357">
        <v>0</v>
      </c>
      <c r="BC206" s="357">
        <v>0</v>
      </c>
      <c r="BD206" s="357">
        <v>1953503</v>
      </c>
      <c r="BE206" s="357">
        <v>9095373</v>
      </c>
      <c r="BF206" s="357">
        <v>0</v>
      </c>
      <c r="BG206" s="357">
        <v>0</v>
      </c>
      <c r="BH206" s="357">
        <v>9095373</v>
      </c>
      <c r="BI206" s="357">
        <v>14880</v>
      </c>
      <c r="BJ206" s="357">
        <v>0</v>
      </c>
      <c r="BK206" s="357">
        <v>0</v>
      </c>
      <c r="BL206" s="357">
        <v>14880</v>
      </c>
      <c r="BM206" s="357">
        <v>0</v>
      </c>
      <c r="BN206" s="357">
        <v>0</v>
      </c>
      <c r="BO206" s="357">
        <v>0</v>
      </c>
      <c r="BP206" s="357">
        <v>0</v>
      </c>
      <c r="BQ206" s="357">
        <v>11063756</v>
      </c>
      <c r="BR206" s="357">
        <v>0</v>
      </c>
      <c r="BS206" s="357">
        <v>0</v>
      </c>
      <c r="BT206" s="357">
        <v>300000</v>
      </c>
      <c r="BU206" s="357">
        <v>0</v>
      </c>
      <c r="BV206" s="357">
        <v>0</v>
      </c>
      <c r="BW206" s="357">
        <v>11363756</v>
      </c>
      <c r="BX206" s="357">
        <v>0</v>
      </c>
      <c r="BY206" s="357">
        <v>0</v>
      </c>
      <c r="BZ206" s="357">
        <v>11363756</v>
      </c>
      <c r="CA206" s="357">
        <v>230000</v>
      </c>
      <c r="CB206" s="357">
        <v>0</v>
      </c>
      <c r="CC206" s="357">
        <v>0</v>
      </c>
      <c r="CD206" s="357">
        <v>230000</v>
      </c>
      <c r="CE206" s="357">
        <v>1723689</v>
      </c>
      <c r="CF206" s="357">
        <v>0</v>
      </c>
      <c r="CG206" s="357">
        <v>0</v>
      </c>
      <c r="CH206" s="357">
        <v>1723689</v>
      </c>
      <c r="CI206" s="357">
        <v>1953689</v>
      </c>
      <c r="CJ206" s="357">
        <v>0</v>
      </c>
      <c r="CK206" s="357">
        <v>0</v>
      </c>
      <c r="CL206" s="357">
        <v>86580</v>
      </c>
      <c r="CM206" s="357">
        <v>0</v>
      </c>
      <c r="CN206" s="357">
        <v>0</v>
      </c>
      <c r="CO206" s="357">
        <v>2040269</v>
      </c>
      <c r="CP206" s="357">
        <v>0</v>
      </c>
      <c r="CQ206" s="357">
        <v>0</v>
      </c>
      <c r="CR206" s="357">
        <v>2040269</v>
      </c>
      <c r="CS206" s="357">
        <v>80634</v>
      </c>
      <c r="CT206" s="357">
        <v>0</v>
      </c>
      <c r="CU206" s="357">
        <v>0</v>
      </c>
      <c r="CV206" s="357">
        <v>80634</v>
      </c>
      <c r="CW206" s="357">
        <v>159914</v>
      </c>
      <c r="CX206" s="357">
        <v>0</v>
      </c>
      <c r="CY206" s="357">
        <v>0</v>
      </c>
      <c r="CZ206" s="357">
        <v>159914</v>
      </c>
      <c r="DA206" s="357">
        <v>0</v>
      </c>
      <c r="DB206" s="357">
        <v>0</v>
      </c>
      <c r="DC206" s="357">
        <v>0</v>
      </c>
      <c r="DD206" s="357">
        <v>0</v>
      </c>
      <c r="DE206" s="357">
        <v>0</v>
      </c>
      <c r="DF206" s="357">
        <v>0</v>
      </c>
      <c r="DG206" s="357">
        <v>0</v>
      </c>
      <c r="DH206" s="357">
        <v>0</v>
      </c>
      <c r="DI206" s="357">
        <v>0</v>
      </c>
      <c r="DJ206" s="357">
        <v>0</v>
      </c>
      <c r="DK206" s="357">
        <v>0</v>
      </c>
      <c r="DL206" s="357">
        <v>0</v>
      </c>
      <c r="DM206" s="357">
        <v>300000</v>
      </c>
      <c r="DN206" s="357">
        <v>0</v>
      </c>
      <c r="DO206" s="357">
        <v>0</v>
      </c>
      <c r="DP206" s="357">
        <v>300000</v>
      </c>
      <c r="DQ206" s="357">
        <v>540548</v>
      </c>
      <c r="DR206" s="357">
        <v>0</v>
      </c>
      <c r="DS206" s="357">
        <v>0</v>
      </c>
      <c r="DT206" s="357">
        <v>0</v>
      </c>
      <c r="DU206" s="357">
        <v>0</v>
      </c>
      <c r="DV206" s="357">
        <v>0</v>
      </c>
      <c r="DW206" s="357">
        <v>540548</v>
      </c>
      <c r="DX206" s="357">
        <v>0</v>
      </c>
      <c r="DY206" s="357">
        <v>0</v>
      </c>
      <c r="DZ206" s="357">
        <v>540548</v>
      </c>
      <c r="EA206" s="357">
        <v>0</v>
      </c>
      <c r="EB206" s="357">
        <v>0</v>
      </c>
      <c r="EC206" s="357">
        <v>0</v>
      </c>
      <c r="ED206" s="357">
        <v>0</v>
      </c>
      <c r="EE206" s="357">
        <v>0</v>
      </c>
      <c r="EF206" s="357">
        <v>0</v>
      </c>
      <c r="EG206" s="357">
        <v>826130</v>
      </c>
      <c r="EH206" s="357">
        <v>0</v>
      </c>
      <c r="EI206" s="357">
        <v>0</v>
      </c>
      <c r="EJ206" s="357">
        <v>826130</v>
      </c>
      <c r="EK206" s="357">
        <v>1097819</v>
      </c>
      <c r="EL206" s="357">
        <v>0</v>
      </c>
      <c r="EM206" s="357">
        <v>0</v>
      </c>
      <c r="EN206" s="357">
        <v>1097819</v>
      </c>
      <c r="EO206" s="357">
        <v>1923949</v>
      </c>
      <c r="EP206" s="357">
        <v>0</v>
      </c>
      <c r="EQ206" s="357">
        <v>0</v>
      </c>
      <c r="ER206" s="357">
        <v>0</v>
      </c>
      <c r="ES206" s="357">
        <v>0</v>
      </c>
      <c r="ET206" s="357">
        <v>0</v>
      </c>
      <c r="EU206" s="357">
        <v>1923949</v>
      </c>
      <c r="EV206" s="357">
        <v>0</v>
      </c>
      <c r="EW206" s="357">
        <v>0</v>
      </c>
      <c r="EX206" s="357">
        <v>1923949</v>
      </c>
      <c r="EY206" s="357">
        <v>89915176</v>
      </c>
      <c r="EZ206" s="357">
        <v>0</v>
      </c>
      <c r="FA206" s="357">
        <v>0</v>
      </c>
      <c r="FB206" s="357">
        <v>89915176</v>
      </c>
      <c r="FC206" s="277">
        <v>0</v>
      </c>
      <c r="FD206" s="205"/>
    </row>
    <row r="207" spans="1:160" ht="12.75">
      <c r="A207" s="169">
        <v>200</v>
      </c>
      <c r="B207" s="172" t="s">
        <v>329</v>
      </c>
      <c r="C207" s="258" t="s">
        <v>330</v>
      </c>
      <c r="D207" s="235">
        <v>41639</v>
      </c>
      <c r="E207" s="357">
        <v>153992636</v>
      </c>
      <c r="F207" s="357">
        <v>0</v>
      </c>
      <c r="G207" s="357">
        <v>0</v>
      </c>
      <c r="H207" s="357">
        <v>153992636</v>
      </c>
      <c r="I207" s="357">
        <v>72530532</v>
      </c>
      <c r="J207" s="357">
        <v>0</v>
      </c>
      <c r="K207" s="357">
        <v>0</v>
      </c>
      <c r="L207" s="357">
        <v>-3660286.2</v>
      </c>
      <c r="M207" s="357">
        <v>0</v>
      </c>
      <c r="N207" s="357">
        <v>0</v>
      </c>
      <c r="O207" s="357">
        <v>68870245.8</v>
      </c>
      <c r="P207" s="357">
        <v>0</v>
      </c>
      <c r="Q207" s="357">
        <v>0</v>
      </c>
      <c r="R207" s="357">
        <v>68870245.8</v>
      </c>
      <c r="S207" s="357">
        <v>22896</v>
      </c>
      <c r="T207" s="357">
        <v>0</v>
      </c>
      <c r="U207" s="357">
        <v>0</v>
      </c>
      <c r="V207" s="357">
        <v>22896</v>
      </c>
      <c r="W207" s="357">
        <v>4911</v>
      </c>
      <c r="X207" s="357">
        <v>0</v>
      </c>
      <c r="Y207" s="357">
        <v>0</v>
      </c>
      <c r="Z207" s="357">
        <v>4911</v>
      </c>
      <c r="AA207" s="357">
        <v>17985</v>
      </c>
      <c r="AB207" s="357">
        <v>0</v>
      </c>
      <c r="AC207" s="357">
        <v>0</v>
      </c>
      <c r="AD207" s="357">
        <v>0</v>
      </c>
      <c r="AE207" s="357">
        <v>0</v>
      </c>
      <c r="AF207" s="357">
        <v>0</v>
      </c>
      <c r="AG207" s="357">
        <v>17985</v>
      </c>
      <c r="AH207" s="357">
        <v>0</v>
      </c>
      <c r="AI207" s="357">
        <v>0</v>
      </c>
      <c r="AJ207" s="357">
        <v>17985</v>
      </c>
      <c r="AK207" s="357">
        <v>17985</v>
      </c>
      <c r="AL207" s="357">
        <v>0</v>
      </c>
      <c r="AM207" s="357">
        <v>0</v>
      </c>
      <c r="AN207" s="357">
        <v>17985</v>
      </c>
      <c r="AO207" s="357">
        <v>2900676</v>
      </c>
      <c r="AP207" s="357">
        <v>0</v>
      </c>
      <c r="AQ207" s="357">
        <v>0</v>
      </c>
      <c r="AR207" s="357">
        <v>2900676</v>
      </c>
      <c r="AS207" s="357">
        <v>0</v>
      </c>
      <c r="AT207" s="357">
        <v>0</v>
      </c>
      <c r="AU207" s="357">
        <v>0</v>
      </c>
      <c r="AV207" s="357">
        <v>0</v>
      </c>
      <c r="AW207" s="357">
        <v>1480362</v>
      </c>
      <c r="AX207" s="357">
        <v>0</v>
      </c>
      <c r="AY207" s="357">
        <v>0</v>
      </c>
      <c r="AZ207" s="357">
        <v>1480362</v>
      </c>
      <c r="BA207" s="357">
        <v>1420314</v>
      </c>
      <c r="BB207" s="357">
        <v>0</v>
      </c>
      <c r="BC207" s="357">
        <v>0</v>
      </c>
      <c r="BD207" s="357">
        <v>1420314</v>
      </c>
      <c r="BE207" s="357">
        <v>4457916</v>
      </c>
      <c r="BF207" s="357">
        <v>0</v>
      </c>
      <c r="BG207" s="357">
        <v>0</v>
      </c>
      <c r="BH207" s="357">
        <v>4457916</v>
      </c>
      <c r="BI207" s="357">
        <v>36331</v>
      </c>
      <c r="BJ207" s="357">
        <v>0</v>
      </c>
      <c r="BK207" s="357">
        <v>0</v>
      </c>
      <c r="BL207" s="357">
        <v>36331</v>
      </c>
      <c r="BM207" s="357">
        <v>0</v>
      </c>
      <c r="BN207" s="357">
        <v>0</v>
      </c>
      <c r="BO207" s="357">
        <v>0</v>
      </c>
      <c r="BP207" s="357">
        <v>0</v>
      </c>
      <c r="BQ207" s="357">
        <v>5914561</v>
      </c>
      <c r="BR207" s="357">
        <v>0</v>
      </c>
      <c r="BS207" s="357">
        <v>0</v>
      </c>
      <c r="BT207" s="357">
        <v>0</v>
      </c>
      <c r="BU207" s="357">
        <v>0</v>
      </c>
      <c r="BV207" s="357">
        <v>0</v>
      </c>
      <c r="BW207" s="357">
        <v>5914561</v>
      </c>
      <c r="BX207" s="357">
        <v>0</v>
      </c>
      <c r="BY207" s="357">
        <v>0</v>
      </c>
      <c r="BZ207" s="357">
        <v>5914561</v>
      </c>
      <c r="CA207" s="357">
        <v>0</v>
      </c>
      <c r="CB207" s="357">
        <v>0</v>
      </c>
      <c r="CC207" s="357">
        <v>0</v>
      </c>
      <c r="CD207" s="357">
        <v>0</v>
      </c>
      <c r="CE207" s="357">
        <v>1919891</v>
      </c>
      <c r="CF207" s="357">
        <v>0</v>
      </c>
      <c r="CG207" s="357">
        <v>0</v>
      </c>
      <c r="CH207" s="357">
        <v>1919891</v>
      </c>
      <c r="CI207" s="357">
        <v>1919891</v>
      </c>
      <c r="CJ207" s="357">
        <v>0</v>
      </c>
      <c r="CK207" s="357">
        <v>0</v>
      </c>
      <c r="CL207" s="357">
        <v>0</v>
      </c>
      <c r="CM207" s="357">
        <v>0</v>
      </c>
      <c r="CN207" s="357">
        <v>0</v>
      </c>
      <c r="CO207" s="357">
        <v>1919891</v>
      </c>
      <c r="CP207" s="357">
        <v>0</v>
      </c>
      <c r="CQ207" s="357">
        <v>0</v>
      </c>
      <c r="CR207" s="357">
        <v>1919891</v>
      </c>
      <c r="CS207" s="357">
        <v>261538</v>
      </c>
      <c r="CT207" s="357">
        <v>0</v>
      </c>
      <c r="CU207" s="357">
        <v>0</v>
      </c>
      <c r="CV207" s="357">
        <v>261538</v>
      </c>
      <c r="CW207" s="357">
        <v>33820</v>
      </c>
      <c r="CX207" s="357">
        <v>0</v>
      </c>
      <c r="CY207" s="357">
        <v>0</v>
      </c>
      <c r="CZ207" s="357">
        <v>33820</v>
      </c>
      <c r="DA207" s="357">
        <v>2737</v>
      </c>
      <c r="DB207" s="357">
        <v>0</v>
      </c>
      <c r="DC207" s="357">
        <v>0</v>
      </c>
      <c r="DD207" s="357">
        <v>2737</v>
      </c>
      <c r="DE207" s="357">
        <v>0</v>
      </c>
      <c r="DF207" s="357">
        <v>0</v>
      </c>
      <c r="DG207" s="357">
        <v>0</v>
      </c>
      <c r="DH207" s="357">
        <v>0</v>
      </c>
      <c r="DI207" s="357">
        <v>0</v>
      </c>
      <c r="DJ207" s="357">
        <v>0</v>
      </c>
      <c r="DK207" s="357">
        <v>0</v>
      </c>
      <c r="DL207" s="357">
        <v>0</v>
      </c>
      <c r="DM207" s="357">
        <v>0</v>
      </c>
      <c r="DN207" s="357">
        <v>0</v>
      </c>
      <c r="DO207" s="357">
        <v>0</v>
      </c>
      <c r="DP207" s="357">
        <v>0</v>
      </c>
      <c r="DQ207" s="357">
        <v>298095</v>
      </c>
      <c r="DR207" s="357">
        <v>0</v>
      </c>
      <c r="DS207" s="357">
        <v>0</v>
      </c>
      <c r="DT207" s="357">
        <v>0</v>
      </c>
      <c r="DU207" s="357">
        <v>0</v>
      </c>
      <c r="DV207" s="357">
        <v>0</v>
      </c>
      <c r="DW207" s="357">
        <v>298095</v>
      </c>
      <c r="DX207" s="357">
        <v>0</v>
      </c>
      <c r="DY207" s="357">
        <v>0</v>
      </c>
      <c r="DZ207" s="357">
        <v>298095</v>
      </c>
      <c r="EA207" s="357">
        <v>0</v>
      </c>
      <c r="EB207" s="357">
        <v>0</v>
      </c>
      <c r="EC207" s="357">
        <v>0</v>
      </c>
      <c r="ED207" s="357">
        <v>0</v>
      </c>
      <c r="EE207" s="357">
        <v>0</v>
      </c>
      <c r="EF207" s="357">
        <v>0</v>
      </c>
      <c r="EG207" s="357">
        <v>0</v>
      </c>
      <c r="EH207" s="357">
        <v>0</v>
      </c>
      <c r="EI207" s="357">
        <v>0</v>
      </c>
      <c r="EJ207" s="357">
        <v>0</v>
      </c>
      <c r="EK207" s="357">
        <v>815887</v>
      </c>
      <c r="EL207" s="357">
        <v>0</v>
      </c>
      <c r="EM207" s="357">
        <v>0</v>
      </c>
      <c r="EN207" s="357">
        <v>815887</v>
      </c>
      <c r="EO207" s="357">
        <v>815887</v>
      </c>
      <c r="EP207" s="357">
        <v>0</v>
      </c>
      <c r="EQ207" s="357">
        <v>0</v>
      </c>
      <c r="ER207" s="357">
        <v>0</v>
      </c>
      <c r="ES207" s="357">
        <v>0</v>
      </c>
      <c r="ET207" s="357">
        <v>0</v>
      </c>
      <c r="EU207" s="357">
        <v>815887</v>
      </c>
      <c r="EV207" s="357">
        <v>0</v>
      </c>
      <c r="EW207" s="357">
        <v>0</v>
      </c>
      <c r="EX207" s="357">
        <v>815887</v>
      </c>
      <c r="EY207" s="357">
        <v>59903826.8</v>
      </c>
      <c r="EZ207" s="357">
        <v>0</v>
      </c>
      <c r="FA207" s="357">
        <v>0</v>
      </c>
      <c r="FB207" s="357">
        <v>59903826.8</v>
      </c>
      <c r="FC207" s="277">
        <v>0</v>
      </c>
      <c r="FD207" s="205"/>
    </row>
    <row r="208" spans="1:160" ht="12.75">
      <c r="A208" s="169">
        <v>201</v>
      </c>
      <c r="B208" s="172" t="s">
        <v>331</v>
      </c>
      <c r="C208" s="258" t="s">
        <v>332</v>
      </c>
      <c r="D208" s="235">
        <v>41547</v>
      </c>
      <c r="E208" s="357">
        <v>204283012</v>
      </c>
      <c r="F208" s="357">
        <v>0</v>
      </c>
      <c r="G208" s="357">
        <v>0</v>
      </c>
      <c r="H208" s="357">
        <v>204283012</v>
      </c>
      <c r="I208" s="357">
        <v>96217299</v>
      </c>
      <c r="J208" s="357">
        <v>0</v>
      </c>
      <c r="K208" s="357">
        <v>0</v>
      </c>
      <c r="L208" s="357">
        <v>0</v>
      </c>
      <c r="M208" s="357">
        <v>0</v>
      </c>
      <c r="N208" s="357">
        <v>0</v>
      </c>
      <c r="O208" s="357">
        <v>96217299</v>
      </c>
      <c r="P208" s="357">
        <v>0</v>
      </c>
      <c r="Q208" s="357">
        <v>0</v>
      </c>
      <c r="R208" s="357">
        <v>96217299</v>
      </c>
      <c r="S208" s="357">
        <v>366391</v>
      </c>
      <c r="T208" s="357">
        <v>0</v>
      </c>
      <c r="U208" s="357">
        <v>0</v>
      </c>
      <c r="V208" s="357">
        <v>366391</v>
      </c>
      <c r="W208" s="357">
        <v>783965</v>
      </c>
      <c r="X208" s="357">
        <v>0</v>
      </c>
      <c r="Y208" s="357">
        <v>0</v>
      </c>
      <c r="Z208" s="357">
        <v>783965</v>
      </c>
      <c r="AA208" s="357">
        <v>-417574</v>
      </c>
      <c r="AB208" s="357">
        <v>0</v>
      </c>
      <c r="AC208" s="357">
        <v>0</v>
      </c>
      <c r="AD208" s="357">
        <v>0</v>
      </c>
      <c r="AE208" s="357">
        <v>0</v>
      </c>
      <c r="AF208" s="357">
        <v>0</v>
      </c>
      <c r="AG208" s="357">
        <v>-417574</v>
      </c>
      <c r="AH208" s="357">
        <v>0</v>
      </c>
      <c r="AI208" s="357">
        <v>0</v>
      </c>
      <c r="AJ208" s="357">
        <v>-417574</v>
      </c>
      <c r="AK208" s="357">
        <v>-417574</v>
      </c>
      <c r="AL208" s="357">
        <v>0</v>
      </c>
      <c r="AM208" s="357">
        <v>0</v>
      </c>
      <c r="AN208" s="357">
        <v>-417574</v>
      </c>
      <c r="AO208" s="357">
        <v>3331244</v>
      </c>
      <c r="AP208" s="357">
        <v>0</v>
      </c>
      <c r="AQ208" s="357">
        <v>0</v>
      </c>
      <c r="AR208" s="357">
        <v>3331244</v>
      </c>
      <c r="AS208" s="357">
        <v>10000</v>
      </c>
      <c r="AT208" s="357">
        <v>0</v>
      </c>
      <c r="AU208" s="357">
        <v>0</v>
      </c>
      <c r="AV208" s="357">
        <v>10000</v>
      </c>
      <c r="AW208" s="357">
        <v>1864207</v>
      </c>
      <c r="AX208" s="357">
        <v>0</v>
      </c>
      <c r="AY208" s="357">
        <v>0</v>
      </c>
      <c r="AZ208" s="357">
        <v>1864207</v>
      </c>
      <c r="BA208" s="357">
        <v>1467037</v>
      </c>
      <c r="BB208" s="357">
        <v>0</v>
      </c>
      <c r="BC208" s="357">
        <v>0</v>
      </c>
      <c r="BD208" s="357">
        <v>1467037</v>
      </c>
      <c r="BE208" s="357">
        <v>5997009</v>
      </c>
      <c r="BF208" s="357">
        <v>0</v>
      </c>
      <c r="BG208" s="357">
        <v>0</v>
      </c>
      <c r="BH208" s="357">
        <v>5997009</v>
      </c>
      <c r="BI208" s="357">
        <v>32699</v>
      </c>
      <c r="BJ208" s="357">
        <v>0</v>
      </c>
      <c r="BK208" s="357">
        <v>0</v>
      </c>
      <c r="BL208" s="357">
        <v>32699</v>
      </c>
      <c r="BM208" s="357">
        <v>0</v>
      </c>
      <c r="BN208" s="357">
        <v>0</v>
      </c>
      <c r="BO208" s="357">
        <v>0</v>
      </c>
      <c r="BP208" s="357">
        <v>0</v>
      </c>
      <c r="BQ208" s="357">
        <v>7496745</v>
      </c>
      <c r="BR208" s="357">
        <v>0</v>
      </c>
      <c r="BS208" s="357">
        <v>0</v>
      </c>
      <c r="BT208" s="357">
        <v>198200</v>
      </c>
      <c r="BU208" s="357">
        <v>0</v>
      </c>
      <c r="BV208" s="357">
        <v>0</v>
      </c>
      <c r="BW208" s="357">
        <v>7694945</v>
      </c>
      <c r="BX208" s="357">
        <v>0</v>
      </c>
      <c r="BY208" s="357">
        <v>0</v>
      </c>
      <c r="BZ208" s="357">
        <v>7694945</v>
      </c>
      <c r="CA208" s="357">
        <v>30000</v>
      </c>
      <c r="CB208" s="357">
        <v>0</v>
      </c>
      <c r="CC208" s="357">
        <v>0</v>
      </c>
      <c r="CD208" s="357">
        <v>30000</v>
      </c>
      <c r="CE208" s="357">
        <v>891313</v>
      </c>
      <c r="CF208" s="357">
        <v>0</v>
      </c>
      <c r="CG208" s="357">
        <v>0</v>
      </c>
      <c r="CH208" s="357">
        <v>891313</v>
      </c>
      <c r="CI208" s="357">
        <v>921313</v>
      </c>
      <c r="CJ208" s="357">
        <v>0</v>
      </c>
      <c r="CK208" s="357">
        <v>0</v>
      </c>
      <c r="CL208" s="357">
        <v>700000</v>
      </c>
      <c r="CM208" s="357">
        <v>0</v>
      </c>
      <c r="CN208" s="357">
        <v>0</v>
      </c>
      <c r="CO208" s="357">
        <v>1621313</v>
      </c>
      <c r="CP208" s="357">
        <v>0</v>
      </c>
      <c r="CQ208" s="357">
        <v>0</v>
      </c>
      <c r="CR208" s="357">
        <v>1621313</v>
      </c>
      <c r="CS208" s="357">
        <v>239700</v>
      </c>
      <c r="CT208" s="357">
        <v>0</v>
      </c>
      <c r="CU208" s="357">
        <v>0</v>
      </c>
      <c r="CV208" s="357">
        <v>239700</v>
      </c>
      <c r="CW208" s="357">
        <v>9200</v>
      </c>
      <c r="CX208" s="357">
        <v>0</v>
      </c>
      <c r="CY208" s="357">
        <v>0</v>
      </c>
      <c r="CZ208" s="357">
        <v>9200</v>
      </c>
      <c r="DA208" s="357">
        <v>2600</v>
      </c>
      <c r="DB208" s="357">
        <v>0</v>
      </c>
      <c r="DC208" s="357">
        <v>0</v>
      </c>
      <c r="DD208" s="357">
        <v>2600</v>
      </c>
      <c r="DE208" s="357">
        <v>0</v>
      </c>
      <c r="DF208" s="357">
        <v>0</v>
      </c>
      <c r="DG208" s="357">
        <v>0</v>
      </c>
      <c r="DH208" s="357">
        <v>0</v>
      </c>
      <c r="DI208" s="357">
        <v>0</v>
      </c>
      <c r="DJ208" s="357">
        <v>0</v>
      </c>
      <c r="DK208" s="357">
        <v>0</v>
      </c>
      <c r="DL208" s="357">
        <v>0</v>
      </c>
      <c r="DM208" s="357">
        <v>0</v>
      </c>
      <c r="DN208" s="357">
        <v>0</v>
      </c>
      <c r="DO208" s="357">
        <v>0</v>
      </c>
      <c r="DP208" s="357">
        <v>0</v>
      </c>
      <c r="DQ208" s="357">
        <v>251500</v>
      </c>
      <c r="DR208" s="357">
        <v>0</v>
      </c>
      <c r="DS208" s="357">
        <v>0</v>
      </c>
      <c r="DT208" s="357">
        <v>0</v>
      </c>
      <c r="DU208" s="357">
        <v>0</v>
      </c>
      <c r="DV208" s="357">
        <v>0</v>
      </c>
      <c r="DW208" s="357">
        <v>251500</v>
      </c>
      <c r="DX208" s="357">
        <v>0</v>
      </c>
      <c r="DY208" s="357">
        <v>0</v>
      </c>
      <c r="DZ208" s="357">
        <v>251500</v>
      </c>
      <c r="EA208" s="357">
        <v>0</v>
      </c>
      <c r="EB208" s="357">
        <v>0</v>
      </c>
      <c r="EC208" s="357">
        <v>5000</v>
      </c>
      <c r="ED208" s="357">
        <v>0</v>
      </c>
      <c r="EE208" s="357">
        <v>0</v>
      </c>
      <c r="EF208" s="357">
        <v>5000</v>
      </c>
      <c r="EG208" s="357">
        <v>40000</v>
      </c>
      <c r="EH208" s="357">
        <v>0</v>
      </c>
      <c r="EI208" s="357">
        <v>0</v>
      </c>
      <c r="EJ208" s="357">
        <v>40000</v>
      </c>
      <c r="EK208" s="357">
        <v>1120700</v>
      </c>
      <c r="EL208" s="357">
        <v>0</v>
      </c>
      <c r="EM208" s="357">
        <v>0</v>
      </c>
      <c r="EN208" s="357">
        <v>1120700</v>
      </c>
      <c r="EO208" s="357">
        <v>1165700</v>
      </c>
      <c r="EP208" s="357">
        <v>0</v>
      </c>
      <c r="EQ208" s="357">
        <v>0</v>
      </c>
      <c r="ER208" s="357">
        <v>0</v>
      </c>
      <c r="ES208" s="357">
        <v>0</v>
      </c>
      <c r="ET208" s="357">
        <v>0</v>
      </c>
      <c r="EU208" s="357">
        <v>1165700</v>
      </c>
      <c r="EV208" s="357">
        <v>0</v>
      </c>
      <c r="EW208" s="357">
        <v>0</v>
      </c>
      <c r="EX208" s="357">
        <v>1165700</v>
      </c>
      <c r="EY208" s="357">
        <v>85901415</v>
      </c>
      <c r="EZ208" s="357">
        <v>0</v>
      </c>
      <c r="FA208" s="357">
        <v>0</v>
      </c>
      <c r="FB208" s="357">
        <v>85901415</v>
      </c>
      <c r="FC208" s="277">
        <v>0</v>
      </c>
      <c r="FD208" s="205"/>
    </row>
    <row r="209" spans="1:160" ht="12.75">
      <c r="A209" s="169">
        <v>202</v>
      </c>
      <c r="B209" s="172" t="s">
        <v>333</v>
      </c>
      <c r="C209" s="258" t="s">
        <v>334</v>
      </c>
      <c r="D209" s="235">
        <v>181213</v>
      </c>
      <c r="E209" s="357">
        <v>168705464</v>
      </c>
      <c r="F209" s="357">
        <v>0</v>
      </c>
      <c r="G209" s="357">
        <v>0</v>
      </c>
      <c r="H209" s="357">
        <v>168705464</v>
      </c>
      <c r="I209" s="357">
        <v>79460274</v>
      </c>
      <c r="J209" s="357">
        <v>0</v>
      </c>
      <c r="K209" s="357">
        <v>0</v>
      </c>
      <c r="L209" s="357">
        <v>0</v>
      </c>
      <c r="M209" s="357">
        <v>0</v>
      </c>
      <c r="N209" s="357">
        <v>0</v>
      </c>
      <c r="O209" s="357">
        <v>79460274</v>
      </c>
      <c r="P209" s="357">
        <v>0</v>
      </c>
      <c r="Q209" s="357">
        <v>0</v>
      </c>
      <c r="R209" s="357">
        <v>79460274</v>
      </c>
      <c r="S209" s="357">
        <v>173467.59</v>
      </c>
      <c r="T209" s="357">
        <v>0</v>
      </c>
      <c r="U209" s="357">
        <v>0</v>
      </c>
      <c r="V209" s="357">
        <v>173467.59</v>
      </c>
      <c r="W209" s="357">
        <v>547.57</v>
      </c>
      <c r="X209" s="357">
        <v>0</v>
      </c>
      <c r="Y209" s="357">
        <v>0</v>
      </c>
      <c r="Z209" s="357">
        <v>547.57</v>
      </c>
      <c r="AA209" s="357">
        <v>172920.02</v>
      </c>
      <c r="AB209" s="357">
        <v>0</v>
      </c>
      <c r="AC209" s="357">
        <v>0</v>
      </c>
      <c r="AD209" s="357">
        <v>0</v>
      </c>
      <c r="AE209" s="357">
        <v>0</v>
      </c>
      <c r="AF209" s="357">
        <v>0</v>
      </c>
      <c r="AG209" s="357">
        <v>172920.02</v>
      </c>
      <c r="AH209" s="357">
        <v>0</v>
      </c>
      <c r="AI209" s="357">
        <v>0</v>
      </c>
      <c r="AJ209" s="357">
        <v>172920.02</v>
      </c>
      <c r="AK209" s="357">
        <v>172920.02</v>
      </c>
      <c r="AL209" s="357">
        <v>0</v>
      </c>
      <c r="AM209" s="357">
        <v>0</v>
      </c>
      <c r="AN209" s="357">
        <v>172920.02</v>
      </c>
      <c r="AO209" s="357">
        <v>3195539.76</v>
      </c>
      <c r="AP209" s="357">
        <v>0</v>
      </c>
      <c r="AQ209" s="357">
        <v>0</v>
      </c>
      <c r="AR209" s="357">
        <v>3195539.76</v>
      </c>
      <c r="AS209" s="357">
        <v>0</v>
      </c>
      <c r="AT209" s="357">
        <v>0</v>
      </c>
      <c r="AU209" s="357">
        <v>0</v>
      </c>
      <c r="AV209" s="357">
        <v>0</v>
      </c>
      <c r="AW209" s="357">
        <v>1648305.73</v>
      </c>
      <c r="AX209" s="357">
        <v>0</v>
      </c>
      <c r="AY209" s="357">
        <v>0</v>
      </c>
      <c r="AZ209" s="357">
        <v>1648305.73</v>
      </c>
      <c r="BA209" s="357">
        <v>1547234.03</v>
      </c>
      <c r="BB209" s="357">
        <v>0</v>
      </c>
      <c r="BC209" s="357">
        <v>0</v>
      </c>
      <c r="BD209" s="357">
        <v>1547234.03</v>
      </c>
      <c r="BE209" s="357">
        <v>4578181.98</v>
      </c>
      <c r="BF209" s="357">
        <v>0</v>
      </c>
      <c r="BG209" s="357">
        <v>0</v>
      </c>
      <c r="BH209" s="357">
        <v>4578181.98</v>
      </c>
      <c r="BI209" s="357">
        <v>72928.53</v>
      </c>
      <c r="BJ209" s="357">
        <v>0</v>
      </c>
      <c r="BK209" s="357">
        <v>0</v>
      </c>
      <c r="BL209" s="357">
        <v>72928.53</v>
      </c>
      <c r="BM209" s="357">
        <v>3212</v>
      </c>
      <c r="BN209" s="357">
        <v>0</v>
      </c>
      <c r="BO209" s="357">
        <v>0</v>
      </c>
      <c r="BP209" s="357">
        <v>3212</v>
      </c>
      <c r="BQ209" s="357">
        <v>6201556.54</v>
      </c>
      <c r="BR209" s="357">
        <v>0</v>
      </c>
      <c r="BS209" s="357">
        <v>0</v>
      </c>
      <c r="BT209" s="357">
        <v>108000</v>
      </c>
      <c r="BU209" s="357">
        <v>0</v>
      </c>
      <c r="BV209" s="357">
        <v>0</v>
      </c>
      <c r="BW209" s="357">
        <v>6309556.54</v>
      </c>
      <c r="BX209" s="357">
        <v>0</v>
      </c>
      <c r="BY209" s="357">
        <v>0</v>
      </c>
      <c r="BZ209" s="357">
        <v>6309556.54</v>
      </c>
      <c r="CA209" s="357">
        <v>0</v>
      </c>
      <c r="CB209" s="357">
        <v>0</v>
      </c>
      <c r="CC209" s="357">
        <v>0</v>
      </c>
      <c r="CD209" s="357">
        <v>0</v>
      </c>
      <c r="CE209" s="357">
        <v>3646151.15</v>
      </c>
      <c r="CF209" s="357">
        <v>0</v>
      </c>
      <c r="CG209" s="357">
        <v>0</v>
      </c>
      <c r="CH209" s="357">
        <v>3646151.15</v>
      </c>
      <c r="CI209" s="357">
        <v>3646151.15</v>
      </c>
      <c r="CJ209" s="357">
        <v>0</v>
      </c>
      <c r="CK209" s="357">
        <v>0</v>
      </c>
      <c r="CL209" s="357">
        <v>0</v>
      </c>
      <c r="CM209" s="357">
        <v>0</v>
      </c>
      <c r="CN209" s="357">
        <v>0</v>
      </c>
      <c r="CO209" s="357">
        <v>3646151.15</v>
      </c>
      <c r="CP209" s="357">
        <v>0</v>
      </c>
      <c r="CQ209" s="357">
        <v>0</v>
      </c>
      <c r="CR209" s="357">
        <v>3646151.15</v>
      </c>
      <c r="CS209" s="357">
        <v>59541.12</v>
      </c>
      <c r="CT209" s="357">
        <v>0</v>
      </c>
      <c r="CU209" s="357">
        <v>0</v>
      </c>
      <c r="CV209" s="357">
        <v>59541.12</v>
      </c>
      <c r="CW209" s="357">
        <v>0</v>
      </c>
      <c r="CX209" s="357">
        <v>0</v>
      </c>
      <c r="CY209" s="357">
        <v>0</v>
      </c>
      <c r="CZ209" s="357">
        <v>0</v>
      </c>
      <c r="DA209" s="357">
        <v>298.84</v>
      </c>
      <c r="DB209" s="357">
        <v>0</v>
      </c>
      <c r="DC209" s="357">
        <v>0</v>
      </c>
      <c r="DD209" s="357">
        <v>298.84</v>
      </c>
      <c r="DE209" s="357">
        <v>3212.12</v>
      </c>
      <c r="DF209" s="357">
        <v>0</v>
      </c>
      <c r="DG209" s="357">
        <v>0</v>
      </c>
      <c r="DH209" s="357">
        <v>3212.12</v>
      </c>
      <c r="DI209" s="357">
        <v>0</v>
      </c>
      <c r="DJ209" s="357">
        <v>0</v>
      </c>
      <c r="DK209" s="357">
        <v>0</v>
      </c>
      <c r="DL209" s="357">
        <v>0</v>
      </c>
      <c r="DM209" s="357">
        <v>0</v>
      </c>
      <c r="DN209" s="357">
        <v>0</v>
      </c>
      <c r="DO209" s="357">
        <v>0</v>
      </c>
      <c r="DP209" s="357">
        <v>0</v>
      </c>
      <c r="DQ209" s="357">
        <v>63052.08</v>
      </c>
      <c r="DR209" s="357">
        <v>0</v>
      </c>
      <c r="DS209" s="357">
        <v>0</v>
      </c>
      <c r="DT209" s="357">
        <v>0</v>
      </c>
      <c r="DU209" s="357">
        <v>0</v>
      </c>
      <c r="DV209" s="357">
        <v>0</v>
      </c>
      <c r="DW209" s="357">
        <v>63052.08</v>
      </c>
      <c r="DX209" s="357">
        <v>0</v>
      </c>
      <c r="DY209" s="357">
        <v>0</v>
      </c>
      <c r="DZ209" s="357">
        <v>63052.08</v>
      </c>
      <c r="EA209" s="357">
        <v>0</v>
      </c>
      <c r="EB209" s="357">
        <v>0</v>
      </c>
      <c r="EC209" s="357">
        <v>0</v>
      </c>
      <c r="ED209" s="357">
        <v>0</v>
      </c>
      <c r="EE209" s="357">
        <v>0</v>
      </c>
      <c r="EF209" s="357">
        <v>0</v>
      </c>
      <c r="EG209" s="357">
        <v>138190.67</v>
      </c>
      <c r="EH209" s="357">
        <v>0</v>
      </c>
      <c r="EI209" s="357">
        <v>0</v>
      </c>
      <c r="EJ209" s="357">
        <v>138190.67</v>
      </c>
      <c r="EK209" s="357">
        <v>791007.93</v>
      </c>
      <c r="EL209" s="357">
        <v>0</v>
      </c>
      <c r="EM209" s="357">
        <v>0</v>
      </c>
      <c r="EN209" s="357">
        <v>791007.93</v>
      </c>
      <c r="EO209" s="357">
        <v>929198.6</v>
      </c>
      <c r="EP209" s="357">
        <v>0</v>
      </c>
      <c r="EQ209" s="357">
        <v>0</v>
      </c>
      <c r="ER209" s="357">
        <v>0</v>
      </c>
      <c r="ES209" s="357">
        <v>0</v>
      </c>
      <c r="ET209" s="357">
        <v>0</v>
      </c>
      <c r="EU209" s="357">
        <v>929198.6</v>
      </c>
      <c r="EV209" s="357">
        <v>0</v>
      </c>
      <c r="EW209" s="357">
        <v>0</v>
      </c>
      <c r="EX209" s="357">
        <v>929198.6</v>
      </c>
      <c r="EY209" s="357">
        <v>68339395.6</v>
      </c>
      <c r="EZ209" s="357">
        <v>0</v>
      </c>
      <c r="FA209" s="357">
        <v>0</v>
      </c>
      <c r="FB209" s="357">
        <v>68339395.6</v>
      </c>
      <c r="FC209" s="277">
        <v>0</v>
      </c>
      <c r="FD209" s="205"/>
    </row>
    <row r="210" spans="1:160" ht="12.75">
      <c r="A210" s="169">
        <v>203</v>
      </c>
      <c r="B210" s="172" t="s">
        <v>335</v>
      </c>
      <c r="C210" s="258" t="s">
        <v>336</v>
      </c>
      <c r="D210" s="235">
        <v>41547</v>
      </c>
      <c r="E210" s="357">
        <v>41948587</v>
      </c>
      <c r="F210" s="357">
        <v>0</v>
      </c>
      <c r="G210" s="357">
        <v>0</v>
      </c>
      <c r="H210" s="357">
        <v>41948587</v>
      </c>
      <c r="I210" s="357">
        <v>19757784</v>
      </c>
      <c r="J210" s="357">
        <v>0</v>
      </c>
      <c r="K210" s="357">
        <v>0</v>
      </c>
      <c r="L210" s="357">
        <v>12000</v>
      </c>
      <c r="M210" s="357">
        <v>0</v>
      </c>
      <c r="N210" s="357">
        <v>0</v>
      </c>
      <c r="O210" s="357">
        <v>19769784</v>
      </c>
      <c r="P210" s="357">
        <v>0</v>
      </c>
      <c r="Q210" s="357">
        <v>0</v>
      </c>
      <c r="R210" s="357">
        <v>19769784</v>
      </c>
      <c r="S210" s="357">
        <v>78690</v>
      </c>
      <c r="T210" s="357">
        <v>0</v>
      </c>
      <c r="U210" s="357">
        <v>0</v>
      </c>
      <c r="V210" s="357">
        <v>78690</v>
      </c>
      <c r="W210" s="357">
        <v>14433</v>
      </c>
      <c r="X210" s="357">
        <v>0</v>
      </c>
      <c r="Y210" s="357">
        <v>0</v>
      </c>
      <c r="Z210" s="357">
        <v>14433</v>
      </c>
      <c r="AA210" s="357">
        <v>64257</v>
      </c>
      <c r="AB210" s="357">
        <v>0</v>
      </c>
      <c r="AC210" s="357">
        <v>0</v>
      </c>
      <c r="AD210" s="357">
        <v>0</v>
      </c>
      <c r="AE210" s="357">
        <v>0</v>
      </c>
      <c r="AF210" s="357">
        <v>0</v>
      </c>
      <c r="AG210" s="357">
        <v>64257</v>
      </c>
      <c r="AH210" s="357">
        <v>0</v>
      </c>
      <c r="AI210" s="357">
        <v>0</v>
      </c>
      <c r="AJ210" s="357">
        <v>64257</v>
      </c>
      <c r="AK210" s="357">
        <v>64257</v>
      </c>
      <c r="AL210" s="357">
        <v>0</v>
      </c>
      <c r="AM210" s="357">
        <v>0</v>
      </c>
      <c r="AN210" s="357">
        <v>64257</v>
      </c>
      <c r="AO210" s="357">
        <v>1579810</v>
      </c>
      <c r="AP210" s="357">
        <v>0</v>
      </c>
      <c r="AQ210" s="357">
        <v>0</v>
      </c>
      <c r="AR210" s="357">
        <v>1579810</v>
      </c>
      <c r="AS210" s="357">
        <v>15798</v>
      </c>
      <c r="AT210" s="357">
        <v>0</v>
      </c>
      <c r="AU210" s="357">
        <v>0</v>
      </c>
      <c r="AV210" s="357">
        <v>15798</v>
      </c>
      <c r="AW210" s="357">
        <v>370481</v>
      </c>
      <c r="AX210" s="357">
        <v>0</v>
      </c>
      <c r="AY210" s="357">
        <v>0</v>
      </c>
      <c r="AZ210" s="357">
        <v>370481</v>
      </c>
      <c r="BA210" s="357">
        <v>1209329</v>
      </c>
      <c r="BB210" s="357">
        <v>0</v>
      </c>
      <c r="BC210" s="357">
        <v>0</v>
      </c>
      <c r="BD210" s="357">
        <v>1209329</v>
      </c>
      <c r="BE210" s="357">
        <v>711929</v>
      </c>
      <c r="BF210" s="357">
        <v>0</v>
      </c>
      <c r="BG210" s="357">
        <v>0</v>
      </c>
      <c r="BH210" s="357">
        <v>711929</v>
      </c>
      <c r="BI210" s="357">
        <v>44267</v>
      </c>
      <c r="BJ210" s="357">
        <v>0</v>
      </c>
      <c r="BK210" s="357">
        <v>0</v>
      </c>
      <c r="BL210" s="357">
        <v>44267</v>
      </c>
      <c r="BM210" s="357">
        <v>10676</v>
      </c>
      <c r="BN210" s="357">
        <v>0</v>
      </c>
      <c r="BO210" s="357">
        <v>0</v>
      </c>
      <c r="BP210" s="357">
        <v>10676</v>
      </c>
      <c r="BQ210" s="357">
        <v>1976201</v>
      </c>
      <c r="BR210" s="357">
        <v>0</v>
      </c>
      <c r="BS210" s="357">
        <v>0</v>
      </c>
      <c r="BT210" s="357">
        <v>0</v>
      </c>
      <c r="BU210" s="357">
        <v>0</v>
      </c>
      <c r="BV210" s="357">
        <v>0</v>
      </c>
      <c r="BW210" s="357">
        <v>1976201</v>
      </c>
      <c r="BX210" s="357">
        <v>0</v>
      </c>
      <c r="BY210" s="357">
        <v>0</v>
      </c>
      <c r="BZ210" s="357">
        <v>1976201</v>
      </c>
      <c r="CA210" s="357">
        <v>0</v>
      </c>
      <c r="CB210" s="357">
        <v>0</v>
      </c>
      <c r="CC210" s="357">
        <v>0</v>
      </c>
      <c r="CD210" s="357">
        <v>0</v>
      </c>
      <c r="CE210" s="357">
        <v>248803</v>
      </c>
      <c r="CF210" s="357">
        <v>0</v>
      </c>
      <c r="CG210" s="357">
        <v>0</v>
      </c>
      <c r="CH210" s="357">
        <v>248803</v>
      </c>
      <c r="CI210" s="357">
        <v>248803</v>
      </c>
      <c r="CJ210" s="357">
        <v>0</v>
      </c>
      <c r="CK210" s="357">
        <v>0</v>
      </c>
      <c r="CL210" s="357">
        <v>0</v>
      </c>
      <c r="CM210" s="357">
        <v>0</v>
      </c>
      <c r="CN210" s="357">
        <v>0</v>
      </c>
      <c r="CO210" s="357">
        <v>248803</v>
      </c>
      <c r="CP210" s="357">
        <v>0</v>
      </c>
      <c r="CQ210" s="357">
        <v>0</v>
      </c>
      <c r="CR210" s="357">
        <v>248803</v>
      </c>
      <c r="CS210" s="357">
        <v>16048</v>
      </c>
      <c r="CT210" s="357">
        <v>0</v>
      </c>
      <c r="CU210" s="357">
        <v>0</v>
      </c>
      <c r="CV210" s="357">
        <v>16048</v>
      </c>
      <c r="CW210" s="357">
        <v>6210</v>
      </c>
      <c r="CX210" s="357">
        <v>0</v>
      </c>
      <c r="CY210" s="357">
        <v>0</v>
      </c>
      <c r="CZ210" s="357">
        <v>6210</v>
      </c>
      <c r="DA210" s="357">
        <v>1614</v>
      </c>
      <c r="DB210" s="357">
        <v>0</v>
      </c>
      <c r="DC210" s="357">
        <v>0</v>
      </c>
      <c r="DD210" s="357">
        <v>1614</v>
      </c>
      <c r="DE210" s="357">
        <v>4037</v>
      </c>
      <c r="DF210" s="357">
        <v>0</v>
      </c>
      <c r="DG210" s="357">
        <v>0</v>
      </c>
      <c r="DH210" s="357">
        <v>4037</v>
      </c>
      <c r="DI210" s="357">
        <v>0</v>
      </c>
      <c r="DJ210" s="357">
        <v>0</v>
      </c>
      <c r="DK210" s="357">
        <v>0</v>
      </c>
      <c r="DL210" s="357">
        <v>0</v>
      </c>
      <c r="DM210" s="357">
        <v>0</v>
      </c>
      <c r="DN210" s="357">
        <v>0</v>
      </c>
      <c r="DO210" s="357">
        <v>0</v>
      </c>
      <c r="DP210" s="357">
        <v>0</v>
      </c>
      <c r="DQ210" s="357">
        <v>27909</v>
      </c>
      <c r="DR210" s="357">
        <v>0</v>
      </c>
      <c r="DS210" s="357">
        <v>0</v>
      </c>
      <c r="DT210" s="357">
        <v>0</v>
      </c>
      <c r="DU210" s="357">
        <v>0</v>
      </c>
      <c r="DV210" s="357">
        <v>0</v>
      </c>
      <c r="DW210" s="357">
        <v>27909</v>
      </c>
      <c r="DX210" s="357">
        <v>0</v>
      </c>
      <c r="DY210" s="357">
        <v>0</v>
      </c>
      <c r="DZ210" s="357">
        <v>27909</v>
      </c>
      <c r="EA210" s="357">
        <v>0</v>
      </c>
      <c r="EB210" s="357">
        <v>0</v>
      </c>
      <c r="EC210" s="357">
        <v>12000</v>
      </c>
      <c r="ED210" s="357">
        <v>0</v>
      </c>
      <c r="EE210" s="357">
        <v>0</v>
      </c>
      <c r="EF210" s="357">
        <v>12000</v>
      </c>
      <c r="EG210" s="357">
        <v>0</v>
      </c>
      <c r="EH210" s="357">
        <v>0</v>
      </c>
      <c r="EI210" s="357">
        <v>0</v>
      </c>
      <c r="EJ210" s="357">
        <v>0</v>
      </c>
      <c r="EK210" s="357">
        <v>267000</v>
      </c>
      <c r="EL210" s="357">
        <v>0</v>
      </c>
      <c r="EM210" s="357">
        <v>0</v>
      </c>
      <c r="EN210" s="357">
        <v>267000</v>
      </c>
      <c r="EO210" s="357">
        <v>279000</v>
      </c>
      <c r="EP210" s="357">
        <v>0</v>
      </c>
      <c r="EQ210" s="357">
        <v>0</v>
      </c>
      <c r="ER210" s="357">
        <v>0</v>
      </c>
      <c r="ES210" s="357">
        <v>0</v>
      </c>
      <c r="ET210" s="357">
        <v>0</v>
      </c>
      <c r="EU210" s="357">
        <v>279000</v>
      </c>
      <c r="EV210" s="357">
        <v>0</v>
      </c>
      <c r="EW210" s="357">
        <v>0</v>
      </c>
      <c r="EX210" s="357">
        <v>279000</v>
      </c>
      <c r="EY210" s="357">
        <v>17173614</v>
      </c>
      <c r="EZ210" s="357">
        <v>0</v>
      </c>
      <c r="FA210" s="357">
        <v>0</v>
      </c>
      <c r="FB210" s="357">
        <v>17173614</v>
      </c>
      <c r="FC210" s="277">
        <v>0</v>
      </c>
      <c r="FD210" s="205"/>
    </row>
    <row r="211" spans="1:160" ht="12.75">
      <c r="A211" s="169">
        <v>204</v>
      </c>
      <c r="B211" s="172" t="s">
        <v>337</v>
      </c>
      <c r="C211" s="258" t="s">
        <v>338</v>
      </c>
      <c r="D211" s="235">
        <v>41639</v>
      </c>
      <c r="E211" s="357">
        <v>249454617</v>
      </c>
      <c r="F211" s="357">
        <v>0</v>
      </c>
      <c r="G211" s="357">
        <v>0</v>
      </c>
      <c r="H211" s="357">
        <v>249454617</v>
      </c>
      <c r="I211" s="357">
        <v>117493125</v>
      </c>
      <c r="J211" s="357">
        <v>0</v>
      </c>
      <c r="K211" s="357">
        <v>0</v>
      </c>
      <c r="L211" s="357">
        <v>-1000000</v>
      </c>
      <c r="M211" s="357">
        <v>0</v>
      </c>
      <c r="N211" s="357">
        <v>0</v>
      </c>
      <c r="O211" s="357">
        <v>116493125</v>
      </c>
      <c r="P211" s="357">
        <v>0</v>
      </c>
      <c r="Q211" s="357">
        <v>0</v>
      </c>
      <c r="R211" s="357">
        <v>116493125</v>
      </c>
      <c r="S211" s="357">
        <v>265646.29</v>
      </c>
      <c r="T211" s="357">
        <v>0</v>
      </c>
      <c r="U211" s="357">
        <v>0</v>
      </c>
      <c r="V211" s="357">
        <v>265646.29</v>
      </c>
      <c r="W211" s="357">
        <v>22961.73</v>
      </c>
      <c r="X211" s="357">
        <v>0</v>
      </c>
      <c r="Y211" s="357">
        <v>0</v>
      </c>
      <c r="Z211" s="357">
        <v>22961.73</v>
      </c>
      <c r="AA211" s="357">
        <v>242684.56</v>
      </c>
      <c r="AB211" s="357">
        <v>0</v>
      </c>
      <c r="AC211" s="357">
        <v>0</v>
      </c>
      <c r="AD211" s="357">
        <v>0</v>
      </c>
      <c r="AE211" s="357">
        <v>0</v>
      </c>
      <c r="AF211" s="357">
        <v>0</v>
      </c>
      <c r="AG211" s="357">
        <v>242684.56</v>
      </c>
      <c r="AH211" s="357">
        <v>0</v>
      </c>
      <c r="AI211" s="357">
        <v>0</v>
      </c>
      <c r="AJ211" s="357">
        <v>242684.56</v>
      </c>
      <c r="AK211" s="357">
        <v>242684.56</v>
      </c>
      <c r="AL211" s="357">
        <v>0</v>
      </c>
      <c r="AM211" s="357">
        <v>0</v>
      </c>
      <c r="AN211" s="357">
        <v>242684.56</v>
      </c>
      <c r="AO211" s="357">
        <v>1623507.41</v>
      </c>
      <c r="AP211" s="357">
        <v>0</v>
      </c>
      <c r="AQ211" s="357">
        <v>0</v>
      </c>
      <c r="AR211" s="357">
        <v>1623507.41</v>
      </c>
      <c r="AS211" s="357">
        <v>0</v>
      </c>
      <c r="AT211" s="357">
        <v>0</v>
      </c>
      <c r="AU211" s="357">
        <v>0</v>
      </c>
      <c r="AV211" s="357">
        <v>0</v>
      </c>
      <c r="AW211" s="357">
        <v>2555635.81</v>
      </c>
      <c r="AX211" s="357">
        <v>0</v>
      </c>
      <c r="AY211" s="357">
        <v>0</v>
      </c>
      <c r="AZ211" s="357">
        <v>2555635.81</v>
      </c>
      <c r="BA211" s="357">
        <v>-932128.4</v>
      </c>
      <c r="BB211" s="357">
        <v>0</v>
      </c>
      <c r="BC211" s="357">
        <v>0</v>
      </c>
      <c r="BD211" s="357">
        <v>-932128.4</v>
      </c>
      <c r="BE211" s="357">
        <v>4155921.05</v>
      </c>
      <c r="BF211" s="357">
        <v>0</v>
      </c>
      <c r="BG211" s="357">
        <v>0</v>
      </c>
      <c r="BH211" s="357">
        <v>4155921.05</v>
      </c>
      <c r="BI211" s="357">
        <v>6632.32</v>
      </c>
      <c r="BJ211" s="357">
        <v>0</v>
      </c>
      <c r="BK211" s="357">
        <v>0</v>
      </c>
      <c r="BL211" s="357">
        <v>6632.32</v>
      </c>
      <c r="BM211" s="357">
        <v>0</v>
      </c>
      <c r="BN211" s="357">
        <v>0</v>
      </c>
      <c r="BO211" s="357">
        <v>0</v>
      </c>
      <c r="BP211" s="357">
        <v>0</v>
      </c>
      <c r="BQ211" s="357">
        <v>3230424.97</v>
      </c>
      <c r="BR211" s="357">
        <v>0</v>
      </c>
      <c r="BS211" s="357">
        <v>0</v>
      </c>
      <c r="BT211" s="357">
        <v>250000</v>
      </c>
      <c r="BU211" s="357">
        <v>0</v>
      </c>
      <c r="BV211" s="357">
        <v>0</v>
      </c>
      <c r="BW211" s="357">
        <v>3480424.97</v>
      </c>
      <c r="BX211" s="357">
        <v>0</v>
      </c>
      <c r="BY211" s="357">
        <v>0</v>
      </c>
      <c r="BZ211" s="357">
        <v>3480424.97</v>
      </c>
      <c r="CA211" s="357">
        <v>0</v>
      </c>
      <c r="CB211" s="357">
        <v>0</v>
      </c>
      <c r="CC211" s="357">
        <v>0</v>
      </c>
      <c r="CD211" s="357">
        <v>0</v>
      </c>
      <c r="CE211" s="357">
        <v>2240795.53</v>
      </c>
      <c r="CF211" s="357">
        <v>0</v>
      </c>
      <c r="CG211" s="357">
        <v>0</v>
      </c>
      <c r="CH211" s="357">
        <v>2240795.53</v>
      </c>
      <c r="CI211" s="357">
        <v>2240795.53</v>
      </c>
      <c r="CJ211" s="357">
        <v>0</v>
      </c>
      <c r="CK211" s="357">
        <v>0</v>
      </c>
      <c r="CL211" s="357">
        <v>1461460.89</v>
      </c>
      <c r="CM211" s="357">
        <v>0</v>
      </c>
      <c r="CN211" s="357">
        <v>0</v>
      </c>
      <c r="CO211" s="357">
        <v>3702256.42</v>
      </c>
      <c r="CP211" s="357">
        <v>0</v>
      </c>
      <c r="CQ211" s="357">
        <v>0</v>
      </c>
      <c r="CR211" s="357">
        <v>3702256.42</v>
      </c>
      <c r="CS211" s="357">
        <v>52117.12</v>
      </c>
      <c r="CT211" s="357">
        <v>0</v>
      </c>
      <c r="CU211" s="357">
        <v>0</v>
      </c>
      <c r="CV211" s="357">
        <v>52117.12</v>
      </c>
      <c r="CW211" s="357">
        <v>0</v>
      </c>
      <c r="CX211" s="357">
        <v>0</v>
      </c>
      <c r="CY211" s="357">
        <v>0</v>
      </c>
      <c r="CZ211" s="357">
        <v>0</v>
      </c>
      <c r="DA211" s="357">
        <v>0</v>
      </c>
      <c r="DB211" s="357">
        <v>0</v>
      </c>
      <c r="DC211" s="357">
        <v>0</v>
      </c>
      <c r="DD211" s="357">
        <v>0</v>
      </c>
      <c r="DE211" s="357">
        <v>0</v>
      </c>
      <c r="DF211" s="357">
        <v>0</v>
      </c>
      <c r="DG211" s="357">
        <v>0</v>
      </c>
      <c r="DH211" s="357">
        <v>0</v>
      </c>
      <c r="DI211" s="357">
        <v>0</v>
      </c>
      <c r="DJ211" s="357">
        <v>0</v>
      </c>
      <c r="DK211" s="357">
        <v>0</v>
      </c>
      <c r="DL211" s="357">
        <v>0</v>
      </c>
      <c r="DM211" s="357">
        <v>0</v>
      </c>
      <c r="DN211" s="357">
        <v>0</v>
      </c>
      <c r="DO211" s="357">
        <v>0</v>
      </c>
      <c r="DP211" s="357">
        <v>0</v>
      </c>
      <c r="DQ211" s="357">
        <v>52117.12</v>
      </c>
      <c r="DR211" s="357">
        <v>0</v>
      </c>
      <c r="DS211" s="357">
        <v>0</v>
      </c>
      <c r="DT211" s="357">
        <v>0</v>
      </c>
      <c r="DU211" s="357">
        <v>0</v>
      </c>
      <c r="DV211" s="357">
        <v>0</v>
      </c>
      <c r="DW211" s="357">
        <v>52117.12</v>
      </c>
      <c r="DX211" s="357">
        <v>0</v>
      </c>
      <c r="DY211" s="357">
        <v>0</v>
      </c>
      <c r="DZ211" s="357">
        <v>52117.12</v>
      </c>
      <c r="EA211" s="357">
        <v>0</v>
      </c>
      <c r="EB211" s="357">
        <v>0</v>
      </c>
      <c r="EC211" s="357">
        <v>0</v>
      </c>
      <c r="ED211" s="357">
        <v>0</v>
      </c>
      <c r="EE211" s="357">
        <v>0</v>
      </c>
      <c r="EF211" s="357">
        <v>0</v>
      </c>
      <c r="EG211" s="357">
        <v>0</v>
      </c>
      <c r="EH211" s="357">
        <v>0</v>
      </c>
      <c r="EI211" s="357">
        <v>0</v>
      </c>
      <c r="EJ211" s="357">
        <v>0</v>
      </c>
      <c r="EK211" s="357">
        <v>0</v>
      </c>
      <c r="EL211" s="357">
        <v>0</v>
      </c>
      <c r="EM211" s="357">
        <v>0</v>
      </c>
      <c r="EN211" s="357">
        <v>0</v>
      </c>
      <c r="EO211" s="357">
        <v>0</v>
      </c>
      <c r="EP211" s="357">
        <v>0</v>
      </c>
      <c r="EQ211" s="357">
        <v>0</v>
      </c>
      <c r="ER211" s="357">
        <v>0</v>
      </c>
      <c r="ES211" s="357">
        <v>0</v>
      </c>
      <c r="ET211" s="357">
        <v>0</v>
      </c>
      <c r="EU211" s="357">
        <v>0</v>
      </c>
      <c r="EV211" s="357">
        <v>0</v>
      </c>
      <c r="EW211" s="357">
        <v>0</v>
      </c>
      <c r="EX211" s="357">
        <v>0</v>
      </c>
      <c r="EY211" s="357">
        <v>109015642</v>
      </c>
      <c r="EZ211" s="357">
        <v>0</v>
      </c>
      <c r="FA211" s="357">
        <v>0</v>
      </c>
      <c r="FB211" s="357">
        <v>109015642</v>
      </c>
      <c r="FC211" s="277">
        <v>0</v>
      </c>
      <c r="FD211" s="205"/>
    </row>
    <row r="212" spans="1:160" ht="12.75">
      <c r="A212" s="169">
        <v>205</v>
      </c>
      <c r="B212" s="172" t="s">
        <v>339</v>
      </c>
      <c r="C212" s="258" t="s">
        <v>340</v>
      </c>
      <c r="D212" s="235">
        <v>41639</v>
      </c>
      <c r="E212" s="357">
        <v>138101298</v>
      </c>
      <c r="F212" s="357">
        <v>0</v>
      </c>
      <c r="G212" s="357">
        <v>0</v>
      </c>
      <c r="H212" s="357">
        <v>138101298</v>
      </c>
      <c r="I212" s="357">
        <v>65045711</v>
      </c>
      <c r="J212" s="357">
        <v>0</v>
      </c>
      <c r="K212" s="357">
        <v>0</v>
      </c>
      <c r="L212" s="357">
        <v>-1098626</v>
      </c>
      <c r="M212" s="357">
        <v>0</v>
      </c>
      <c r="N212" s="357">
        <v>0</v>
      </c>
      <c r="O212" s="357">
        <v>63947085</v>
      </c>
      <c r="P212" s="357">
        <v>0</v>
      </c>
      <c r="Q212" s="357">
        <v>0</v>
      </c>
      <c r="R212" s="357">
        <v>63947085</v>
      </c>
      <c r="S212" s="357">
        <v>165254</v>
      </c>
      <c r="T212" s="357">
        <v>0</v>
      </c>
      <c r="U212" s="357">
        <v>0</v>
      </c>
      <c r="V212" s="357">
        <v>165254</v>
      </c>
      <c r="W212" s="357">
        <v>34324</v>
      </c>
      <c r="X212" s="357">
        <v>0</v>
      </c>
      <c r="Y212" s="357">
        <v>0</v>
      </c>
      <c r="Z212" s="357">
        <v>34324</v>
      </c>
      <c r="AA212" s="357">
        <v>130930</v>
      </c>
      <c r="AB212" s="357">
        <v>0</v>
      </c>
      <c r="AC212" s="357">
        <v>0</v>
      </c>
      <c r="AD212" s="357">
        <v>0</v>
      </c>
      <c r="AE212" s="357">
        <v>0</v>
      </c>
      <c r="AF212" s="357">
        <v>0</v>
      </c>
      <c r="AG212" s="357">
        <v>130930</v>
      </c>
      <c r="AH212" s="357">
        <v>0</v>
      </c>
      <c r="AI212" s="357">
        <v>0</v>
      </c>
      <c r="AJ212" s="357">
        <v>130930</v>
      </c>
      <c r="AK212" s="357">
        <v>130930</v>
      </c>
      <c r="AL212" s="357">
        <v>0</v>
      </c>
      <c r="AM212" s="357">
        <v>0</v>
      </c>
      <c r="AN212" s="357">
        <v>130930</v>
      </c>
      <c r="AO212" s="357">
        <v>3436344</v>
      </c>
      <c r="AP212" s="357">
        <v>0</v>
      </c>
      <c r="AQ212" s="357">
        <v>0</v>
      </c>
      <c r="AR212" s="357">
        <v>3436344</v>
      </c>
      <c r="AS212" s="357">
        <v>0</v>
      </c>
      <c r="AT212" s="357">
        <v>0</v>
      </c>
      <c r="AU212" s="357">
        <v>0</v>
      </c>
      <c r="AV212" s="357">
        <v>0</v>
      </c>
      <c r="AW212" s="357">
        <v>1103141</v>
      </c>
      <c r="AX212" s="357">
        <v>0</v>
      </c>
      <c r="AY212" s="357">
        <v>0</v>
      </c>
      <c r="AZ212" s="357">
        <v>1103141</v>
      </c>
      <c r="BA212" s="357">
        <v>2333203</v>
      </c>
      <c r="BB212" s="357">
        <v>0</v>
      </c>
      <c r="BC212" s="357">
        <v>0</v>
      </c>
      <c r="BD212" s="357">
        <v>2333203</v>
      </c>
      <c r="BE212" s="357">
        <v>3751768</v>
      </c>
      <c r="BF212" s="357">
        <v>0</v>
      </c>
      <c r="BG212" s="357">
        <v>0</v>
      </c>
      <c r="BH212" s="357">
        <v>3751768</v>
      </c>
      <c r="BI212" s="357">
        <v>111390</v>
      </c>
      <c r="BJ212" s="357">
        <v>0</v>
      </c>
      <c r="BK212" s="357">
        <v>0</v>
      </c>
      <c r="BL212" s="357">
        <v>111390</v>
      </c>
      <c r="BM212" s="357">
        <v>0</v>
      </c>
      <c r="BN212" s="357">
        <v>0</v>
      </c>
      <c r="BO212" s="357">
        <v>0</v>
      </c>
      <c r="BP212" s="357">
        <v>0</v>
      </c>
      <c r="BQ212" s="357">
        <v>6196361</v>
      </c>
      <c r="BR212" s="357">
        <v>0</v>
      </c>
      <c r="BS212" s="357">
        <v>0</v>
      </c>
      <c r="BT212" s="357">
        <v>0</v>
      </c>
      <c r="BU212" s="357">
        <v>0</v>
      </c>
      <c r="BV212" s="357">
        <v>0</v>
      </c>
      <c r="BW212" s="357">
        <v>6196361</v>
      </c>
      <c r="BX212" s="357">
        <v>0</v>
      </c>
      <c r="BY212" s="357">
        <v>0</v>
      </c>
      <c r="BZ212" s="357">
        <v>6196361</v>
      </c>
      <c r="CA212" s="357">
        <v>0</v>
      </c>
      <c r="CB212" s="357">
        <v>0</v>
      </c>
      <c r="CC212" s="357">
        <v>0</v>
      </c>
      <c r="CD212" s="357">
        <v>0</v>
      </c>
      <c r="CE212" s="357">
        <v>1153733</v>
      </c>
      <c r="CF212" s="357">
        <v>0</v>
      </c>
      <c r="CG212" s="357">
        <v>0</v>
      </c>
      <c r="CH212" s="357">
        <v>1153733</v>
      </c>
      <c r="CI212" s="357">
        <v>1153733</v>
      </c>
      <c r="CJ212" s="357">
        <v>0</v>
      </c>
      <c r="CK212" s="357">
        <v>0</v>
      </c>
      <c r="CL212" s="357">
        <v>0</v>
      </c>
      <c r="CM212" s="357">
        <v>0</v>
      </c>
      <c r="CN212" s="357">
        <v>0</v>
      </c>
      <c r="CO212" s="357">
        <v>1153733</v>
      </c>
      <c r="CP212" s="357">
        <v>0</v>
      </c>
      <c r="CQ212" s="357">
        <v>0</v>
      </c>
      <c r="CR212" s="357">
        <v>1153733</v>
      </c>
      <c r="CS212" s="357">
        <v>0</v>
      </c>
      <c r="CT212" s="357">
        <v>0</v>
      </c>
      <c r="CU212" s="357">
        <v>0</v>
      </c>
      <c r="CV212" s="357">
        <v>0</v>
      </c>
      <c r="CW212" s="357">
        <v>13832</v>
      </c>
      <c r="CX212" s="357">
        <v>0</v>
      </c>
      <c r="CY212" s="357">
        <v>0</v>
      </c>
      <c r="CZ212" s="357">
        <v>13832</v>
      </c>
      <c r="DA212" s="357">
        <v>0</v>
      </c>
      <c r="DB212" s="357">
        <v>0</v>
      </c>
      <c r="DC212" s="357">
        <v>0</v>
      </c>
      <c r="DD212" s="357">
        <v>0</v>
      </c>
      <c r="DE212" s="357">
        <v>0</v>
      </c>
      <c r="DF212" s="357">
        <v>0</v>
      </c>
      <c r="DG212" s="357">
        <v>0</v>
      </c>
      <c r="DH212" s="357">
        <v>0</v>
      </c>
      <c r="DI212" s="357">
        <v>0</v>
      </c>
      <c r="DJ212" s="357">
        <v>0</v>
      </c>
      <c r="DK212" s="357">
        <v>0</v>
      </c>
      <c r="DL212" s="357">
        <v>0</v>
      </c>
      <c r="DM212" s="357">
        <v>0</v>
      </c>
      <c r="DN212" s="357">
        <v>0</v>
      </c>
      <c r="DO212" s="357">
        <v>0</v>
      </c>
      <c r="DP212" s="357">
        <v>0</v>
      </c>
      <c r="DQ212" s="357">
        <v>13832</v>
      </c>
      <c r="DR212" s="357">
        <v>0</v>
      </c>
      <c r="DS212" s="357">
        <v>0</v>
      </c>
      <c r="DT212" s="357">
        <v>0</v>
      </c>
      <c r="DU212" s="357">
        <v>0</v>
      </c>
      <c r="DV212" s="357">
        <v>0</v>
      </c>
      <c r="DW212" s="357">
        <v>13832</v>
      </c>
      <c r="DX212" s="357">
        <v>0</v>
      </c>
      <c r="DY212" s="357">
        <v>0</v>
      </c>
      <c r="DZ212" s="357">
        <v>13832</v>
      </c>
      <c r="EA212" s="357">
        <v>0</v>
      </c>
      <c r="EB212" s="357">
        <v>0</v>
      </c>
      <c r="EC212" s="357">
        <v>0</v>
      </c>
      <c r="ED212" s="357">
        <v>0</v>
      </c>
      <c r="EE212" s="357">
        <v>0</v>
      </c>
      <c r="EF212" s="357">
        <v>0</v>
      </c>
      <c r="EG212" s="357">
        <v>360000</v>
      </c>
      <c r="EH212" s="357">
        <v>0</v>
      </c>
      <c r="EI212" s="357">
        <v>0</v>
      </c>
      <c r="EJ212" s="357">
        <v>360000</v>
      </c>
      <c r="EK212" s="357">
        <v>2700000</v>
      </c>
      <c r="EL212" s="357">
        <v>0</v>
      </c>
      <c r="EM212" s="357">
        <v>0</v>
      </c>
      <c r="EN212" s="357">
        <v>2700000</v>
      </c>
      <c r="EO212" s="357">
        <v>3060000</v>
      </c>
      <c r="EP212" s="357">
        <v>0</v>
      </c>
      <c r="EQ212" s="357">
        <v>0</v>
      </c>
      <c r="ER212" s="357">
        <v>0</v>
      </c>
      <c r="ES212" s="357">
        <v>0</v>
      </c>
      <c r="ET212" s="357">
        <v>0</v>
      </c>
      <c r="EU212" s="357">
        <v>3060000</v>
      </c>
      <c r="EV212" s="357">
        <v>0</v>
      </c>
      <c r="EW212" s="357">
        <v>0</v>
      </c>
      <c r="EX212" s="357">
        <v>3060000</v>
      </c>
      <c r="EY212" s="357">
        <v>53392229</v>
      </c>
      <c r="EZ212" s="357">
        <v>0</v>
      </c>
      <c r="FA212" s="357">
        <v>0</v>
      </c>
      <c r="FB212" s="357">
        <v>53392229</v>
      </c>
      <c r="FC212" s="277">
        <v>0</v>
      </c>
      <c r="FD212" s="205"/>
    </row>
    <row r="213" spans="1:160" ht="12.75">
      <c r="A213" s="169">
        <v>206</v>
      </c>
      <c r="B213" s="172" t="s">
        <v>341</v>
      </c>
      <c r="C213" s="258" t="s">
        <v>342</v>
      </c>
      <c r="D213" s="235">
        <v>41639</v>
      </c>
      <c r="E213" s="357">
        <v>130919336</v>
      </c>
      <c r="F213" s="357">
        <v>0</v>
      </c>
      <c r="G213" s="357">
        <v>38000</v>
      </c>
      <c r="H213" s="357">
        <v>130957336</v>
      </c>
      <c r="I213" s="357">
        <v>61663007</v>
      </c>
      <c r="J213" s="357">
        <v>0</v>
      </c>
      <c r="K213" s="357">
        <v>17898</v>
      </c>
      <c r="L213" s="357">
        <v>0</v>
      </c>
      <c r="M213" s="357">
        <v>0</v>
      </c>
      <c r="N213" s="357">
        <v>0</v>
      </c>
      <c r="O213" s="357">
        <v>61663007</v>
      </c>
      <c r="P213" s="357">
        <v>0</v>
      </c>
      <c r="Q213" s="357">
        <v>17898</v>
      </c>
      <c r="R213" s="357">
        <v>61680905</v>
      </c>
      <c r="S213" s="357">
        <v>254259</v>
      </c>
      <c r="T213" s="357">
        <v>0</v>
      </c>
      <c r="U213" s="357">
        <v>0</v>
      </c>
      <c r="V213" s="357">
        <v>254259</v>
      </c>
      <c r="W213" s="357">
        <v>1607</v>
      </c>
      <c r="X213" s="357">
        <v>0</v>
      </c>
      <c r="Y213" s="357">
        <v>0</v>
      </c>
      <c r="Z213" s="357">
        <v>1607</v>
      </c>
      <c r="AA213" s="357">
        <v>252652</v>
      </c>
      <c r="AB213" s="357">
        <v>0</v>
      </c>
      <c r="AC213" s="357">
        <v>0</v>
      </c>
      <c r="AD213" s="357">
        <v>0</v>
      </c>
      <c r="AE213" s="357">
        <v>0</v>
      </c>
      <c r="AF213" s="357">
        <v>0</v>
      </c>
      <c r="AG213" s="357">
        <v>252652</v>
      </c>
      <c r="AH213" s="357">
        <v>0</v>
      </c>
      <c r="AI213" s="357">
        <v>0</v>
      </c>
      <c r="AJ213" s="357">
        <v>252652</v>
      </c>
      <c r="AK213" s="357">
        <v>252652</v>
      </c>
      <c r="AL213" s="357">
        <v>0</v>
      </c>
      <c r="AM213" s="357">
        <v>0</v>
      </c>
      <c r="AN213" s="357">
        <v>252652</v>
      </c>
      <c r="AO213" s="357">
        <v>2330880</v>
      </c>
      <c r="AP213" s="357">
        <v>0</v>
      </c>
      <c r="AQ213" s="357">
        <v>0</v>
      </c>
      <c r="AR213" s="357">
        <v>2330880</v>
      </c>
      <c r="AS213" s="357">
        <v>0</v>
      </c>
      <c r="AT213" s="357">
        <v>0</v>
      </c>
      <c r="AU213" s="357">
        <v>0</v>
      </c>
      <c r="AV213" s="357">
        <v>0</v>
      </c>
      <c r="AW213" s="357">
        <v>1269462</v>
      </c>
      <c r="AX213" s="357">
        <v>0</v>
      </c>
      <c r="AY213" s="357">
        <v>418</v>
      </c>
      <c r="AZ213" s="357">
        <v>1269880</v>
      </c>
      <c r="BA213" s="357">
        <v>1061418</v>
      </c>
      <c r="BB213" s="357">
        <v>0</v>
      </c>
      <c r="BC213" s="357">
        <v>-418</v>
      </c>
      <c r="BD213" s="357">
        <v>1061000</v>
      </c>
      <c r="BE213" s="357">
        <v>2350006</v>
      </c>
      <c r="BF213" s="357">
        <v>0</v>
      </c>
      <c r="BG213" s="357">
        <v>18316</v>
      </c>
      <c r="BH213" s="357">
        <v>2368322</v>
      </c>
      <c r="BI213" s="357">
        <v>63395</v>
      </c>
      <c r="BJ213" s="357">
        <v>0</v>
      </c>
      <c r="BK213" s="357">
        <v>0</v>
      </c>
      <c r="BL213" s="357">
        <v>63395</v>
      </c>
      <c r="BM213" s="357">
        <v>1639</v>
      </c>
      <c r="BN213" s="357">
        <v>0</v>
      </c>
      <c r="BO213" s="357">
        <v>0</v>
      </c>
      <c r="BP213" s="357">
        <v>1639</v>
      </c>
      <c r="BQ213" s="357">
        <v>3476458</v>
      </c>
      <c r="BR213" s="357">
        <v>0</v>
      </c>
      <c r="BS213" s="357">
        <v>17898</v>
      </c>
      <c r="BT213" s="357">
        <v>0</v>
      </c>
      <c r="BU213" s="357">
        <v>0</v>
      </c>
      <c r="BV213" s="357">
        <v>0</v>
      </c>
      <c r="BW213" s="357">
        <v>3476458</v>
      </c>
      <c r="BX213" s="357">
        <v>0</v>
      </c>
      <c r="BY213" s="357">
        <v>17898</v>
      </c>
      <c r="BZ213" s="357">
        <v>3494356</v>
      </c>
      <c r="CA213" s="357">
        <v>971454</v>
      </c>
      <c r="CB213" s="357">
        <v>0</v>
      </c>
      <c r="CC213" s="357">
        <v>0</v>
      </c>
      <c r="CD213" s="357">
        <v>971454</v>
      </c>
      <c r="CE213" s="357">
        <v>759477</v>
      </c>
      <c r="CF213" s="357">
        <v>0</v>
      </c>
      <c r="CG213" s="357">
        <v>0</v>
      </c>
      <c r="CH213" s="357">
        <v>759477</v>
      </c>
      <c r="CI213" s="357">
        <v>1730931</v>
      </c>
      <c r="CJ213" s="357">
        <v>0</v>
      </c>
      <c r="CK213" s="357">
        <v>0</v>
      </c>
      <c r="CL213" s="357">
        <v>0</v>
      </c>
      <c r="CM213" s="357">
        <v>0</v>
      </c>
      <c r="CN213" s="357">
        <v>0</v>
      </c>
      <c r="CO213" s="357">
        <v>1730931</v>
      </c>
      <c r="CP213" s="357">
        <v>0</v>
      </c>
      <c r="CQ213" s="357">
        <v>0</v>
      </c>
      <c r="CR213" s="357">
        <v>1730931</v>
      </c>
      <c r="CS213" s="357">
        <v>41890</v>
      </c>
      <c r="CT213" s="357">
        <v>0</v>
      </c>
      <c r="CU213" s="357">
        <v>0</v>
      </c>
      <c r="CV213" s="357">
        <v>41890</v>
      </c>
      <c r="CW213" s="357">
        <v>392726</v>
      </c>
      <c r="CX213" s="357">
        <v>0</v>
      </c>
      <c r="CY213" s="357">
        <v>0</v>
      </c>
      <c r="CZ213" s="357">
        <v>392726</v>
      </c>
      <c r="DA213" s="357">
        <v>0</v>
      </c>
      <c r="DB213" s="357">
        <v>0</v>
      </c>
      <c r="DC213" s="357">
        <v>0</v>
      </c>
      <c r="DD213" s="357">
        <v>0</v>
      </c>
      <c r="DE213" s="357">
        <v>0</v>
      </c>
      <c r="DF213" s="357">
        <v>0</v>
      </c>
      <c r="DG213" s="357">
        <v>0</v>
      </c>
      <c r="DH213" s="357">
        <v>0</v>
      </c>
      <c r="DI213" s="357">
        <v>0</v>
      </c>
      <c r="DJ213" s="357">
        <v>0</v>
      </c>
      <c r="DK213" s="357">
        <v>0</v>
      </c>
      <c r="DL213" s="357">
        <v>0</v>
      </c>
      <c r="DM213" s="357">
        <v>0</v>
      </c>
      <c r="DN213" s="357">
        <v>0</v>
      </c>
      <c r="DO213" s="357">
        <v>0</v>
      </c>
      <c r="DP213" s="357">
        <v>0</v>
      </c>
      <c r="DQ213" s="357">
        <v>434616</v>
      </c>
      <c r="DR213" s="357">
        <v>0</v>
      </c>
      <c r="DS213" s="357">
        <v>0</v>
      </c>
      <c r="DT213" s="357">
        <v>0</v>
      </c>
      <c r="DU213" s="357">
        <v>0</v>
      </c>
      <c r="DV213" s="357">
        <v>0</v>
      </c>
      <c r="DW213" s="357">
        <v>434616</v>
      </c>
      <c r="DX213" s="357">
        <v>0</v>
      </c>
      <c r="DY213" s="357">
        <v>0</v>
      </c>
      <c r="DZ213" s="357">
        <v>434616</v>
      </c>
      <c r="EA213" s="357">
        <v>0</v>
      </c>
      <c r="EB213" s="357">
        <v>0</v>
      </c>
      <c r="EC213" s="357">
        <v>0</v>
      </c>
      <c r="ED213" s="357">
        <v>0</v>
      </c>
      <c r="EE213" s="357">
        <v>0</v>
      </c>
      <c r="EF213" s="357">
        <v>0</v>
      </c>
      <c r="EG213" s="357">
        <v>889992</v>
      </c>
      <c r="EH213" s="357">
        <v>0</v>
      </c>
      <c r="EI213" s="357">
        <v>0</v>
      </c>
      <c r="EJ213" s="357">
        <v>889992</v>
      </c>
      <c r="EK213" s="357">
        <v>517000</v>
      </c>
      <c r="EL213" s="357">
        <v>0</v>
      </c>
      <c r="EM213" s="357">
        <v>0</v>
      </c>
      <c r="EN213" s="357">
        <v>517000</v>
      </c>
      <c r="EO213" s="357">
        <v>1406992</v>
      </c>
      <c r="EP213" s="357">
        <v>0</v>
      </c>
      <c r="EQ213" s="357">
        <v>0</v>
      </c>
      <c r="ER213" s="357">
        <v>0</v>
      </c>
      <c r="ES213" s="357">
        <v>0</v>
      </c>
      <c r="ET213" s="357">
        <v>0</v>
      </c>
      <c r="EU213" s="357">
        <v>1406992</v>
      </c>
      <c r="EV213" s="357">
        <v>0</v>
      </c>
      <c r="EW213" s="357">
        <v>0</v>
      </c>
      <c r="EX213" s="357">
        <v>1406992</v>
      </c>
      <c r="EY213" s="357">
        <v>54361358</v>
      </c>
      <c r="EZ213" s="357">
        <v>0</v>
      </c>
      <c r="FA213" s="357">
        <v>0</v>
      </c>
      <c r="FB213" s="357">
        <v>54361358</v>
      </c>
      <c r="FC213" s="277">
        <v>0</v>
      </c>
      <c r="FD213" s="205"/>
    </row>
    <row r="214" spans="1:160" ht="12.75">
      <c r="A214" s="169">
        <v>207</v>
      </c>
      <c r="B214" s="172" t="s">
        <v>343</v>
      </c>
      <c r="C214" s="258" t="s">
        <v>344</v>
      </c>
      <c r="D214" s="235">
        <v>41639</v>
      </c>
      <c r="E214" s="357">
        <v>84428823</v>
      </c>
      <c r="F214" s="357">
        <v>0</v>
      </c>
      <c r="G214" s="357">
        <v>0</v>
      </c>
      <c r="H214" s="357">
        <v>84428823</v>
      </c>
      <c r="I214" s="357">
        <v>39765976</v>
      </c>
      <c r="J214" s="357">
        <v>0</v>
      </c>
      <c r="K214" s="357">
        <v>0</v>
      </c>
      <c r="L214" s="357">
        <v>-37150</v>
      </c>
      <c r="M214" s="357">
        <v>0</v>
      </c>
      <c r="N214" s="357">
        <v>0</v>
      </c>
      <c r="O214" s="357">
        <v>39728826</v>
      </c>
      <c r="P214" s="357">
        <v>0</v>
      </c>
      <c r="Q214" s="357">
        <v>0</v>
      </c>
      <c r="R214" s="357">
        <v>39728826</v>
      </c>
      <c r="S214" s="357">
        <v>25756.4</v>
      </c>
      <c r="T214" s="357">
        <v>0</v>
      </c>
      <c r="U214" s="357">
        <v>0</v>
      </c>
      <c r="V214" s="357">
        <v>25756.4</v>
      </c>
      <c r="W214" s="357">
        <v>3203</v>
      </c>
      <c r="X214" s="357">
        <v>0</v>
      </c>
      <c r="Y214" s="357">
        <v>0</v>
      </c>
      <c r="Z214" s="357">
        <v>3203</v>
      </c>
      <c r="AA214" s="357">
        <v>22553.4</v>
      </c>
      <c r="AB214" s="357">
        <v>0</v>
      </c>
      <c r="AC214" s="357">
        <v>0</v>
      </c>
      <c r="AD214" s="357">
        <v>0</v>
      </c>
      <c r="AE214" s="357">
        <v>0</v>
      </c>
      <c r="AF214" s="357">
        <v>0</v>
      </c>
      <c r="AG214" s="357">
        <v>22553.4</v>
      </c>
      <c r="AH214" s="357">
        <v>0</v>
      </c>
      <c r="AI214" s="357">
        <v>0</v>
      </c>
      <c r="AJ214" s="357">
        <v>22553.4</v>
      </c>
      <c r="AK214" s="357">
        <v>22553.4</v>
      </c>
      <c r="AL214" s="357">
        <v>0</v>
      </c>
      <c r="AM214" s="357">
        <v>0</v>
      </c>
      <c r="AN214" s="357">
        <v>22553.4</v>
      </c>
      <c r="AO214" s="357">
        <v>1255198.84</v>
      </c>
      <c r="AP214" s="357">
        <v>0</v>
      </c>
      <c r="AQ214" s="357">
        <v>0</v>
      </c>
      <c r="AR214" s="357">
        <v>1255198.84</v>
      </c>
      <c r="AS214" s="357">
        <v>0</v>
      </c>
      <c r="AT214" s="357">
        <v>0</v>
      </c>
      <c r="AU214" s="357">
        <v>0</v>
      </c>
      <c r="AV214" s="357">
        <v>0</v>
      </c>
      <c r="AW214" s="357">
        <v>833981.85</v>
      </c>
      <c r="AX214" s="357">
        <v>0</v>
      </c>
      <c r="AY214" s="357">
        <v>0</v>
      </c>
      <c r="AZ214" s="357">
        <v>833981.85</v>
      </c>
      <c r="BA214" s="357">
        <v>421216.99</v>
      </c>
      <c r="BB214" s="357">
        <v>0</v>
      </c>
      <c r="BC214" s="357">
        <v>0</v>
      </c>
      <c r="BD214" s="357">
        <v>421216.99</v>
      </c>
      <c r="BE214" s="357">
        <v>1198070.81</v>
      </c>
      <c r="BF214" s="357">
        <v>0</v>
      </c>
      <c r="BG214" s="357">
        <v>0</v>
      </c>
      <c r="BH214" s="357">
        <v>1198070.81</v>
      </c>
      <c r="BI214" s="357">
        <v>13107.93</v>
      </c>
      <c r="BJ214" s="357">
        <v>0</v>
      </c>
      <c r="BK214" s="357">
        <v>0</v>
      </c>
      <c r="BL214" s="357">
        <v>13107.93</v>
      </c>
      <c r="BM214" s="357">
        <v>1373.7</v>
      </c>
      <c r="BN214" s="357">
        <v>0</v>
      </c>
      <c r="BO214" s="357">
        <v>0</v>
      </c>
      <c r="BP214" s="357">
        <v>1373.7</v>
      </c>
      <c r="BQ214" s="357">
        <v>1633769.43</v>
      </c>
      <c r="BR214" s="357">
        <v>0</v>
      </c>
      <c r="BS214" s="357">
        <v>0</v>
      </c>
      <c r="BT214" s="357">
        <v>100000</v>
      </c>
      <c r="BU214" s="357">
        <v>0</v>
      </c>
      <c r="BV214" s="357">
        <v>0</v>
      </c>
      <c r="BW214" s="357">
        <v>1733769.43</v>
      </c>
      <c r="BX214" s="357">
        <v>0</v>
      </c>
      <c r="BY214" s="357">
        <v>0</v>
      </c>
      <c r="BZ214" s="357">
        <v>1733769.43</v>
      </c>
      <c r="CA214" s="357">
        <v>72000</v>
      </c>
      <c r="CB214" s="357">
        <v>0</v>
      </c>
      <c r="CC214" s="357">
        <v>0</v>
      </c>
      <c r="CD214" s="357">
        <v>72000</v>
      </c>
      <c r="CE214" s="357">
        <v>776559.39</v>
      </c>
      <c r="CF214" s="357">
        <v>0</v>
      </c>
      <c r="CG214" s="357">
        <v>0</v>
      </c>
      <c r="CH214" s="357">
        <v>776559.39</v>
      </c>
      <c r="CI214" s="357">
        <v>848559.39</v>
      </c>
      <c r="CJ214" s="357">
        <v>0</v>
      </c>
      <c r="CK214" s="357">
        <v>0</v>
      </c>
      <c r="CL214" s="357">
        <v>350000</v>
      </c>
      <c r="CM214" s="357">
        <v>0</v>
      </c>
      <c r="CN214" s="357">
        <v>0</v>
      </c>
      <c r="CO214" s="357">
        <v>1198559.39</v>
      </c>
      <c r="CP214" s="357">
        <v>0</v>
      </c>
      <c r="CQ214" s="357">
        <v>0</v>
      </c>
      <c r="CR214" s="357">
        <v>1198559.39</v>
      </c>
      <c r="CS214" s="357">
        <v>46677.37</v>
      </c>
      <c r="CT214" s="357">
        <v>0</v>
      </c>
      <c r="CU214" s="357">
        <v>0</v>
      </c>
      <c r="CV214" s="357">
        <v>46677.37</v>
      </c>
      <c r="CW214" s="357">
        <v>40271.41</v>
      </c>
      <c r="CX214" s="357">
        <v>0</v>
      </c>
      <c r="CY214" s="357">
        <v>0</v>
      </c>
      <c r="CZ214" s="357">
        <v>40271.41</v>
      </c>
      <c r="DA214" s="357">
        <v>3276.98</v>
      </c>
      <c r="DB214" s="357">
        <v>0</v>
      </c>
      <c r="DC214" s="357">
        <v>0</v>
      </c>
      <c r="DD214" s="357">
        <v>3276.98</v>
      </c>
      <c r="DE214" s="357">
        <v>1373.7</v>
      </c>
      <c r="DF214" s="357">
        <v>0</v>
      </c>
      <c r="DG214" s="357">
        <v>0</v>
      </c>
      <c r="DH214" s="357">
        <v>1373.7</v>
      </c>
      <c r="DI214" s="357">
        <v>0</v>
      </c>
      <c r="DJ214" s="357">
        <v>0</v>
      </c>
      <c r="DK214" s="357">
        <v>0</v>
      </c>
      <c r="DL214" s="357">
        <v>0</v>
      </c>
      <c r="DM214" s="357">
        <v>0</v>
      </c>
      <c r="DN214" s="357">
        <v>0</v>
      </c>
      <c r="DO214" s="357">
        <v>0</v>
      </c>
      <c r="DP214" s="357">
        <v>0</v>
      </c>
      <c r="DQ214" s="357">
        <v>91599.46</v>
      </c>
      <c r="DR214" s="357">
        <v>0</v>
      </c>
      <c r="DS214" s="357">
        <v>0</v>
      </c>
      <c r="DT214" s="357">
        <v>0</v>
      </c>
      <c r="DU214" s="357">
        <v>0</v>
      </c>
      <c r="DV214" s="357">
        <v>0</v>
      </c>
      <c r="DW214" s="357">
        <v>91599.46</v>
      </c>
      <c r="DX214" s="357">
        <v>0</v>
      </c>
      <c r="DY214" s="357">
        <v>0</v>
      </c>
      <c r="DZ214" s="357">
        <v>91599.46</v>
      </c>
      <c r="EA214" s="357">
        <v>0</v>
      </c>
      <c r="EB214" s="357">
        <v>0</v>
      </c>
      <c r="EC214" s="357">
        <v>0</v>
      </c>
      <c r="ED214" s="357">
        <v>0</v>
      </c>
      <c r="EE214" s="357">
        <v>0</v>
      </c>
      <c r="EF214" s="357">
        <v>0</v>
      </c>
      <c r="EG214" s="357">
        <v>223905</v>
      </c>
      <c r="EH214" s="357">
        <v>0</v>
      </c>
      <c r="EI214" s="357">
        <v>0</v>
      </c>
      <c r="EJ214" s="357">
        <v>223905</v>
      </c>
      <c r="EK214" s="357">
        <v>282320.38</v>
      </c>
      <c r="EL214" s="357">
        <v>0</v>
      </c>
      <c r="EM214" s="357">
        <v>0</v>
      </c>
      <c r="EN214" s="357">
        <v>282320.38</v>
      </c>
      <c r="EO214" s="357">
        <v>506225.38</v>
      </c>
      <c r="EP214" s="357">
        <v>0</v>
      </c>
      <c r="EQ214" s="357">
        <v>0</v>
      </c>
      <c r="ER214" s="357">
        <v>0</v>
      </c>
      <c r="ES214" s="357">
        <v>0</v>
      </c>
      <c r="ET214" s="357">
        <v>0</v>
      </c>
      <c r="EU214" s="357">
        <v>506225.38</v>
      </c>
      <c r="EV214" s="357">
        <v>0</v>
      </c>
      <c r="EW214" s="357">
        <v>0</v>
      </c>
      <c r="EX214" s="357">
        <v>506225.38</v>
      </c>
      <c r="EY214" s="357">
        <v>36176118.9</v>
      </c>
      <c r="EZ214" s="357">
        <v>0</v>
      </c>
      <c r="FA214" s="357">
        <v>0</v>
      </c>
      <c r="FB214" s="357">
        <v>36176118.9</v>
      </c>
      <c r="FC214" s="277">
        <v>0</v>
      </c>
      <c r="FD214" s="205"/>
    </row>
    <row r="215" spans="1:160" ht="12.75">
      <c r="A215" s="169">
        <v>208</v>
      </c>
      <c r="B215" s="172" t="s">
        <v>345</v>
      </c>
      <c r="C215" s="258" t="s">
        <v>346</v>
      </c>
      <c r="D215" s="235">
        <v>41547</v>
      </c>
      <c r="E215" s="357">
        <v>122509280</v>
      </c>
      <c r="F215" s="357">
        <v>0</v>
      </c>
      <c r="G215" s="357">
        <v>0</v>
      </c>
      <c r="H215" s="357">
        <v>122509280</v>
      </c>
      <c r="I215" s="357">
        <v>57701871</v>
      </c>
      <c r="J215" s="357">
        <v>0</v>
      </c>
      <c r="K215" s="357">
        <v>0</v>
      </c>
      <c r="L215" s="357">
        <v>-500000</v>
      </c>
      <c r="M215" s="357">
        <v>0</v>
      </c>
      <c r="N215" s="357">
        <v>0</v>
      </c>
      <c r="O215" s="357">
        <v>57201871</v>
      </c>
      <c r="P215" s="357">
        <v>0</v>
      </c>
      <c r="Q215" s="357">
        <v>0</v>
      </c>
      <c r="R215" s="357">
        <v>57201871</v>
      </c>
      <c r="S215" s="357">
        <v>31410.1</v>
      </c>
      <c r="T215" s="357">
        <v>0</v>
      </c>
      <c r="U215" s="357">
        <v>0</v>
      </c>
      <c r="V215" s="357">
        <v>31410.1</v>
      </c>
      <c r="W215" s="357">
        <v>12372.05</v>
      </c>
      <c r="X215" s="357">
        <v>0</v>
      </c>
      <c r="Y215" s="357">
        <v>0</v>
      </c>
      <c r="Z215" s="357">
        <v>12372.05</v>
      </c>
      <c r="AA215" s="357">
        <v>19038.05</v>
      </c>
      <c r="AB215" s="357">
        <v>0</v>
      </c>
      <c r="AC215" s="357">
        <v>0</v>
      </c>
      <c r="AD215" s="357">
        <v>-60000</v>
      </c>
      <c r="AE215" s="357">
        <v>0</v>
      </c>
      <c r="AF215" s="357">
        <v>0</v>
      </c>
      <c r="AG215" s="357">
        <v>-40961.95</v>
      </c>
      <c r="AH215" s="357">
        <v>0</v>
      </c>
      <c r="AI215" s="357">
        <v>0</v>
      </c>
      <c r="AJ215" s="357">
        <v>-40961.95</v>
      </c>
      <c r="AK215" s="357">
        <v>-40961.95</v>
      </c>
      <c r="AL215" s="357">
        <v>0</v>
      </c>
      <c r="AM215" s="357">
        <v>0</v>
      </c>
      <c r="AN215" s="357">
        <v>-40961.95</v>
      </c>
      <c r="AO215" s="357">
        <v>1916890</v>
      </c>
      <c r="AP215" s="357">
        <v>0</v>
      </c>
      <c r="AQ215" s="357">
        <v>0</v>
      </c>
      <c r="AR215" s="357">
        <v>1916890</v>
      </c>
      <c r="AS215" s="357">
        <v>0</v>
      </c>
      <c r="AT215" s="357">
        <v>0</v>
      </c>
      <c r="AU215" s="357">
        <v>0</v>
      </c>
      <c r="AV215" s="357">
        <v>0</v>
      </c>
      <c r="AW215" s="357">
        <v>1179960</v>
      </c>
      <c r="AX215" s="357">
        <v>0</v>
      </c>
      <c r="AY215" s="357">
        <v>0</v>
      </c>
      <c r="AZ215" s="357">
        <v>1179960</v>
      </c>
      <c r="BA215" s="357">
        <v>736930</v>
      </c>
      <c r="BB215" s="357">
        <v>0</v>
      </c>
      <c r="BC215" s="357">
        <v>0</v>
      </c>
      <c r="BD215" s="357">
        <v>736930</v>
      </c>
      <c r="BE215" s="357">
        <v>3207771</v>
      </c>
      <c r="BF215" s="357">
        <v>0</v>
      </c>
      <c r="BG215" s="357">
        <v>0</v>
      </c>
      <c r="BH215" s="357">
        <v>3207771</v>
      </c>
      <c r="BI215" s="357">
        <v>47998</v>
      </c>
      <c r="BJ215" s="357">
        <v>0</v>
      </c>
      <c r="BK215" s="357">
        <v>0</v>
      </c>
      <c r="BL215" s="357">
        <v>47998</v>
      </c>
      <c r="BM215" s="357">
        <v>0</v>
      </c>
      <c r="BN215" s="357">
        <v>0</v>
      </c>
      <c r="BO215" s="357">
        <v>0</v>
      </c>
      <c r="BP215" s="357">
        <v>0</v>
      </c>
      <c r="BQ215" s="357">
        <v>3992699</v>
      </c>
      <c r="BR215" s="357">
        <v>0</v>
      </c>
      <c r="BS215" s="357">
        <v>0</v>
      </c>
      <c r="BT215" s="357">
        <v>100000</v>
      </c>
      <c r="BU215" s="357">
        <v>0</v>
      </c>
      <c r="BV215" s="357">
        <v>0</v>
      </c>
      <c r="BW215" s="357">
        <v>4092699</v>
      </c>
      <c r="BX215" s="357">
        <v>0</v>
      </c>
      <c r="BY215" s="357">
        <v>0</v>
      </c>
      <c r="BZ215" s="357">
        <v>4092699</v>
      </c>
      <c r="CA215" s="357">
        <v>150000</v>
      </c>
      <c r="CB215" s="357">
        <v>0</v>
      </c>
      <c r="CC215" s="357">
        <v>0</v>
      </c>
      <c r="CD215" s="357">
        <v>150000</v>
      </c>
      <c r="CE215" s="357">
        <v>1456242</v>
      </c>
      <c r="CF215" s="357">
        <v>0</v>
      </c>
      <c r="CG215" s="357">
        <v>0</v>
      </c>
      <c r="CH215" s="357">
        <v>1456242</v>
      </c>
      <c r="CI215" s="357">
        <v>1606242</v>
      </c>
      <c r="CJ215" s="357">
        <v>0</v>
      </c>
      <c r="CK215" s="357">
        <v>0</v>
      </c>
      <c r="CL215" s="357">
        <v>300000</v>
      </c>
      <c r="CM215" s="357">
        <v>0</v>
      </c>
      <c r="CN215" s="357">
        <v>0</v>
      </c>
      <c r="CO215" s="357">
        <v>1906242</v>
      </c>
      <c r="CP215" s="357">
        <v>0</v>
      </c>
      <c r="CQ215" s="357">
        <v>0</v>
      </c>
      <c r="CR215" s="357">
        <v>1906242</v>
      </c>
      <c r="CS215" s="357">
        <v>19419</v>
      </c>
      <c r="CT215" s="357">
        <v>0</v>
      </c>
      <c r="CU215" s="357">
        <v>0</v>
      </c>
      <c r="CV215" s="357">
        <v>19419</v>
      </c>
      <c r="CW215" s="357">
        <v>23825</v>
      </c>
      <c r="CX215" s="357">
        <v>0</v>
      </c>
      <c r="CY215" s="357">
        <v>0</v>
      </c>
      <c r="CZ215" s="357">
        <v>23825</v>
      </c>
      <c r="DA215" s="357">
        <v>2600</v>
      </c>
      <c r="DB215" s="357">
        <v>0</v>
      </c>
      <c r="DC215" s="357">
        <v>0</v>
      </c>
      <c r="DD215" s="357">
        <v>2600</v>
      </c>
      <c r="DE215" s="357">
        <v>0</v>
      </c>
      <c r="DF215" s="357">
        <v>0</v>
      </c>
      <c r="DG215" s="357">
        <v>0</v>
      </c>
      <c r="DH215" s="357">
        <v>0</v>
      </c>
      <c r="DI215" s="357">
        <v>0</v>
      </c>
      <c r="DJ215" s="357">
        <v>0</v>
      </c>
      <c r="DK215" s="357">
        <v>0</v>
      </c>
      <c r="DL215" s="357">
        <v>0</v>
      </c>
      <c r="DM215" s="357">
        <v>5000</v>
      </c>
      <c r="DN215" s="357">
        <v>0</v>
      </c>
      <c r="DO215" s="357">
        <v>0</v>
      </c>
      <c r="DP215" s="357">
        <v>5000</v>
      </c>
      <c r="DQ215" s="357">
        <v>50844</v>
      </c>
      <c r="DR215" s="357">
        <v>0</v>
      </c>
      <c r="DS215" s="357">
        <v>0</v>
      </c>
      <c r="DT215" s="357">
        <v>0</v>
      </c>
      <c r="DU215" s="357">
        <v>0</v>
      </c>
      <c r="DV215" s="357">
        <v>0</v>
      </c>
      <c r="DW215" s="357">
        <v>50844</v>
      </c>
      <c r="DX215" s="357">
        <v>0</v>
      </c>
      <c r="DY215" s="357">
        <v>0</v>
      </c>
      <c r="DZ215" s="357">
        <v>50844</v>
      </c>
      <c r="EA215" s="357">
        <v>0</v>
      </c>
      <c r="EB215" s="357">
        <v>0</v>
      </c>
      <c r="EC215" s="357">
        <v>450000</v>
      </c>
      <c r="ED215" s="357">
        <v>0</v>
      </c>
      <c r="EE215" s="357">
        <v>0</v>
      </c>
      <c r="EF215" s="357">
        <v>450000</v>
      </c>
      <c r="EG215" s="357">
        <v>0</v>
      </c>
      <c r="EH215" s="357">
        <v>0</v>
      </c>
      <c r="EI215" s="357">
        <v>0</v>
      </c>
      <c r="EJ215" s="357">
        <v>0</v>
      </c>
      <c r="EK215" s="357">
        <v>500000</v>
      </c>
      <c r="EL215" s="357">
        <v>0</v>
      </c>
      <c r="EM215" s="357">
        <v>0</v>
      </c>
      <c r="EN215" s="357">
        <v>500000</v>
      </c>
      <c r="EO215" s="357">
        <v>950000</v>
      </c>
      <c r="EP215" s="357">
        <v>0</v>
      </c>
      <c r="EQ215" s="357">
        <v>0</v>
      </c>
      <c r="ER215" s="357">
        <v>0</v>
      </c>
      <c r="ES215" s="357">
        <v>0</v>
      </c>
      <c r="ET215" s="357">
        <v>0</v>
      </c>
      <c r="EU215" s="357">
        <v>950000</v>
      </c>
      <c r="EV215" s="357">
        <v>0</v>
      </c>
      <c r="EW215" s="357">
        <v>0</v>
      </c>
      <c r="EX215" s="357">
        <v>950000</v>
      </c>
      <c r="EY215" s="357">
        <v>50243048</v>
      </c>
      <c r="EZ215" s="357">
        <v>0</v>
      </c>
      <c r="FA215" s="357">
        <v>0</v>
      </c>
      <c r="FB215" s="357">
        <v>50243048</v>
      </c>
      <c r="FC215" s="277">
        <v>0</v>
      </c>
      <c r="FD215" s="205"/>
    </row>
    <row r="216" spans="1:160" ht="12.75">
      <c r="A216" s="169">
        <v>209</v>
      </c>
      <c r="B216" s="172" t="s">
        <v>347</v>
      </c>
      <c r="C216" s="258" t="s">
        <v>348</v>
      </c>
      <c r="D216" s="235">
        <v>41654</v>
      </c>
      <c r="E216" s="357">
        <v>33595680</v>
      </c>
      <c r="F216" s="357">
        <v>0</v>
      </c>
      <c r="G216" s="357">
        <v>3810000</v>
      </c>
      <c r="H216" s="357">
        <v>37405680</v>
      </c>
      <c r="I216" s="357">
        <v>15823565</v>
      </c>
      <c r="J216" s="357">
        <v>0</v>
      </c>
      <c r="K216" s="357">
        <v>1794510</v>
      </c>
      <c r="L216" s="357">
        <v>100000</v>
      </c>
      <c r="M216" s="357">
        <v>0</v>
      </c>
      <c r="N216" s="357">
        <v>0</v>
      </c>
      <c r="O216" s="357">
        <v>15923565</v>
      </c>
      <c r="P216" s="357">
        <v>0</v>
      </c>
      <c r="Q216" s="357">
        <v>1794510</v>
      </c>
      <c r="R216" s="357">
        <v>17718075</v>
      </c>
      <c r="S216" s="357">
        <v>71240</v>
      </c>
      <c r="T216" s="357">
        <v>0</v>
      </c>
      <c r="U216" s="357">
        <v>0</v>
      </c>
      <c r="V216" s="357">
        <v>71240</v>
      </c>
      <c r="W216" s="357">
        <v>5804</v>
      </c>
      <c r="X216" s="357">
        <v>0</v>
      </c>
      <c r="Y216" s="357">
        <v>0</v>
      </c>
      <c r="Z216" s="357">
        <v>5804</v>
      </c>
      <c r="AA216" s="357">
        <v>65436</v>
      </c>
      <c r="AB216" s="357">
        <v>0</v>
      </c>
      <c r="AC216" s="357">
        <v>0</v>
      </c>
      <c r="AD216" s="357">
        <v>0</v>
      </c>
      <c r="AE216" s="357">
        <v>0</v>
      </c>
      <c r="AF216" s="357">
        <v>0</v>
      </c>
      <c r="AG216" s="357">
        <v>65436</v>
      </c>
      <c r="AH216" s="357">
        <v>0</v>
      </c>
      <c r="AI216" s="357">
        <v>0</v>
      </c>
      <c r="AJ216" s="357">
        <v>65436</v>
      </c>
      <c r="AK216" s="357">
        <v>65436</v>
      </c>
      <c r="AL216" s="357">
        <v>0</v>
      </c>
      <c r="AM216" s="357">
        <v>0</v>
      </c>
      <c r="AN216" s="357">
        <v>65436</v>
      </c>
      <c r="AO216" s="357">
        <v>1794147</v>
      </c>
      <c r="AP216" s="357">
        <v>0</v>
      </c>
      <c r="AQ216" s="357">
        <v>0</v>
      </c>
      <c r="AR216" s="357">
        <v>1794147</v>
      </c>
      <c r="AS216" s="357">
        <v>20000</v>
      </c>
      <c r="AT216" s="357">
        <v>0</v>
      </c>
      <c r="AU216" s="357">
        <v>0</v>
      </c>
      <c r="AV216" s="357">
        <v>20000</v>
      </c>
      <c r="AW216" s="357">
        <v>266740</v>
      </c>
      <c r="AX216" s="357">
        <v>0</v>
      </c>
      <c r="AY216" s="357">
        <v>41910</v>
      </c>
      <c r="AZ216" s="357">
        <v>308650</v>
      </c>
      <c r="BA216" s="357">
        <v>1527407</v>
      </c>
      <c r="BB216" s="357">
        <v>0</v>
      </c>
      <c r="BC216" s="357">
        <v>-41910</v>
      </c>
      <c r="BD216" s="357">
        <v>1485497</v>
      </c>
      <c r="BE216" s="357">
        <v>865614</v>
      </c>
      <c r="BF216" s="357">
        <v>0</v>
      </c>
      <c r="BG216" s="357">
        <v>0</v>
      </c>
      <c r="BH216" s="357">
        <v>865614</v>
      </c>
      <c r="BI216" s="357">
        <v>25838</v>
      </c>
      <c r="BJ216" s="357">
        <v>0</v>
      </c>
      <c r="BK216" s="357">
        <v>0</v>
      </c>
      <c r="BL216" s="357">
        <v>25838</v>
      </c>
      <c r="BM216" s="357">
        <v>36355</v>
      </c>
      <c r="BN216" s="357">
        <v>0</v>
      </c>
      <c r="BO216" s="357">
        <v>0</v>
      </c>
      <c r="BP216" s="357">
        <v>36355</v>
      </c>
      <c r="BQ216" s="357">
        <v>2455214</v>
      </c>
      <c r="BR216" s="357">
        <v>0</v>
      </c>
      <c r="BS216" s="357">
        <v>-41910</v>
      </c>
      <c r="BT216" s="357">
        <v>0</v>
      </c>
      <c r="BU216" s="357">
        <v>0</v>
      </c>
      <c r="BV216" s="357">
        <v>0</v>
      </c>
      <c r="BW216" s="357">
        <v>2455214</v>
      </c>
      <c r="BX216" s="357">
        <v>0</v>
      </c>
      <c r="BY216" s="357">
        <v>-41910</v>
      </c>
      <c r="BZ216" s="357">
        <v>2413304</v>
      </c>
      <c r="CA216" s="357">
        <v>0</v>
      </c>
      <c r="CB216" s="357">
        <v>0</v>
      </c>
      <c r="CC216" s="357">
        <v>0</v>
      </c>
      <c r="CD216" s="357">
        <v>0</v>
      </c>
      <c r="CE216" s="357">
        <v>529205</v>
      </c>
      <c r="CF216" s="357">
        <v>0</v>
      </c>
      <c r="CG216" s="357">
        <v>0</v>
      </c>
      <c r="CH216" s="357">
        <v>529205</v>
      </c>
      <c r="CI216" s="357">
        <v>529205</v>
      </c>
      <c r="CJ216" s="357">
        <v>0</v>
      </c>
      <c r="CK216" s="357">
        <v>0</v>
      </c>
      <c r="CL216" s="357">
        <v>0</v>
      </c>
      <c r="CM216" s="357">
        <v>0</v>
      </c>
      <c r="CN216" s="357">
        <v>0</v>
      </c>
      <c r="CO216" s="357">
        <v>529205</v>
      </c>
      <c r="CP216" s="357">
        <v>0</v>
      </c>
      <c r="CQ216" s="357">
        <v>0</v>
      </c>
      <c r="CR216" s="357">
        <v>529205</v>
      </c>
      <c r="CS216" s="357">
        <v>28630</v>
      </c>
      <c r="CT216" s="357">
        <v>0</v>
      </c>
      <c r="CU216" s="357">
        <v>0</v>
      </c>
      <c r="CV216" s="357">
        <v>28630</v>
      </c>
      <c r="CW216" s="357">
        <v>9688</v>
      </c>
      <c r="CX216" s="357">
        <v>0</v>
      </c>
      <c r="CY216" s="357">
        <v>0</v>
      </c>
      <c r="CZ216" s="357">
        <v>9688</v>
      </c>
      <c r="DA216" s="357">
        <v>0</v>
      </c>
      <c r="DB216" s="357">
        <v>0</v>
      </c>
      <c r="DC216" s="357">
        <v>0</v>
      </c>
      <c r="DD216" s="357">
        <v>0</v>
      </c>
      <c r="DE216" s="357">
        <v>6049</v>
      </c>
      <c r="DF216" s="357">
        <v>0</v>
      </c>
      <c r="DG216" s="357">
        <v>0</v>
      </c>
      <c r="DH216" s="357">
        <v>6049</v>
      </c>
      <c r="DI216" s="357">
        <v>1590</v>
      </c>
      <c r="DJ216" s="357">
        <v>0</v>
      </c>
      <c r="DK216" s="357">
        <v>0</v>
      </c>
      <c r="DL216" s="357">
        <v>1590</v>
      </c>
      <c r="DM216" s="357">
        <v>0</v>
      </c>
      <c r="DN216" s="357">
        <v>0</v>
      </c>
      <c r="DO216" s="357">
        <v>0</v>
      </c>
      <c r="DP216" s="357">
        <v>0</v>
      </c>
      <c r="DQ216" s="357">
        <v>45957</v>
      </c>
      <c r="DR216" s="357">
        <v>0</v>
      </c>
      <c r="DS216" s="357">
        <v>0</v>
      </c>
      <c r="DT216" s="357">
        <v>0</v>
      </c>
      <c r="DU216" s="357">
        <v>0</v>
      </c>
      <c r="DV216" s="357">
        <v>0</v>
      </c>
      <c r="DW216" s="357">
        <v>45957</v>
      </c>
      <c r="DX216" s="357">
        <v>0</v>
      </c>
      <c r="DY216" s="357">
        <v>0</v>
      </c>
      <c r="DZ216" s="357">
        <v>45957</v>
      </c>
      <c r="EA216" s="357">
        <v>0</v>
      </c>
      <c r="EB216" s="357">
        <v>0</v>
      </c>
      <c r="EC216" s="357">
        <v>20000</v>
      </c>
      <c r="ED216" s="357">
        <v>0</v>
      </c>
      <c r="EE216" s="357">
        <v>0</v>
      </c>
      <c r="EF216" s="357">
        <v>20000</v>
      </c>
      <c r="EG216" s="357">
        <v>20000</v>
      </c>
      <c r="EH216" s="357">
        <v>0</v>
      </c>
      <c r="EI216" s="357">
        <v>0</v>
      </c>
      <c r="EJ216" s="357">
        <v>20000</v>
      </c>
      <c r="EK216" s="357">
        <v>400000</v>
      </c>
      <c r="EL216" s="357">
        <v>0</v>
      </c>
      <c r="EM216" s="357">
        <v>0</v>
      </c>
      <c r="EN216" s="357">
        <v>400000</v>
      </c>
      <c r="EO216" s="357">
        <v>440000</v>
      </c>
      <c r="EP216" s="357">
        <v>0</v>
      </c>
      <c r="EQ216" s="357">
        <v>0</v>
      </c>
      <c r="ER216" s="357">
        <v>0</v>
      </c>
      <c r="ES216" s="357">
        <v>0</v>
      </c>
      <c r="ET216" s="357">
        <v>0</v>
      </c>
      <c r="EU216" s="357">
        <v>440000</v>
      </c>
      <c r="EV216" s="357">
        <v>0</v>
      </c>
      <c r="EW216" s="357">
        <v>0</v>
      </c>
      <c r="EX216" s="357">
        <v>440000</v>
      </c>
      <c r="EY216" s="357">
        <v>12387753</v>
      </c>
      <c r="EZ216" s="357">
        <v>0</v>
      </c>
      <c r="FA216" s="357">
        <v>1836420</v>
      </c>
      <c r="FB216" s="357">
        <v>14224173</v>
      </c>
      <c r="FC216" s="277">
        <v>0</v>
      </c>
      <c r="FD216" s="205"/>
    </row>
    <row r="217" spans="1:160" ht="12.75">
      <c r="A217" s="169">
        <v>210</v>
      </c>
      <c r="B217" s="172" t="s">
        <v>349</v>
      </c>
      <c r="C217" s="258" t="s">
        <v>350</v>
      </c>
      <c r="D217" s="235">
        <v>41639</v>
      </c>
      <c r="E217" s="357">
        <v>207086705</v>
      </c>
      <c r="F217" s="357">
        <v>0</v>
      </c>
      <c r="G217" s="357">
        <v>0</v>
      </c>
      <c r="H217" s="357">
        <v>207086705</v>
      </c>
      <c r="I217" s="357">
        <v>97537838</v>
      </c>
      <c r="J217" s="357">
        <v>0</v>
      </c>
      <c r="K217" s="357">
        <v>0</v>
      </c>
      <c r="L217" s="357">
        <v>3757113</v>
      </c>
      <c r="M217" s="357">
        <v>0</v>
      </c>
      <c r="N217" s="357">
        <v>0</v>
      </c>
      <c r="O217" s="357">
        <v>101294951</v>
      </c>
      <c r="P217" s="357">
        <v>0</v>
      </c>
      <c r="Q217" s="357">
        <v>0</v>
      </c>
      <c r="R217" s="357">
        <v>101294951</v>
      </c>
      <c r="S217" s="357">
        <v>102247</v>
      </c>
      <c r="T217" s="357">
        <v>0</v>
      </c>
      <c r="U217" s="357">
        <v>0</v>
      </c>
      <c r="V217" s="357">
        <v>102247</v>
      </c>
      <c r="W217" s="357">
        <v>22136</v>
      </c>
      <c r="X217" s="357">
        <v>0</v>
      </c>
      <c r="Y217" s="357">
        <v>0</v>
      </c>
      <c r="Z217" s="357">
        <v>22136</v>
      </c>
      <c r="AA217" s="357">
        <v>80111</v>
      </c>
      <c r="AB217" s="357">
        <v>0</v>
      </c>
      <c r="AC217" s="357">
        <v>0</v>
      </c>
      <c r="AD217" s="357">
        <v>0</v>
      </c>
      <c r="AE217" s="357">
        <v>0</v>
      </c>
      <c r="AF217" s="357">
        <v>0</v>
      </c>
      <c r="AG217" s="357">
        <v>80111</v>
      </c>
      <c r="AH217" s="357">
        <v>0</v>
      </c>
      <c r="AI217" s="357">
        <v>0</v>
      </c>
      <c r="AJ217" s="357">
        <v>80111</v>
      </c>
      <c r="AK217" s="357">
        <v>80111</v>
      </c>
      <c r="AL217" s="357">
        <v>0</v>
      </c>
      <c r="AM217" s="357">
        <v>0</v>
      </c>
      <c r="AN217" s="357">
        <v>80111</v>
      </c>
      <c r="AO217" s="357">
        <v>2134110</v>
      </c>
      <c r="AP217" s="357">
        <v>0</v>
      </c>
      <c r="AQ217" s="357">
        <v>0</v>
      </c>
      <c r="AR217" s="357">
        <v>2134110</v>
      </c>
      <c r="AS217" s="357">
        <v>0</v>
      </c>
      <c r="AT217" s="357">
        <v>0</v>
      </c>
      <c r="AU217" s="357">
        <v>0</v>
      </c>
      <c r="AV217" s="357">
        <v>0</v>
      </c>
      <c r="AW217" s="357">
        <v>1841662</v>
      </c>
      <c r="AX217" s="357">
        <v>0</v>
      </c>
      <c r="AY217" s="357">
        <v>0</v>
      </c>
      <c r="AZ217" s="357">
        <v>1841662</v>
      </c>
      <c r="BA217" s="357">
        <v>292448</v>
      </c>
      <c r="BB217" s="357">
        <v>0</v>
      </c>
      <c r="BC217" s="357">
        <v>0</v>
      </c>
      <c r="BD217" s="357">
        <v>292448</v>
      </c>
      <c r="BE217" s="357">
        <v>7682471</v>
      </c>
      <c r="BF217" s="357">
        <v>0</v>
      </c>
      <c r="BG217" s="357">
        <v>0</v>
      </c>
      <c r="BH217" s="357">
        <v>7682471</v>
      </c>
      <c r="BI217" s="357">
        <v>51674</v>
      </c>
      <c r="BJ217" s="357">
        <v>0</v>
      </c>
      <c r="BK217" s="357">
        <v>0</v>
      </c>
      <c r="BL217" s="357">
        <v>51674</v>
      </c>
      <c r="BM217" s="357">
        <v>0</v>
      </c>
      <c r="BN217" s="357">
        <v>0</v>
      </c>
      <c r="BO217" s="357">
        <v>0</v>
      </c>
      <c r="BP217" s="357">
        <v>0</v>
      </c>
      <c r="BQ217" s="357">
        <v>8026593</v>
      </c>
      <c r="BR217" s="357">
        <v>0</v>
      </c>
      <c r="BS217" s="357">
        <v>0</v>
      </c>
      <c r="BT217" s="357">
        <v>200000</v>
      </c>
      <c r="BU217" s="357">
        <v>0</v>
      </c>
      <c r="BV217" s="357">
        <v>0</v>
      </c>
      <c r="BW217" s="357">
        <v>8226593</v>
      </c>
      <c r="BX217" s="357">
        <v>0</v>
      </c>
      <c r="BY217" s="357">
        <v>0</v>
      </c>
      <c r="BZ217" s="357">
        <v>8226593</v>
      </c>
      <c r="CA217" s="357">
        <v>0</v>
      </c>
      <c r="CB217" s="357">
        <v>0</v>
      </c>
      <c r="CC217" s="357">
        <v>0</v>
      </c>
      <c r="CD217" s="357">
        <v>0</v>
      </c>
      <c r="CE217" s="357">
        <v>3306523</v>
      </c>
      <c r="CF217" s="357">
        <v>0</v>
      </c>
      <c r="CG217" s="357">
        <v>0</v>
      </c>
      <c r="CH217" s="357">
        <v>3306523</v>
      </c>
      <c r="CI217" s="357">
        <v>3306523</v>
      </c>
      <c r="CJ217" s="357">
        <v>0</v>
      </c>
      <c r="CK217" s="357">
        <v>0</v>
      </c>
      <c r="CL217" s="357">
        <v>0</v>
      </c>
      <c r="CM217" s="357">
        <v>0</v>
      </c>
      <c r="CN217" s="357">
        <v>0</v>
      </c>
      <c r="CO217" s="357">
        <v>3306523</v>
      </c>
      <c r="CP217" s="357">
        <v>0</v>
      </c>
      <c r="CQ217" s="357">
        <v>0</v>
      </c>
      <c r="CR217" s="357">
        <v>3306523</v>
      </c>
      <c r="CS217" s="357">
        <v>255552</v>
      </c>
      <c r="CT217" s="357">
        <v>0</v>
      </c>
      <c r="CU217" s="357">
        <v>0</v>
      </c>
      <c r="CV217" s="357">
        <v>255552</v>
      </c>
      <c r="CW217" s="357">
        <v>165161</v>
      </c>
      <c r="CX217" s="357">
        <v>0</v>
      </c>
      <c r="CY217" s="357">
        <v>0</v>
      </c>
      <c r="CZ217" s="357">
        <v>165161</v>
      </c>
      <c r="DA217" s="357">
        <v>3928</v>
      </c>
      <c r="DB217" s="357">
        <v>0</v>
      </c>
      <c r="DC217" s="357">
        <v>0</v>
      </c>
      <c r="DD217" s="357">
        <v>3928</v>
      </c>
      <c r="DE217" s="357">
        <v>0</v>
      </c>
      <c r="DF217" s="357">
        <v>0</v>
      </c>
      <c r="DG217" s="357">
        <v>0</v>
      </c>
      <c r="DH217" s="357">
        <v>0</v>
      </c>
      <c r="DI217" s="357">
        <v>0</v>
      </c>
      <c r="DJ217" s="357">
        <v>0</v>
      </c>
      <c r="DK217" s="357">
        <v>0</v>
      </c>
      <c r="DL217" s="357">
        <v>0</v>
      </c>
      <c r="DM217" s="357">
        <v>0</v>
      </c>
      <c r="DN217" s="357">
        <v>0</v>
      </c>
      <c r="DO217" s="357">
        <v>0</v>
      </c>
      <c r="DP217" s="357">
        <v>0</v>
      </c>
      <c r="DQ217" s="357">
        <v>424641</v>
      </c>
      <c r="DR217" s="357">
        <v>0</v>
      </c>
      <c r="DS217" s="357">
        <v>0</v>
      </c>
      <c r="DT217" s="357">
        <v>0</v>
      </c>
      <c r="DU217" s="357">
        <v>0</v>
      </c>
      <c r="DV217" s="357">
        <v>0</v>
      </c>
      <c r="DW217" s="357">
        <v>424641</v>
      </c>
      <c r="DX217" s="357">
        <v>0</v>
      </c>
      <c r="DY217" s="357">
        <v>0</v>
      </c>
      <c r="DZ217" s="357">
        <v>424641</v>
      </c>
      <c r="EA217" s="357">
        <v>0</v>
      </c>
      <c r="EB217" s="357">
        <v>0</v>
      </c>
      <c r="EC217" s="357">
        <v>265000</v>
      </c>
      <c r="ED217" s="357">
        <v>0</v>
      </c>
      <c r="EE217" s="357">
        <v>0</v>
      </c>
      <c r="EF217" s="357">
        <v>265000</v>
      </c>
      <c r="EG217" s="357">
        <v>357000</v>
      </c>
      <c r="EH217" s="357">
        <v>0</v>
      </c>
      <c r="EI217" s="357">
        <v>0</v>
      </c>
      <c r="EJ217" s="357">
        <v>357000</v>
      </c>
      <c r="EK217" s="357">
        <v>1784000</v>
      </c>
      <c r="EL217" s="357">
        <v>0</v>
      </c>
      <c r="EM217" s="357">
        <v>0</v>
      </c>
      <c r="EN217" s="357">
        <v>1784000</v>
      </c>
      <c r="EO217" s="357">
        <v>2406000</v>
      </c>
      <c r="EP217" s="357">
        <v>0</v>
      </c>
      <c r="EQ217" s="357">
        <v>0</v>
      </c>
      <c r="ER217" s="357">
        <v>0</v>
      </c>
      <c r="ES217" s="357">
        <v>0</v>
      </c>
      <c r="ET217" s="357">
        <v>0</v>
      </c>
      <c r="EU217" s="357">
        <v>2406000</v>
      </c>
      <c r="EV217" s="357">
        <v>0</v>
      </c>
      <c r="EW217" s="357">
        <v>0</v>
      </c>
      <c r="EX217" s="357">
        <v>2406000</v>
      </c>
      <c r="EY217" s="357">
        <v>86851083</v>
      </c>
      <c r="EZ217" s="357">
        <v>0</v>
      </c>
      <c r="FA217" s="357">
        <v>0</v>
      </c>
      <c r="FB217" s="357">
        <v>86851083</v>
      </c>
      <c r="FC217" s="277">
        <v>0</v>
      </c>
      <c r="FD217" s="205"/>
    </row>
    <row r="218" spans="1:160" ht="12.75">
      <c r="A218" s="169">
        <v>211</v>
      </c>
      <c r="B218" s="172" t="s">
        <v>351</v>
      </c>
      <c r="C218" s="258" t="s">
        <v>352</v>
      </c>
      <c r="D218" s="235">
        <v>311213</v>
      </c>
      <c r="E218" s="357">
        <v>33203598</v>
      </c>
      <c r="F218" s="357">
        <v>0</v>
      </c>
      <c r="G218" s="357">
        <v>0</v>
      </c>
      <c r="H218" s="357">
        <v>33203598</v>
      </c>
      <c r="I218" s="357">
        <v>15638895</v>
      </c>
      <c r="J218" s="357">
        <v>0</v>
      </c>
      <c r="K218" s="357">
        <v>0</v>
      </c>
      <c r="L218" s="357">
        <v>0</v>
      </c>
      <c r="M218" s="357">
        <v>0</v>
      </c>
      <c r="N218" s="357">
        <v>0</v>
      </c>
      <c r="O218" s="357">
        <v>15638895</v>
      </c>
      <c r="P218" s="357">
        <v>0</v>
      </c>
      <c r="Q218" s="357">
        <v>0</v>
      </c>
      <c r="R218" s="357">
        <v>15638895</v>
      </c>
      <c r="S218" s="357">
        <v>14140</v>
      </c>
      <c r="T218" s="357">
        <v>0</v>
      </c>
      <c r="U218" s="357">
        <v>0</v>
      </c>
      <c r="V218" s="357">
        <v>14140</v>
      </c>
      <c r="W218" s="357">
        <v>6571</v>
      </c>
      <c r="X218" s="357">
        <v>0</v>
      </c>
      <c r="Y218" s="357">
        <v>0</v>
      </c>
      <c r="Z218" s="357">
        <v>6571</v>
      </c>
      <c r="AA218" s="357">
        <v>7569</v>
      </c>
      <c r="AB218" s="357">
        <v>0</v>
      </c>
      <c r="AC218" s="357">
        <v>0</v>
      </c>
      <c r="AD218" s="357">
        <v>0</v>
      </c>
      <c r="AE218" s="357">
        <v>0</v>
      </c>
      <c r="AF218" s="357">
        <v>0</v>
      </c>
      <c r="AG218" s="357">
        <v>7569</v>
      </c>
      <c r="AH218" s="357">
        <v>0</v>
      </c>
      <c r="AI218" s="357">
        <v>0</v>
      </c>
      <c r="AJ218" s="357">
        <v>7569</v>
      </c>
      <c r="AK218" s="357">
        <v>7569</v>
      </c>
      <c r="AL218" s="357">
        <v>0</v>
      </c>
      <c r="AM218" s="357">
        <v>0</v>
      </c>
      <c r="AN218" s="357">
        <v>7569</v>
      </c>
      <c r="AO218" s="357">
        <v>1654708</v>
      </c>
      <c r="AP218" s="357">
        <v>0</v>
      </c>
      <c r="AQ218" s="357">
        <v>0</v>
      </c>
      <c r="AR218" s="357">
        <v>1654708</v>
      </c>
      <c r="AS218" s="357">
        <v>1000</v>
      </c>
      <c r="AT218" s="357">
        <v>0</v>
      </c>
      <c r="AU218" s="357">
        <v>0</v>
      </c>
      <c r="AV218" s="357">
        <v>1000</v>
      </c>
      <c r="AW218" s="357">
        <v>263779</v>
      </c>
      <c r="AX218" s="357">
        <v>0</v>
      </c>
      <c r="AY218" s="357">
        <v>0</v>
      </c>
      <c r="AZ218" s="357">
        <v>263779</v>
      </c>
      <c r="BA218" s="357">
        <v>1390929</v>
      </c>
      <c r="BB218" s="357">
        <v>0</v>
      </c>
      <c r="BC218" s="357">
        <v>0</v>
      </c>
      <c r="BD218" s="357">
        <v>1390929</v>
      </c>
      <c r="BE218" s="357">
        <v>517705</v>
      </c>
      <c r="BF218" s="357">
        <v>0</v>
      </c>
      <c r="BG218" s="357">
        <v>0</v>
      </c>
      <c r="BH218" s="357">
        <v>517705</v>
      </c>
      <c r="BI218" s="357">
        <v>39015</v>
      </c>
      <c r="BJ218" s="357">
        <v>0</v>
      </c>
      <c r="BK218" s="357">
        <v>0</v>
      </c>
      <c r="BL218" s="357">
        <v>39015</v>
      </c>
      <c r="BM218" s="357">
        <v>45889</v>
      </c>
      <c r="BN218" s="357">
        <v>0</v>
      </c>
      <c r="BO218" s="357">
        <v>0</v>
      </c>
      <c r="BP218" s="357">
        <v>45889</v>
      </c>
      <c r="BQ218" s="357">
        <v>1993538</v>
      </c>
      <c r="BR218" s="357">
        <v>0</v>
      </c>
      <c r="BS218" s="357">
        <v>0</v>
      </c>
      <c r="BT218" s="357">
        <v>0</v>
      </c>
      <c r="BU218" s="357">
        <v>0</v>
      </c>
      <c r="BV218" s="357">
        <v>0</v>
      </c>
      <c r="BW218" s="357">
        <v>1993538</v>
      </c>
      <c r="BX218" s="357">
        <v>0</v>
      </c>
      <c r="BY218" s="357">
        <v>0</v>
      </c>
      <c r="BZ218" s="357">
        <v>1993538</v>
      </c>
      <c r="CA218" s="357">
        <v>1906</v>
      </c>
      <c r="CB218" s="357">
        <v>0</v>
      </c>
      <c r="CC218" s="357">
        <v>0</v>
      </c>
      <c r="CD218" s="357">
        <v>1906</v>
      </c>
      <c r="CE218" s="357">
        <v>204300</v>
      </c>
      <c r="CF218" s="357">
        <v>0</v>
      </c>
      <c r="CG218" s="357">
        <v>0</v>
      </c>
      <c r="CH218" s="357">
        <v>204300</v>
      </c>
      <c r="CI218" s="357">
        <v>206206</v>
      </c>
      <c r="CJ218" s="357">
        <v>0</v>
      </c>
      <c r="CK218" s="357">
        <v>0</v>
      </c>
      <c r="CL218" s="357">
        <v>0</v>
      </c>
      <c r="CM218" s="357">
        <v>0</v>
      </c>
      <c r="CN218" s="357">
        <v>0</v>
      </c>
      <c r="CO218" s="357">
        <v>206206</v>
      </c>
      <c r="CP218" s="357">
        <v>0</v>
      </c>
      <c r="CQ218" s="357">
        <v>0</v>
      </c>
      <c r="CR218" s="357">
        <v>206206</v>
      </c>
      <c r="CS218" s="357">
        <v>48005</v>
      </c>
      <c r="CT218" s="357">
        <v>0</v>
      </c>
      <c r="CU218" s="357">
        <v>0</v>
      </c>
      <c r="CV218" s="357">
        <v>48005</v>
      </c>
      <c r="CW218" s="357">
        <v>11406</v>
      </c>
      <c r="CX218" s="357">
        <v>0</v>
      </c>
      <c r="CY218" s="357">
        <v>0</v>
      </c>
      <c r="CZ218" s="357">
        <v>11406</v>
      </c>
      <c r="DA218" s="357">
        <v>1357</v>
      </c>
      <c r="DB218" s="357">
        <v>0</v>
      </c>
      <c r="DC218" s="357">
        <v>0</v>
      </c>
      <c r="DD218" s="357">
        <v>1357</v>
      </c>
      <c r="DE218" s="357">
        <v>27144</v>
      </c>
      <c r="DF218" s="357">
        <v>0</v>
      </c>
      <c r="DG218" s="357">
        <v>0</v>
      </c>
      <c r="DH218" s="357">
        <v>27144</v>
      </c>
      <c r="DI218" s="357">
        <v>0</v>
      </c>
      <c r="DJ218" s="357">
        <v>0</v>
      </c>
      <c r="DK218" s="357">
        <v>0</v>
      </c>
      <c r="DL218" s="357">
        <v>0</v>
      </c>
      <c r="DM218" s="357">
        <v>0</v>
      </c>
      <c r="DN218" s="357">
        <v>0</v>
      </c>
      <c r="DO218" s="357">
        <v>0</v>
      </c>
      <c r="DP218" s="357">
        <v>0</v>
      </c>
      <c r="DQ218" s="357">
        <v>87912</v>
      </c>
      <c r="DR218" s="357">
        <v>0</v>
      </c>
      <c r="DS218" s="357">
        <v>0</v>
      </c>
      <c r="DT218" s="357">
        <v>0</v>
      </c>
      <c r="DU218" s="357">
        <v>0</v>
      </c>
      <c r="DV218" s="357">
        <v>0</v>
      </c>
      <c r="DW218" s="357">
        <v>87912</v>
      </c>
      <c r="DX218" s="357">
        <v>0</v>
      </c>
      <c r="DY218" s="357">
        <v>0</v>
      </c>
      <c r="DZ218" s="357">
        <v>87912</v>
      </c>
      <c r="EA218" s="357">
        <v>0</v>
      </c>
      <c r="EB218" s="357">
        <v>0</v>
      </c>
      <c r="EC218" s="357">
        <v>20000</v>
      </c>
      <c r="ED218" s="357">
        <v>0</v>
      </c>
      <c r="EE218" s="357">
        <v>0</v>
      </c>
      <c r="EF218" s="357">
        <v>20000</v>
      </c>
      <c r="EG218" s="357">
        <v>20000</v>
      </c>
      <c r="EH218" s="357">
        <v>0</v>
      </c>
      <c r="EI218" s="357">
        <v>0</v>
      </c>
      <c r="EJ218" s="357">
        <v>20000</v>
      </c>
      <c r="EK218" s="357">
        <v>155000</v>
      </c>
      <c r="EL218" s="357">
        <v>0</v>
      </c>
      <c r="EM218" s="357">
        <v>0</v>
      </c>
      <c r="EN218" s="357">
        <v>155000</v>
      </c>
      <c r="EO218" s="357">
        <v>195000</v>
      </c>
      <c r="EP218" s="357">
        <v>0</v>
      </c>
      <c r="EQ218" s="357">
        <v>0</v>
      </c>
      <c r="ER218" s="357">
        <v>0</v>
      </c>
      <c r="ES218" s="357">
        <v>0</v>
      </c>
      <c r="ET218" s="357">
        <v>0</v>
      </c>
      <c r="EU218" s="357">
        <v>195000</v>
      </c>
      <c r="EV218" s="357">
        <v>0</v>
      </c>
      <c r="EW218" s="357">
        <v>0</v>
      </c>
      <c r="EX218" s="357">
        <v>195000</v>
      </c>
      <c r="EY218" s="357">
        <v>13148670</v>
      </c>
      <c r="EZ218" s="357">
        <v>0</v>
      </c>
      <c r="FA218" s="357">
        <v>0</v>
      </c>
      <c r="FB218" s="357">
        <v>13148670</v>
      </c>
      <c r="FC218" s="277">
        <v>0</v>
      </c>
      <c r="FD218" s="205"/>
    </row>
    <row r="219" spans="1:160" ht="12.75">
      <c r="A219" s="169">
        <v>212</v>
      </c>
      <c r="B219" s="172" t="s">
        <v>353</v>
      </c>
      <c r="C219" s="258" t="s">
        <v>354</v>
      </c>
      <c r="D219" s="235">
        <v>41645</v>
      </c>
      <c r="E219" s="357">
        <v>167498623</v>
      </c>
      <c r="F219" s="357">
        <v>0</v>
      </c>
      <c r="G219" s="357">
        <v>0</v>
      </c>
      <c r="H219" s="357">
        <v>167498623</v>
      </c>
      <c r="I219" s="357">
        <v>78891851</v>
      </c>
      <c r="J219" s="357">
        <v>0</v>
      </c>
      <c r="K219" s="357">
        <v>0</v>
      </c>
      <c r="L219" s="357">
        <v>-2082604</v>
      </c>
      <c r="M219" s="357">
        <v>0</v>
      </c>
      <c r="N219" s="357">
        <v>0</v>
      </c>
      <c r="O219" s="357">
        <v>76809247</v>
      </c>
      <c r="P219" s="357">
        <v>0</v>
      </c>
      <c r="Q219" s="357">
        <v>0</v>
      </c>
      <c r="R219" s="357">
        <v>76809247</v>
      </c>
      <c r="S219" s="357">
        <v>60835</v>
      </c>
      <c r="T219" s="357">
        <v>0</v>
      </c>
      <c r="U219" s="357">
        <v>0</v>
      </c>
      <c r="V219" s="357">
        <v>60835</v>
      </c>
      <c r="W219" s="357">
        <v>99626</v>
      </c>
      <c r="X219" s="357">
        <v>0</v>
      </c>
      <c r="Y219" s="357">
        <v>0</v>
      </c>
      <c r="Z219" s="357">
        <v>99626</v>
      </c>
      <c r="AA219" s="357">
        <v>-38791</v>
      </c>
      <c r="AB219" s="357">
        <v>0</v>
      </c>
      <c r="AC219" s="357">
        <v>0</v>
      </c>
      <c r="AD219" s="357">
        <v>0</v>
      </c>
      <c r="AE219" s="357">
        <v>0</v>
      </c>
      <c r="AF219" s="357">
        <v>0</v>
      </c>
      <c r="AG219" s="357">
        <v>-38791</v>
      </c>
      <c r="AH219" s="357">
        <v>0</v>
      </c>
      <c r="AI219" s="357">
        <v>0</v>
      </c>
      <c r="AJ219" s="357">
        <v>-38791</v>
      </c>
      <c r="AK219" s="357">
        <v>-38791</v>
      </c>
      <c r="AL219" s="357">
        <v>0</v>
      </c>
      <c r="AM219" s="357">
        <v>0</v>
      </c>
      <c r="AN219" s="357">
        <v>-38791</v>
      </c>
      <c r="AO219" s="357">
        <v>4796141</v>
      </c>
      <c r="AP219" s="357">
        <v>0</v>
      </c>
      <c r="AQ219" s="357">
        <v>0</v>
      </c>
      <c r="AR219" s="357">
        <v>4796141</v>
      </c>
      <c r="AS219" s="357">
        <v>0</v>
      </c>
      <c r="AT219" s="357">
        <v>0</v>
      </c>
      <c r="AU219" s="357">
        <v>0</v>
      </c>
      <c r="AV219" s="357">
        <v>0</v>
      </c>
      <c r="AW219" s="357">
        <v>1561787</v>
      </c>
      <c r="AX219" s="357">
        <v>0</v>
      </c>
      <c r="AY219" s="357">
        <v>0</v>
      </c>
      <c r="AZ219" s="357">
        <v>1561787</v>
      </c>
      <c r="BA219" s="357">
        <v>3234354</v>
      </c>
      <c r="BB219" s="357">
        <v>0</v>
      </c>
      <c r="BC219" s="357">
        <v>0</v>
      </c>
      <c r="BD219" s="357">
        <v>3234354</v>
      </c>
      <c r="BE219" s="357">
        <v>2219747</v>
      </c>
      <c r="BF219" s="357">
        <v>0</v>
      </c>
      <c r="BG219" s="357">
        <v>0</v>
      </c>
      <c r="BH219" s="357">
        <v>2219747</v>
      </c>
      <c r="BI219" s="357">
        <v>72715</v>
      </c>
      <c r="BJ219" s="357">
        <v>0</v>
      </c>
      <c r="BK219" s="357">
        <v>0</v>
      </c>
      <c r="BL219" s="357">
        <v>72715</v>
      </c>
      <c r="BM219" s="357">
        <v>0</v>
      </c>
      <c r="BN219" s="357">
        <v>0</v>
      </c>
      <c r="BO219" s="357">
        <v>0</v>
      </c>
      <c r="BP219" s="357">
        <v>0</v>
      </c>
      <c r="BQ219" s="357">
        <v>5526816</v>
      </c>
      <c r="BR219" s="357">
        <v>0</v>
      </c>
      <c r="BS219" s="357">
        <v>0</v>
      </c>
      <c r="BT219" s="357">
        <v>1033477</v>
      </c>
      <c r="BU219" s="357">
        <v>0</v>
      </c>
      <c r="BV219" s="357">
        <v>0</v>
      </c>
      <c r="BW219" s="357">
        <v>6560293</v>
      </c>
      <c r="BX219" s="357">
        <v>0</v>
      </c>
      <c r="BY219" s="357">
        <v>0</v>
      </c>
      <c r="BZ219" s="357">
        <v>6560293</v>
      </c>
      <c r="CA219" s="357">
        <v>10558</v>
      </c>
      <c r="CB219" s="357">
        <v>0</v>
      </c>
      <c r="CC219" s="357">
        <v>0</v>
      </c>
      <c r="CD219" s="357">
        <v>10558</v>
      </c>
      <c r="CE219" s="357">
        <v>5180248</v>
      </c>
      <c r="CF219" s="357">
        <v>0</v>
      </c>
      <c r="CG219" s="357">
        <v>0</v>
      </c>
      <c r="CH219" s="357">
        <v>5180248</v>
      </c>
      <c r="CI219" s="357">
        <v>5190806</v>
      </c>
      <c r="CJ219" s="357">
        <v>0</v>
      </c>
      <c r="CK219" s="357">
        <v>0</v>
      </c>
      <c r="CL219" s="357">
        <v>400000</v>
      </c>
      <c r="CM219" s="357">
        <v>0</v>
      </c>
      <c r="CN219" s="357">
        <v>0</v>
      </c>
      <c r="CO219" s="357">
        <v>5590806</v>
      </c>
      <c r="CP219" s="357">
        <v>0</v>
      </c>
      <c r="CQ219" s="357">
        <v>0</v>
      </c>
      <c r="CR219" s="357">
        <v>5590806</v>
      </c>
      <c r="CS219" s="357">
        <v>217025</v>
      </c>
      <c r="CT219" s="357">
        <v>0</v>
      </c>
      <c r="CU219" s="357">
        <v>0</v>
      </c>
      <c r="CV219" s="357">
        <v>217025</v>
      </c>
      <c r="CW219" s="357">
        <v>101955</v>
      </c>
      <c r="CX219" s="357">
        <v>0</v>
      </c>
      <c r="CY219" s="357">
        <v>0</v>
      </c>
      <c r="CZ219" s="357">
        <v>101955</v>
      </c>
      <c r="DA219" s="357">
        <v>8700</v>
      </c>
      <c r="DB219" s="357">
        <v>0</v>
      </c>
      <c r="DC219" s="357">
        <v>0</v>
      </c>
      <c r="DD219" s="357">
        <v>8700</v>
      </c>
      <c r="DE219" s="357">
        <v>0</v>
      </c>
      <c r="DF219" s="357">
        <v>0</v>
      </c>
      <c r="DG219" s="357">
        <v>0</v>
      </c>
      <c r="DH219" s="357">
        <v>0</v>
      </c>
      <c r="DI219" s="357">
        <v>0</v>
      </c>
      <c r="DJ219" s="357">
        <v>0</v>
      </c>
      <c r="DK219" s="357">
        <v>0</v>
      </c>
      <c r="DL219" s="357">
        <v>0</v>
      </c>
      <c r="DM219" s="357">
        <v>0</v>
      </c>
      <c r="DN219" s="357">
        <v>0</v>
      </c>
      <c r="DO219" s="357">
        <v>0</v>
      </c>
      <c r="DP219" s="357">
        <v>0</v>
      </c>
      <c r="DQ219" s="357">
        <v>327680</v>
      </c>
      <c r="DR219" s="357">
        <v>0</v>
      </c>
      <c r="DS219" s="357">
        <v>0</v>
      </c>
      <c r="DT219" s="357">
        <v>42000</v>
      </c>
      <c r="DU219" s="357">
        <v>0</v>
      </c>
      <c r="DV219" s="357">
        <v>0</v>
      </c>
      <c r="DW219" s="357">
        <v>369680</v>
      </c>
      <c r="DX219" s="357">
        <v>0</v>
      </c>
      <c r="DY219" s="357">
        <v>0</v>
      </c>
      <c r="DZ219" s="357">
        <v>369680</v>
      </c>
      <c r="EA219" s="357">
        <v>0</v>
      </c>
      <c r="EB219" s="357">
        <v>0</v>
      </c>
      <c r="EC219" s="357">
        <v>0</v>
      </c>
      <c r="ED219" s="357">
        <v>0</v>
      </c>
      <c r="EE219" s="357">
        <v>0</v>
      </c>
      <c r="EF219" s="357">
        <v>0</v>
      </c>
      <c r="EG219" s="357">
        <v>20000</v>
      </c>
      <c r="EH219" s="357">
        <v>0</v>
      </c>
      <c r="EI219" s="357">
        <v>0</v>
      </c>
      <c r="EJ219" s="357">
        <v>20000</v>
      </c>
      <c r="EK219" s="357">
        <v>803730</v>
      </c>
      <c r="EL219" s="357">
        <v>0</v>
      </c>
      <c r="EM219" s="357">
        <v>0</v>
      </c>
      <c r="EN219" s="357">
        <v>803730</v>
      </c>
      <c r="EO219" s="357">
        <v>823730</v>
      </c>
      <c r="EP219" s="357">
        <v>0</v>
      </c>
      <c r="EQ219" s="357">
        <v>0</v>
      </c>
      <c r="ER219" s="357">
        <v>0</v>
      </c>
      <c r="ES219" s="357">
        <v>0</v>
      </c>
      <c r="ET219" s="357">
        <v>0</v>
      </c>
      <c r="EU219" s="357">
        <v>823730</v>
      </c>
      <c r="EV219" s="357">
        <v>0</v>
      </c>
      <c r="EW219" s="357">
        <v>0</v>
      </c>
      <c r="EX219" s="357">
        <v>823730</v>
      </c>
      <c r="EY219" s="357">
        <v>63503529</v>
      </c>
      <c r="EZ219" s="357">
        <v>0</v>
      </c>
      <c r="FA219" s="357">
        <v>0</v>
      </c>
      <c r="FB219" s="357">
        <v>63503529</v>
      </c>
      <c r="FC219" s="277">
        <v>0</v>
      </c>
      <c r="FD219" s="205"/>
    </row>
    <row r="220" spans="1:160" ht="12.75">
      <c r="A220" s="169">
        <v>213</v>
      </c>
      <c r="B220" s="172" t="s">
        <v>355</v>
      </c>
      <c r="C220" s="258" t="s">
        <v>356</v>
      </c>
      <c r="D220" s="235">
        <v>41639</v>
      </c>
      <c r="E220" s="357">
        <v>40911385</v>
      </c>
      <c r="F220" s="357">
        <v>0</v>
      </c>
      <c r="G220" s="357">
        <v>0</v>
      </c>
      <c r="H220" s="357">
        <v>40911385</v>
      </c>
      <c r="I220" s="357">
        <v>19269262</v>
      </c>
      <c r="J220" s="357">
        <v>0</v>
      </c>
      <c r="K220" s="357">
        <v>0</v>
      </c>
      <c r="L220" s="357">
        <v>613713</v>
      </c>
      <c r="M220" s="357">
        <v>0</v>
      </c>
      <c r="N220" s="357">
        <v>0</v>
      </c>
      <c r="O220" s="357">
        <v>19882975</v>
      </c>
      <c r="P220" s="357">
        <v>0</v>
      </c>
      <c r="Q220" s="357">
        <v>0</v>
      </c>
      <c r="R220" s="357">
        <v>19882975</v>
      </c>
      <c r="S220" s="357">
        <v>23865</v>
      </c>
      <c r="T220" s="357">
        <v>0</v>
      </c>
      <c r="U220" s="357">
        <v>0</v>
      </c>
      <c r="V220" s="357">
        <v>23865</v>
      </c>
      <c r="W220" s="357">
        <v>1451</v>
      </c>
      <c r="X220" s="357">
        <v>0</v>
      </c>
      <c r="Y220" s="357">
        <v>0</v>
      </c>
      <c r="Z220" s="357">
        <v>1451</v>
      </c>
      <c r="AA220" s="357">
        <v>22414</v>
      </c>
      <c r="AB220" s="357">
        <v>0</v>
      </c>
      <c r="AC220" s="357">
        <v>0</v>
      </c>
      <c r="AD220" s="357">
        <v>0</v>
      </c>
      <c r="AE220" s="357">
        <v>0</v>
      </c>
      <c r="AF220" s="357">
        <v>0</v>
      </c>
      <c r="AG220" s="357">
        <v>22414</v>
      </c>
      <c r="AH220" s="357">
        <v>0</v>
      </c>
      <c r="AI220" s="357">
        <v>0</v>
      </c>
      <c r="AJ220" s="357">
        <v>22414</v>
      </c>
      <c r="AK220" s="357">
        <v>22414</v>
      </c>
      <c r="AL220" s="357">
        <v>0</v>
      </c>
      <c r="AM220" s="357">
        <v>0</v>
      </c>
      <c r="AN220" s="357">
        <v>22414</v>
      </c>
      <c r="AO220" s="357">
        <v>1448982</v>
      </c>
      <c r="AP220" s="357">
        <v>0</v>
      </c>
      <c r="AQ220" s="357">
        <v>0</v>
      </c>
      <c r="AR220" s="357">
        <v>1448982</v>
      </c>
      <c r="AS220" s="357">
        <v>50000</v>
      </c>
      <c r="AT220" s="357">
        <v>0</v>
      </c>
      <c r="AU220" s="357">
        <v>0</v>
      </c>
      <c r="AV220" s="357">
        <v>50000</v>
      </c>
      <c r="AW220" s="357">
        <v>337126</v>
      </c>
      <c r="AX220" s="357">
        <v>0</v>
      </c>
      <c r="AY220" s="357">
        <v>0</v>
      </c>
      <c r="AZ220" s="357">
        <v>337126</v>
      </c>
      <c r="BA220" s="357">
        <v>1111856</v>
      </c>
      <c r="BB220" s="357">
        <v>0</v>
      </c>
      <c r="BC220" s="357">
        <v>0</v>
      </c>
      <c r="BD220" s="357">
        <v>1111856</v>
      </c>
      <c r="BE220" s="357">
        <v>1012890</v>
      </c>
      <c r="BF220" s="357">
        <v>0</v>
      </c>
      <c r="BG220" s="357">
        <v>0</v>
      </c>
      <c r="BH220" s="357">
        <v>1012890</v>
      </c>
      <c r="BI220" s="357">
        <v>11394</v>
      </c>
      <c r="BJ220" s="357">
        <v>0</v>
      </c>
      <c r="BK220" s="357">
        <v>0</v>
      </c>
      <c r="BL220" s="357">
        <v>11394</v>
      </c>
      <c r="BM220" s="357">
        <v>259</v>
      </c>
      <c r="BN220" s="357">
        <v>0</v>
      </c>
      <c r="BO220" s="357">
        <v>0</v>
      </c>
      <c r="BP220" s="357">
        <v>259</v>
      </c>
      <c r="BQ220" s="357">
        <v>2136399</v>
      </c>
      <c r="BR220" s="357">
        <v>0</v>
      </c>
      <c r="BS220" s="357">
        <v>0</v>
      </c>
      <c r="BT220" s="357">
        <v>218000</v>
      </c>
      <c r="BU220" s="357">
        <v>0</v>
      </c>
      <c r="BV220" s="357">
        <v>0</v>
      </c>
      <c r="BW220" s="357">
        <v>2354399</v>
      </c>
      <c r="BX220" s="357">
        <v>0</v>
      </c>
      <c r="BY220" s="357">
        <v>0</v>
      </c>
      <c r="BZ220" s="357">
        <v>2354399</v>
      </c>
      <c r="CA220" s="357">
        <v>0</v>
      </c>
      <c r="CB220" s="357">
        <v>0</v>
      </c>
      <c r="CC220" s="357">
        <v>0</v>
      </c>
      <c r="CD220" s="357">
        <v>0</v>
      </c>
      <c r="CE220" s="357">
        <v>252869</v>
      </c>
      <c r="CF220" s="357">
        <v>0</v>
      </c>
      <c r="CG220" s="357">
        <v>0</v>
      </c>
      <c r="CH220" s="357">
        <v>252869</v>
      </c>
      <c r="CI220" s="357">
        <v>252869</v>
      </c>
      <c r="CJ220" s="357">
        <v>0</v>
      </c>
      <c r="CK220" s="357">
        <v>0</v>
      </c>
      <c r="CL220" s="357">
        <v>0</v>
      </c>
      <c r="CM220" s="357">
        <v>0</v>
      </c>
      <c r="CN220" s="357">
        <v>0</v>
      </c>
      <c r="CO220" s="357">
        <v>252869</v>
      </c>
      <c r="CP220" s="357">
        <v>0</v>
      </c>
      <c r="CQ220" s="357">
        <v>0</v>
      </c>
      <c r="CR220" s="357">
        <v>252869</v>
      </c>
      <c r="CS220" s="357">
        <v>23799</v>
      </c>
      <c r="CT220" s="357">
        <v>0</v>
      </c>
      <c r="CU220" s="357">
        <v>0</v>
      </c>
      <c r="CV220" s="357">
        <v>23799</v>
      </c>
      <c r="CW220" s="357">
        <v>0</v>
      </c>
      <c r="CX220" s="357">
        <v>0</v>
      </c>
      <c r="CY220" s="357">
        <v>0</v>
      </c>
      <c r="CZ220" s="357">
        <v>0</v>
      </c>
      <c r="DA220" s="357">
        <v>0</v>
      </c>
      <c r="DB220" s="357">
        <v>0</v>
      </c>
      <c r="DC220" s="357">
        <v>0</v>
      </c>
      <c r="DD220" s="357">
        <v>0</v>
      </c>
      <c r="DE220" s="357">
        <v>0</v>
      </c>
      <c r="DF220" s="357">
        <v>0</v>
      </c>
      <c r="DG220" s="357">
        <v>0</v>
      </c>
      <c r="DH220" s="357">
        <v>0</v>
      </c>
      <c r="DI220" s="357">
        <v>0</v>
      </c>
      <c r="DJ220" s="357">
        <v>0</v>
      </c>
      <c r="DK220" s="357">
        <v>0</v>
      </c>
      <c r="DL220" s="357">
        <v>0</v>
      </c>
      <c r="DM220" s="357">
        <v>0</v>
      </c>
      <c r="DN220" s="357">
        <v>0</v>
      </c>
      <c r="DO220" s="357">
        <v>0</v>
      </c>
      <c r="DP220" s="357">
        <v>0</v>
      </c>
      <c r="DQ220" s="357">
        <v>23799</v>
      </c>
      <c r="DR220" s="357">
        <v>0</v>
      </c>
      <c r="DS220" s="357">
        <v>0</v>
      </c>
      <c r="DT220" s="357">
        <v>0</v>
      </c>
      <c r="DU220" s="357">
        <v>0</v>
      </c>
      <c r="DV220" s="357">
        <v>0</v>
      </c>
      <c r="DW220" s="357">
        <v>23799</v>
      </c>
      <c r="DX220" s="357">
        <v>0</v>
      </c>
      <c r="DY220" s="357">
        <v>0</v>
      </c>
      <c r="DZ220" s="357">
        <v>23799</v>
      </c>
      <c r="EA220" s="357">
        <v>0</v>
      </c>
      <c r="EB220" s="357">
        <v>0</v>
      </c>
      <c r="EC220" s="357">
        <v>0</v>
      </c>
      <c r="ED220" s="357">
        <v>0</v>
      </c>
      <c r="EE220" s="357">
        <v>0</v>
      </c>
      <c r="EF220" s="357">
        <v>0</v>
      </c>
      <c r="EG220" s="357">
        <v>1437</v>
      </c>
      <c r="EH220" s="357">
        <v>0</v>
      </c>
      <c r="EI220" s="357">
        <v>0</v>
      </c>
      <c r="EJ220" s="357">
        <v>1437</v>
      </c>
      <c r="EK220" s="357">
        <v>327564</v>
      </c>
      <c r="EL220" s="357">
        <v>0</v>
      </c>
      <c r="EM220" s="357">
        <v>0</v>
      </c>
      <c r="EN220" s="357">
        <v>327564</v>
      </c>
      <c r="EO220" s="357">
        <v>329001</v>
      </c>
      <c r="EP220" s="357">
        <v>0</v>
      </c>
      <c r="EQ220" s="357">
        <v>0</v>
      </c>
      <c r="ER220" s="357">
        <v>0</v>
      </c>
      <c r="ES220" s="357">
        <v>0</v>
      </c>
      <c r="ET220" s="357">
        <v>0</v>
      </c>
      <c r="EU220" s="357">
        <v>329001</v>
      </c>
      <c r="EV220" s="357">
        <v>0</v>
      </c>
      <c r="EW220" s="357">
        <v>0</v>
      </c>
      <c r="EX220" s="357">
        <v>329001</v>
      </c>
      <c r="EY220" s="357">
        <v>16900493</v>
      </c>
      <c r="EZ220" s="357">
        <v>0</v>
      </c>
      <c r="FA220" s="357">
        <v>0</v>
      </c>
      <c r="FB220" s="357">
        <v>16900493</v>
      </c>
      <c r="FC220" s="277">
        <v>0</v>
      </c>
      <c r="FD220" s="205"/>
    </row>
    <row r="221" spans="1:160" ht="12.75">
      <c r="A221" s="169">
        <v>214</v>
      </c>
      <c r="B221" s="172" t="s">
        <v>357</v>
      </c>
      <c r="C221" s="258" t="s">
        <v>358</v>
      </c>
      <c r="D221" s="235">
        <v>41547</v>
      </c>
      <c r="E221" s="357">
        <v>36465865</v>
      </c>
      <c r="F221" s="357">
        <v>0</v>
      </c>
      <c r="G221" s="357">
        <v>0</v>
      </c>
      <c r="H221" s="357">
        <v>36465865</v>
      </c>
      <c r="I221" s="357">
        <v>17175422</v>
      </c>
      <c r="J221" s="357">
        <v>0</v>
      </c>
      <c r="K221" s="357">
        <v>0</v>
      </c>
      <c r="L221" s="357">
        <v>0</v>
      </c>
      <c r="M221" s="357">
        <v>0</v>
      </c>
      <c r="N221" s="357">
        <v>0</v>
      </c>
      <c r="O221" s="357">
        <v>17175422</v>
      </c>
      <c r="P221" s="357">
        <v>0</v>
      </c>
      <c r="Q221" s="357">
        <v>0</v>
      </c>
      <c r="R221" s="357">
        <v>17175422</v>
      </c>
      <c r="S221" s="357">
        <v>50500</v>
      </c>
      <c r="T221" s="357">
        <v>0</v>
      </c>
      <c r="U221" s="357">
        <v>0</v>
      </c>
      <c r="V221" s="357">
        <v>50500</v>
      </c>
      <c r="W221" s="357">
        <v>0</v>
      </c>
      <c r="X221" s="357">
        <v>0</v>
      </c>
      <c r="Y221" s="357">
        <v>0</v>
      </c>
      <c r="Z221" s="357">
        <v>0</v>
      </c>
      <c r="AA221" s="357">
        <v>50500</v>
      </c>
      <c r="AB221" s="357">
        <v>0</v>
      </c>
      <c r="AC221" s="357">
        <v>0</v>
      </c>
      <c r="AD221" s="357">
        <v>0</v>
      </c>
      <c r="AE221" s="357">
        <v>0</v>
      </c>
      <c r="AF221" s="357">
        <v>0</v>
      </c>
      <c r="AG221" s="357">
        <v>50500</v>
      </c>
      <c r="AH221" s="357">
        <v>0</v>
      </c>
      <c r="AI221" s="357">
        <v>0</v>
      </c>
      <c r="AJ221" s="357">
        <v>50500</v>
      </c>
      <c r="AK221" s="357">
        <v>50500</v>
      </c>
      <c r="AL221" s="357">
        <v>0</v>
      </c>
      <c r="AM221" s="357">
        <v>0</v>
      </c>
      <c r="AN221" s="357">
        <v>50500</v>
      </c>
      <c r="AO221" s="357">
        <v>1930000</v>
      </c>
      <c r="AP221" s="357">
        <v>0</v>
      </c>
      <c r="AQ221" s="357">
        <v>0</v>
      </c>
      <c r="AR221" s="357">
        <v>1930000</v>
      </c>
      <c r="AS221" s="357">
        <v>5000</v>
      </c>
      <c r="AT221" s="357">
        <v>0</v>
      </c>
      <c r="AU221" s="357">
        <v>0</v>
      </c>
      <c r="AV221" s="357">
        <v>5000</v>
      </c>
      <c r="AW221" s="357">
        <v>301110</v>
      </c>
      <c r="AX221" s="357">
        <v>0</v>
      </c>
      <c r="AY221" s="357">
        <v>0</v>
      </c>
      <c r="AZ221" s="357">
        <v>301110</v>
      </c>
      <c r="BA221" s="357">
        <v>1628890</v>
      </c>
      <c r="BB221" s="357">
        <v>0</v>
      </c>
      <c r="BC221" s="357">
        <v>0</v>
      </c>
      <c r="BD221" s="357">
        <v>1628890</v>
      </c>
      <c r="BE221" s="357">
        <v>450000</v>
      </c>
      <c r="BF221" s="357">
        <v>0</v>
      </c>
      <c r="BG221" s="357">
        <v>0</v>
      </c>
      <c r="BH221" s="357">
        <v>450000</v>
      </c>
      <c r="BI221" s="357">
        <v>50000</v>
      </c>
      <c r="BJ221" s="357">
        <v>0</v>
      </c>
      <c r="BK221" s="357">
        <v>0</v>
      </c>
      <c r="BL221" s="357">
        <v>50000</v>
      </c>
      <c r="BM221" s="357">
        <v>0</v>
      </c>
      <c r="BN221" s="357">
        <v>0</v>
      </c>
      <c r="BO221" s="357">
        <v>0</v>
      </c>
      <c r="BP221" s="357">
        <v>0</v>
      </c>
      <c r="BQ221" s="357">
        <v>2128890</v>
      </c>
      <c r="BR221" s="357">
        <v>0</v>
      </c>
      <c r="BS221" s="357">
        <v>0</v>
      </c>
      <c r="BT221" s="357">
        <v>0</v>
      </c>
      <c r="BU221" s="357">
        <v>0</v>
      </c>
      <c r="BV221" s="357">
        <v>0</v>
      </c>
      <c r="BW221" s="357">
        <v>2128890</v>
      </c>
      <c r="BX221" s="357">
        <v>0</v>
      </c>
      <c r="BY221" s="357">
        <v>0</v>
      </c>
      <c r="BZ221" s="357">
        <v>2128890</v>
      </c>
      <c r="CA221" s="357">
        <v>20000</v>
      </c>
      <c r="CB221" s="357">
        <v>0</v>
      </c>
      <c r="CC221" s="357">
        <v>0</v>
      </c>
      <c r="CD221" s="357">
        <v>20000</v>
      </c>
      <c r="CE221" s="357">
        <v>750000</v>
      </c>
      <c r="CF221" s="357">
        <v>0</v>
      </c>
      <c r="CG221" s="357">
        <v>0</v>
      </c>
      <c r="CH221" s="357">
        <v>750000</v>
      </c>
      <c r="CI221" s="357">
        <v>770000</v>
      </c>
      <c r="CJ221" s="357">
        <v>0</v>
      </c>
      <c r="CK221" s="357">
        <v>0</v>
      </c>
      <c r="CL221" s="357">
        <v>0</v>
      </c>
      <c r="CM221" s="357">
        <v>0</v>
      </c>
      <c r="CN221" s="357">
        <v>0</v>
      </c>
      <c r="CO221" s="357">
        <v>770000</v>
      </c>
      <c r="CP221" s="357">
        <v>0</v>
      </c>
      <c r="CQ221" s="357">
        <v>0</v>
      </c>
      <c r="CR221" s="357">
        <v>770000</v>
      </c>
      <c r="CS221" s="357">
        <v>46000</v>
      </c>
      <c r="CT221" s="357">
        <v>0</v>
      </c>
      <c r="CU221" s="357">
        <v>0</v>
      </c>
      <c r="CV221" s="357">
        <v>46000</v>
      </c>
      <c r="CW221" s="357">
        <v>27000</v>
      </c>
      <c r="CX221" s="357">
        <v>0</v>
      </c>
      <c r="CY221" s="357">
        <v>0</v>
      </c>
      <c r="CZ221" s="357">
        <v>27000</v>
      </c>
      <c r="DA221" s="357">
        <v>3100</v>
      </c>
      <c r="DB221" s="357">
        <v>0</v>
      </c>
      <c r="DC221" s="357">
        <v>0</v>
      </c>
      <c r="DD221" s="357">
        <v>3100</v>
      </c>
      <c r="DE221" s="357">
        <v>0</v>
      </c>
      <c r="DF221" s="357">
        <v>0</v>
      </c>
      <c r="DG221" s="357">
        <v>0</v>
      </c>
      <c r="DH221" s="357">
        <v>0</v>
      </c>
      <c r="DI221" s="357">
        <v>0</v>
      </c>
      <c r="DJ221" s="357">
        <v>0</v>
      </c>
      <c r="DK221" s="357">
        <v>0</v>
      </c>
      <c r="DL221" s="357">
        <v>0</v>
      </c>
      <c r="DM221" s="357">
        <v>0</v>
      </c>
      <c r="DN221" s="357">
        <v>0</v>
      </c>
      <c r="DO221" s="357">
        <v>0</v>
      </c>
      <c r="DP221" s="357">
        <v>0</v>
      </c>
      <c r="DQ221" s="357">
        <v>76100</v>
      </c>
      <c r="DR221" s="357">
        <v>0</v>
      </c>
      <c r="DS221" s="357">
        <v>0</v>
      </c>
      <c r="DT221" s="357">
        <v>0</v>
      </c>
      <c r="DU221" s="357">
        <v>0</v>
      </c>
      <c r="DV221" s="357">
        <v>0</v>
      </c>
      <c r="DW221" s="357">
        <v>76100</v>
      </c>
      <c r="DX221" s="357">
        <v>0</v>
      </c>
      <c r="DY221" s="357">
        <v>0</v>
      </c>
      <c r="DZ221" s="357">
        <v>76100</v>
      </c>
      <c r="EA221" s="357">
        <v>0</v>
      </c>
      <c r="EB221" s="357">
        <v>0</v>
      </c>
      <c r="EC221" s="357">
        <v>200000</v>
      </c>
      <c r="ED221" s="357">
        <v>0</v>
      </c>
      <c r="EE221" s="357">
        <v>0</v>
      </c>
      <c r="EF221" s="357">
        <v>200000</v>
      </c>
      <c r="EG221" s="357">
        <v>10000</v>
      </c>
      <c r="EH221" s="357">
        <v>0</v>
      </c>
      <c r="EI221" s="357">
        <v>0</v>
      </c>
      <c r="EJ221" s="357">
        <v>10000</v>
      </c>
      <c r="EK221" s="357">
        <v>202000</v>
      </c>
      <c r="EL221" s="357">
        <v>0</v>
      </c>
      <c r="EM221" s="357">
        <v>0</v>
      </c>
      <c r="EN221" s="357">
        <v>202000</v>
      </c>
      <c r="EO221" s="357">
        <v>412000</v>
      </c>
      <c r="EP221" s="357">
        <v>0</v>
      </c>
      <c r="EQ221" s="357">
        <v>0</v>
      </c>
      <c r="ER221" s="357">
        <v>0</v>
      </c>
      <c r="ES221" s="357">
        <v>0</v>
      </c>
      <c r="ET221" s="357">
        <v>0</v>
      </c>
      <c r="EU221" s="357">
        <v>412000</v>
      </c>
      <c r="EV221" s="357">
        <v>0</v>
      </c>
      <c r="EW221" s="357">
        <v>0</v>
      </c>
      <c r="EX221" s="357">
        <v>412000</v>
      </c>
      <c r="EY221" s="357">
        <v>13737932</v>
      </c>
      <c r="EZ221" s="357">
        <v>0</v>
      </c>
      <c r="FA221" s="357">
        <v>0</v>
      </c>
      <c r="FB221" s="357">
        <v>13737932</v>
      </c>
      <c r="FC221" s="277">
        <v>0</v>
      </c>
      <c r="FD221" s="205"/>
    </row>
    <row r="222" spans="1:160" ht="12.75">
      <c r="A222" s="169">
        <v>215</v>
      </c>
      <c r="B222" s="172" t="s">
        <v>359</v>
      </c>
      <c r="C222" s="258" t="s">
        <v>360</v>
      </c>
      <c r="D222" s="235">
        <v>201213</v>
      </c>
      <c r="E222" s="357">
        <v>46926983</v>
      </c>
      <c r="F222" s="357">
        <v>0</v>
      </c>
      <c r="G222" s="357">
        <v>0</v>
      </c>
      <c r="H222" s="357">
        <v>46926983</v>
      </c>
      <c r="I222" s="357">
        <v>22102609</v>
      </c>
      <c r="J222" s="357">
        <v>0</v>
      </c>
      <c r="K222" s="357">
        <v>0</v>
      </c>
      <c r="L222" s="357">
        <v>0</v>
      </c>
      <c r="M222" s="357">
        <v>0</v>
      </c>
      <c r="N222" s="357">
        <v>0</v>
      </c>
      <c r="O222" s="357">
        <v>22102609</v>
      </c>
      <c r="P222" s="357">
        <v>0</v>
      </c>
      <c r="Q222" s="357">
        <v>0</v>
      </c>
      <c r="R222" s="357">
        <v>22102609</v>
      </c>
      <c r="S222" s="357">
        <v>60683.91</v>
      </c>
      <c r="T222" s="357">
        <v>0</v>
      </c>
      <c r="U222" s="357">
        <v>0</v>
      </c>
      <c r="V222" s="357">
        <v>60683.91</v>
      </c>
      <c r="W222" s="357">
        <v>26648.42</v>
      </c>
      <c r="X222" s="357">
        <v>0</v>
      </c>
      <c r="Y222" s="357">
        <v>0</v>
      </c>
      <c r="Z222" s="357">
        <v>26648.42</v>
      </c>
      <c r="AA222" s="357">
        <v>34035.49</v>
      </c>
      <c r="AB222" s="357">
        <v>0</v>
      </c>
      <c r="AC222" s="357">
        <v>0</v>
      </c>
      <c r="AD222" s="357">
        <v>0</v>
      </c>
      <c r="AE222" s="357">
        <v>0</v>
      </c>
      <c r="AF222" s="357">
        <v>0</v>
      </c>
      <c r="AG222" s="357">
        <v>34035.49</v>
      </c>
      <c r="AH222" s="357">
        <v>0</v>
      </c>
      <c r="AI222" s="357">
        <v>0</v>
      </c>
      <c r="AJ222" s="357">
        <v>34035.49</v>
      </c>
      <c r="AK222" s="357">
        <v>34035.49</v>
      </c>
      <c r="AL222" s="357">
        <v>0</v>
      </c>
      <c r="AM222" s="357">
        <v>0</v>
      </c>
      <c r="AN222" s="357">
        <v>34035.49</v>
      </c>
      <c r="AO222" s="357">
        <v>2696491.15</v>
      </c>
      <c r="AP222" s="357">
        <v>0</v>
      </c>
      <c r="AQ222" s="357">
        <v>0</v>
      </c>
      <c r="AR222" s="357">
        <v>2696491.15</v>
      </c>
      <c r="AS222" s="357">
        <v>0</v>
      </c>
      <c r="AT222" s="357">
        <v>0</v>
      </c>
      <c r="AU222" s="357">
        <v>0</v>
      </c>
      <c r="AV222" s="357">
        <v>0</v>
      </c>
      <c r="AW222" s="357">
        <v>354314.71</v>
      </c>
      <c r="AX222" s="357">
        <v>0</v>
      </c>
      <c r="AY222" s="357">
        <v>0</v>
      </c>
      <c r="AZ222" s="357">
        <v>354314.71</v>
      </c>
      <c r="BA222" s="357">
        <v>2342176.44</v>
      </c>
      <c r="BB222" s="357">
        <v>0</v>
      </c>
      <c r="BC222" s="357">
        <v>0</v>
      </c>
      <c r="BD222" s="357">
        <v>2342176.44</v>
      </c>
      <c r="BE222" s="357">
        <v>2008928</v>
      </c>
      <c r="BF222" s="357">
        <v>0</v>
      </c>
      <c r="BG222" s="357">
        <v>0</v>
      </c>
      <c r="BH222" s="357">
        <v>2008928</v>
      </c>
      <c r="BI222" s="357">
        <v>69152</v>
      </c>
      <c r="BJ222" s="357">
        <v>0</v>
      </c>
      <c r="BK222" s="357">
        <v>0</v>
      </c>
      <c r="BL222" s="357">
        <v>69152</v>
      </c>
      <c r="BM222" s="357">
        <v>25660.49</v>
      </c>
      <c r="BN222" s="357">
        <v>0</v>
      </c>
      <c r="BO222" s="357">
        <v>0</v>
      </c>
      <c r="BP222" s="357">
        <v>25660.49</v>
      </c>
      <c r="BQ222" s="357">
        <v>4445916.93</v>
      </c>
      <c r="BR222" s="357">
        <v>0</v>
      </c>
      <c r="BS222" s="357">
        <v>0</v>
      </c>
      <c r="BT222" s="357">
        <v>108000</v>
      </c>
      <c r="BU222" s="357">
        <v>0</v>
      </c>
      <c r="BV222" s="357">
        <v>0</v>
      </c>
      <c r="BW222" s="357">
        <v>4553916.93</v>
      </c>
      <c r="BX222" s="357">
        <v>0</v>
      </c>
      <c r="BY222" s="357">
        <v>0</v>
      </c>
      <c r="BZ222" s="357">
        <v>4553916.93</v>
      </c>
      <c r="CA222" s="357">
        <v>1406.91</v>
      </c>
      <c r="CB222" s="357">
        <v>0</v>
      </c>
      <c r="CC222" s="357">
        <v>0</v>
      </c>
      <c r="CD222" s="357">
        <v>1406.91</v>
      </c>
      <c r="CE222" s="357">
        <v>381113</v>
      </c>
      <c r="CF222" s="357">
        <v>0</v>
      </c>
      <c r="CG222" s="357">
        <v>0</v>
      </c>
      <c r="CH222" s="357">
        <v>381113</v>
      </c>
      <c r="CI222" s="357">
        <v>382519.91</v>
      </c>
      <c r="CJ222" s="357">
        <v>0</v>
      </c>
      <c r="CK222" s="357">
        <v>0</v>
      </c>
      <c r="CL222" s="357">
        <v>0</v>
      </c>
      <c r="CM222" s="357">
        <v>0</v>
      </c>
      <c r="CN222" s="357">
        <v>0</v>
      </c>
      <c r="CO222" s="357">
        <v>382519.91</v>
      </c>
      <c r="CP222" s="357">
        <v>0</v>
      </c>
      <c r="CQ222" s="357">
        <v>0</v>
      </c>
      <c r="CR222" s="357">
        <v>382519.91</v>
      </c>
      <c r="CS222" s="357">
        <v>31563.23</v>
      </c>
      <c r="CT222" s="357">
        <v>0</v>
      </c>
      <c r="CU222" s="357">
        <v>0</v>
      </c>
      <c r="CV222" s="357">
        <v>31563.23</v>
      </c>
      <c r="CW222" s="357">
        <v>0</v>
      </c>
      <c r="CX222" s="357">
        <v>0</v>
      </c>
      <c r="CY222" s="357">
        <v>0</v>
      </c>
      <c r="CZ222" s="357">
        <v>0</v>
      </c>
      <c r="DA222" s="357">
        <v>6146.52</v>
      </c>
      <c r="DB222" s="357">
        <v>0</v>
      </c>
      <c r="DC222" s="357">
        <v>0</v>
      </c>
      <c r="DD222" s="357">
        <v>6146.52</v>
      </c>
      <c r="DE222" s="357">
        <v>12375.83</v>
      </c>
      <c r="DF222" s="357">
        <v>0</v>
      </c>
      <c r="DG222" s="357">
        <v>0</v>
      </c>
      <c r="DH222" s="357">
        <v>12375.83</v>
      </c>
      <c r="DI222" s="357">
        <v>0</v>
      </c>
      <c r="DJ222" s="357">
        <v>0</v>
      </c>
      <c r="DK222" s="357">
        <v>0</v>
      </c>
      <c r="DL222" s="357">
        <v>0</v>
      </c>
      <c r="DM222" s="357">
        <v>0</v>
      </c>
      <c r="DN222" s="357">
        <v>0</v>
      </c>
      <c r="DO222" s="357">
        <v>0</v>
      </c>
      <c r="DP222" s="357">
        <v>0</v>
      </c>
      <c r="DQ222" s="357">
        <v>50085.58</v>
      </c>
      <c r="DR222" s="357">
        <v>0</v>
      </c>
      <c r="DS222" s="357">
        <v>0</v>
      </c>
      <c r="DT222" s="357">
        <v>0</v>
      </c>
      <c r="DU222" s="357">
        <v>0</v>
      </c>
      <c r="DV222" s="357">
        <v>0</v>
      </c>
      <c r="DW222" s="357">
        <v>50085.58</v>
      </c>
      <c r="DX222" s="357">
        <v>0</v>
      </c>
      <c r="DY222" s="357">
        <v>0</v>
      </c>
      <c r="DZ222" s="357">
        <v>50085.58</v>
      </c>
      <c r="EA222" s="357">
        <v>0</v>
      </c>
      <c r="EB222" s="357">
        <v>0</v>
      </c>
      <c r="EC222" s="357">
        <v>0</v>
      </c>
      <c r="ED222" s="357">
        <v>0</v>
      </c>
      <c r="EE222" s="357">
        <v>0</v>
      </c>
      <c r="EF222" s="357">
        <v>0</v>
      </c>
      <c r="EG222" s="357">
        <v>16000</v>
      </c>
      <c r="EH222" s="357">
        <v>0</v>
      </c>
      <c r="EI222" s="357">
        <v>0</v>
      </c>
      <c r="EJ222" s="357">
        <v>16000</v>
      </c>
      <c r="EK222" s="357">
        <v>746077.4</v>
      </c>
      <c r="EL222" s="357">
        <v>0</v>
      </c>
      <c r="EM222" s="357">
        <v>0</v>
      </c>
      <c r="EN222" s="357">
        <v>746077.4</v>
      </c>
      <c r="EO222" s="357">
        <v>762077.4</v>
      </c>
      <c r="EP222" s="357">
        <v>0</v>
      </c>
      <c r="EQ222" s="357">
        <v>0</v>
      </c>
      <c r="ER222" s="357">
        <v>0</v>
      </c>
      <c r="ES222" s="357">
        <v>0</v>
      </c>
      <c r="ET222" s="357">
        <v>0</v>
      </c>
      <c r="EU222" s="357">
        <v>762077.4</v>
      </c>
      <c r="EV222" s="357">
        <v>0</v>
      </c>
      <c r="EW222" s="357">
        <v>0</v>
      </c>
      <c r="EX222" s="357">
        <v>762077.4</v>
      </c>
      <c r="EY222" s="357">
        <v>16319973.7</v>
      </c>
      <c r="EZ222" s="357">
        <v>0</v>
      </c>
      <c r="FA222" s="357">
        <v>0</v>
      </c>
      <c r="FB222" s="357">
        <v>16319973.7</v>
      </c>
      <c r="FC222" s="277">
        <v>0</v>
      </c>
      <c r="FD222" s="205"/>
    </row>
    <row r="223" spans="1:160" ht="12.75">
      <c r="A223" s="169">
        <v>216</v>
      </c>
      <c r="B223" s="172" t="s">
        <v>361</v>
      </c>
      <c r="C223" s="258" t="s">
        <v>362</v>
      </c>
      <c r="D223" s="235">
        <v>41639</v>
      </c>
      <c r="E223" s="357">
        <v>182966617</v>
      </c>
      <c r="F223" s="357">
        <v>0</v>
      </c>
      <c r="G223" s="357">
        <v>981825</v>
      </c>
      <c r="H223" s="357">
        <v>183948442</v>
      </c>
      <c r="I223" s="357">
        <v>86177277</v>
      </c>
      <c r="J223" s="357">
        <v>0</v>
      </c>
      <c r="K223" s="357">
        <v>462440</v>
      </c>
      <c r="L223" s="357">
        <v>0</v>
      </c>
      <c r="M223" s="357">
        <v>0</v>
      </c>
      <c r="N223" s="357">
        <v>0</v>
      </c>
      <c r="O223" s="357">
        <v>86177277</v>
      </c>
      <c r="P223" s="357">
        <v>0</v>
      </c>
      <c r="Q223" s="357">
        <v>462440</v>
      </c>
      <c r="R223" s="357">
        <v>86639717</v>
      </c>
      <c r="S223" s="357">
        <v>109574.19</v>
      </c>
      <c r="T223" s="357">
        <v>0</v>
      </c>
      <c r="U223" s="357">
        <v>0</v>
      </c>
      <c r="V223" s="357">
        <v>109574.19</v>
      </c>
      <c r="W223" s="357">
        <v>53861.78</v>
      </c>
      <c r="X223" s="357">
        <v>0</v>
      </c>
      <c r="Y223" s="357">
        <v>0</v>
      </c>
      <c r="Z223" s="357">
        <v>53861.78</v>
      </c>
      <c r="AA223" s="357">
        <v>55712.41</v>
      </c>
      <c r="AB223" s="357">
        <v>0</v>
      </c>
      <c r="AC223" s="357">
        <v>0</v>
      </c>
      <c r="AD223" s="357">
        <v>0</v>
      </c>
      <c r="AE223" s="357">
        <v>0</v>
      </c>
      <c r="AF223" s="357">
        <v>0</v>
      </c>
      <c r="AG223" s="357">
        <v>55712.41</v>
      </c>
      <c r="AH223" s="357">
        <v>0</v>
      </c>
      <c r="AI223" s="357">
        <v>0</v>
      </c>
      <c r="AJ223" s="357">
        <v>55712.41</v>
      </c>
      <c r="AK223" s="357">
        <v>55712.41</v>
      </c>
      <c r="AL223" s="357">
        <v>0</v>
      </c>
      <c r="AM223" s="357">
        <v>0</v>
      </c>
      <c r="AN223" s="357">
        <v>55712.41</v>
      </c>
      <c r="AO223" s="357">
        <v>4731354.68</v>
      </c>
      <c r="AP223" s="357">
        <v>0</v>
      </c>
      <c r="AQ223" s="357">
        <v>0</v>
      </c>
      <c r="AR223" s="357">
        <v>4731354.68</v>
      </c>
      <c r="AS223" s="357">
        <v>0</v>
      </c>
      <c r="AT223" s="357">
        <v>0</v>
      </c>
      <c r="AU223" s="357">
        <v>0</v>
      </c>
      <c r="AV223" s="357">
        <v>0</v>
      </c>
      <c r="AW223" s="357">
        <v>1442052.39</v>
      </c>
      <c r="AX223" s="357">
        <v>0</v>
      </c>
      <c r="AY223" s="357">
        <v>0</v>
      </c>
      <c r="AZ223" s="357">
        <v>1442052.39</v>
      </c>
      <c r="BA223" s="357">
        <v>3289302.29</v>
      </c>
      <c r="BB223" s="357">
        <v>0</v>
      </c>
      <c r="BC223" s="357">
        <v>0</v>
      </c>
      <c r="BD223" s="357">
        <v>3289302.29</v>
      </c>
      <c r="BE223" s="357">
        <v>3103637.84</v>
      </c>
      <c r="BF223" s="357">
        <v>0</v>
      </c>
      <c r="BG223" s="357">
        <v>0</v>
      </c>
      <c r="BH223" s="357">
        <v>3103637.84</v>
      </c>
      <c r="BI223" s="357">
        <v>13944.93</v>
      </c>
      <c r="BJ223" s="357">
        <v>0</v>
      </c>
      <c r="BK223" s="357">
        <v>0</v>
      </c>
      <c r="BL223" s="357">
        <v>13944.93</v>
      </c>
      <c r="BM223" s="357">
        <v>15949.44</v>
      </c>
      <c r="BN223" s="357">
        <v>0</v>
      </c>
      <c r="BO223" s="357">
        <v>0</v>
      </c>
      <c r="BP223" s="357">
        <v>15949.44</v>
      </c>
      <c r="BQ223" s="357">
        <v>6422834.51</v>
      </c>
      <c r="BR223" s="357">
        <v>0</v>
      </c>
      <c r="BS223" s="357">
        <v>0</v>
      </c>
      <c r="BT223" s="357">
        <v>250000</v>
      </c>
      <c r="BU223" s="357">
        <v>0</v>
      </c>
      <c r="BV223" s="357">
        <v>0</v>
      </c>
      <c r="BW223" s="357">
        <v>6672834.51</v>
      </c>
      <c r="BX223" s="357">
        <v>0</v>
      </c>
      <c r="BY223" s="357">
        <v>0</v>
      </c>
      <c r="BZ223" s="357">
        <v>6672834.51</v>
      </c>
      <c r="CA223" s="357">
        <v>62238.35</v>
      </c>
      <c r="CB223" s="357">
        <v>0</v>
      </c>
      <c r="CC223" s="357">
        <v>0</v>
      </c>
      <c r="CD223" s="357">
        <v>62238.35</v>
      </c>
      <c r="CE223" s="357">
        <v>2632172.25</v>
      </c>
      <c r="CF223" s="357">
        <v>0</v>
      </c>
      <c r="CG223" s="357">
        <v>0</v>
      </c>
      <c r="CH223" s="357">
        <v>2632172.25</v>
      </c>
      <c r="CI223" s="357">
        <v>2694410.6</v>
      </c>
      <c r="CJ223" s="357">
        <v>0</v>
      </c>
      <c r="CK223" s="357">
        <v>0</v>
      </c>
      <c r="CL223" s="357">
        <v>0</v>
      </c>
      <c r="CM223" s="357">
        <v>0</v>
      </c>
      <c r="CN223" s="357">
        <v>0</v>
      </c>
      <c r="CO223" s="357">
        <v>2694410.6</v>
      </c>
      <c r="CP223" s="357">
        <v>0</v>
      </c>
      <c r="CQ223" s="357">
        <v>0</v>
      </c>
      <c r="CR223" s="357">
        <v>2694410.6</v>
      </c>
      <c r="CS223" s="357">
        <v>95723.05</v>
      </c>
      <c r="CT223" s="357">
        <v>0</v>
      </c>
      <c r="CU223" s="357">
        <v>0</v>
      </c>
      <c r="CV223" s="357">
        <v>95723.05</v>
      </c>
      <c r="CW223" s="357">
        <v>560776.52</v>
      </c>
      <c r="CX223" s="357">
        <v>0</v>
      </c>
      <c r="CY223" s="357">
        <v>0</v>
      </c>
      <c r="CZ223" s="357">
        <v>560776.52</v>
      </c>
      <c r="DA223" s="357">
        <v>3486.25</v>
      </c>
      <c r="DB223" s="357">
        <v>0</v>
      </c>
      <c r="DC223" s="357">
        <v>0</v>
      </c>
      <c r="DD223" s="357">
        <v>3486.25</v>
      </c>
      <c r="DE223" s="357">
        <v>0</v>
      </c>
      <c r="DF223" s="357">
        <v>0</v>
      </c>
      <c r="DG223" s="357">
        <v>0</v>
      </c>
      <c r="DH223" s="357">
        <v>0</v>
      </c>
      <c r="DI223" s="357">
        <v>0</v>
      </c>
      <c r="DJ223" s="357">
        <v>0</v>
      </c>
      <c r="DK223" s="357">
        <v>0</v>
      </c>
      <c r="DL223" s="357">
        <v>0</v>
      </c>
      <c r="DM223" s="357">
        <v>0</v>
      </c>
      <c r="DN223" s="357">
        <v>0</v>
      </c>
      <c r="DO223" s="357">
        <v>462440</v>
      </c>
      <c r="DP223" s="357">
        <v>462440</v>
      </c>
      <c r="DQ223" s="357">
        <v>659985.82</v>
      </c>
      <c r="DR223" s="357">
        <v>0</v>
      </c>
      <c r="DS223" s="357">
        <v>462440</v>
      </c>
      <c r="DT223" s="357">
        <v>0</v>
      </c>
      <c r="DU223" s="357">
        <v>0</v>
      </c>
      <c r="DV223" s="357">
        <v>0</v>
      </c>
      <c r="DW223" s="357">
        <v>659985.82</v>
      </c>
      <c r="DX223" s="357">
        <v>0</v>
      </c>
      <c r="DY223" s="357">
        <v>462440</v>
      </c>
      <c r="DZ223" s="357">
        <v>1122425.82</v>
      </c>
      <c r="EA223" s="357">
        <v>462440</v>
      </c>
      <c r="EB223" s="357">
        <v>0</v>
      </c>
      <c r="EC223" s="357">
        <v>0</v>
      </c>
      <c r="ED223" s="357">
        <v>0</v>
      </c>
      <c r="EE223" s="357">
        <v>0</v>
      </c>
      <c r="EF223" s="357">
        <v>0</v>
      </c>
      <c r="EG223" s="357">
        <v>0</v>
      </c>
      <c r="EH223" s="357">
        <v>0</v>
      </c>
      <c r="EI223" s="357">
        <v>0</v>
      </c>
      <c r="EJ223" s="357">
        <v>0</v>
      </c>
      <c r="EK223" s="357">
        <v>800000</v>
      </c>
      <c r="EL223" s="357">
        <v>0</v>
      </c>
      <c r="EM223" s="357">
        <v>0</v>
      </c>
      <c r="EN223" s="357">
        <v>800000</v>
      </c>
      <c r="EO223" s="357">
        <v>800000</v>
      </c>
      <c r="EP223" s="357">
        <v>0</v>
      </c>
      <c r="EQ223" s="357">
        <v>0</v>
      </c>
      <c r="ER223" s="357">
        <v>0</v>
      </c>
      <c r="ES223" s="357">
        <v>0</v>
      </c>
      <c r="ET223" s="357">
        <v>0</v>
      </c>
      <c r="EU223" s="357">
        <v>800000</v>
      </c>
      <c r="EV223" s="357">
        <v>0</v>
      </c>
      <c r="EW223" s="357">
        <v>0</v>
      </c>
      <c r="EX223" s="357">
        <v>800000</v>
      </c>
      <c r="EY223" s="357">
        <v>75294333.7</v>
      </c>
      <c r="EZ223" s="357">
        <v>0</v>
      </c>
      <c r="FA223" s="357">
        <v>0</v>
      </c>
      <c r="FB223" s="357">
        <v>75294333.7</v>
      </c>
      <c r="FC223" s="277">
        <v>0</v>
      </c>
      <c r="FD223" s="205"/>
    </row>
    <row r="224" spans="1:160" ht="12.75">
      <c r="A224" s="169">
        <v>217</v>
      </c>
      <c r="B224" s="172" t="s">
        <v>363</v>
      </c>
      <c r="C224" s="258" t="s">
        <v>364</v>
      </c>
      <c r="D224" s="235">
        <v>41639</v>
      </c>
      <c r="E224" s="357">
        <v>102270990</v>
      </c>
      <c r="F224" s="357">
        <v>0</v>
      </c>
      <c r="G224" s="357">
        <v>0</v>
      </c>
      <c r="H224" s="357">
        <v>102270990</v>
      </c>
      <c r="I224" s="357">
        <v>48169636</v>
      </c>
      <c r="J224" s="357">
        <v>0</v>
      </c>
      <c r="K224" s="357">
        <v>0</v>
      </c>
      <c r="L224" s="357">
        <v>-734592</v>
      </c>
      <c r="M224" s="357">
        <v>0</v>
      </c>
      <c r="N224" s="357">
        <v>0</v>
      </c>
      <c r="O224" s="357">
        <v>47435044</v>
      </c>
      <c r="P224" s="357">
        <v>0</v>
      </c>
      <c r="Q224" s="357">
        <v>0</v>
      </c>
      <c r="R224" s="357">
        <v>47435044</v>
      </c>
      <c r="S224" s="357">
        <v>31739</v>
      </c>
      <c r="T224" s="357">
        <v>0</v>
      </c>
      <c r="U224" s="357">
        <v>0</v>
      </c>
      <c r="V224" s="357">
        <v>31739</v>
      </c>
      <c r="W224" s="357">
        <v>2629</v>
      </c>
      <c r="X224" s="357">
        <v>0</v>
      </c>
      <c r="Y224" s="357">
        <v>0</v>
      </c>
      <c r="Z224" s="357">
        <v>2629</v>
      </c>
      <c r="AA224" s="357">
        <v>29110</v>
      </c>
      <c r="AB224" s="357">
        <v>0</v>
      </c>
      <c r="AC224" s="357">
        <v>0</v>
      </c>
      <c r="AD224" s="357">
        <v>0</v>
      </c>
      <c r="AE224" s="357">
        <v>0</v>
      </c>
      <c r="AF224" s="357">
        <v>0</v>
      </c>
      <c r="AG224" s="357">
        <v>29110</v>
      </c>
      <c r="AH224" s="357">
        <v>0</v>
      </c>
      <c r="AI224" s="357">
        <v>0</v>
      </c>
      <c r="AJ224" s="357">
        <v>29110</v>
      </c>
      <c r="AK224" s="357">
        <v>29110</v>
      </c>
      <c r="AL224" s="357">
        <v>0</v>
      </c>
      <c r="AM224" s="357">
        <v>0</v>
      </c>
      <c r="AN224" s="357">
        <v>29110</v>
      </c>
      <c r="AO224" s="357">
        <v>1714792</v>
      </c>
      <c r="AP224" s="357">
        <v>0</v>
      </c>
      <c r="AQ224" s="357">
        <v>0</v>
      </c>
      <c r="AR224" s="357">
        <v>1714792</v>
      </c>
      <c r="AS224" s="357">
        <v>0</v>
      </c>
      <c r="AT224" s="357">
        <v>0</v>
      </c>
      <c r="AU224" s="357">
        <v>0</v>
      </c>
      <c r="AV224" s="357">
        <v>0</v>
      </c>
      <c r="AW224" s="357">
        <v>1004919</v>
      </c>
      <c r="AX224" s="357">
        <v>0</v>
      </c>
      <c r="AY224" s="357">
        <v>0</v>
      </c>
      <c r="AZ224" s="357">
        <v>1004919</v>
      </c>
      <c r="BA224" s="357">
        <v>709873</v>
      </c>
      <c r="BB224" s="357">
        <v>0</v>
      </c>
      <c r="BC224" s="357">
        <v>0</v>
      </c>
      <c r="BD224" s="357">
        <v>709873</v>
      </c>
      <c r="BE224" s="357">
        <v>2326065</v>
      </c>
      <c r="BF224" s="357">
        <v>0</v>
      </c>
      <c r="BG224" s="357">
        <v>0</v>
      </c>
      <c r="BH224" s="357">
        <v>2326065</v>
      </c>
      <c r="BI224" s="357">
        <v>73785</v>
      </c>
      <c r="BJ224" s="357">
        <v>0</v>
      </c>
      <c r="BK224" s="357">
        <v>0</v>
      </c>
      <c r="BL224" s="357">
        <v>73785</v>
      </c>
      <c r="BM224" s="357">
        <v>10499</v>
      </c>
      <c r="BN224" s="357">
        <v>0</v>
      </c>
      <c r="BO224" s="357">
        <v>0</v>
      </c>
      <c r="BP224" s="357">
        <v>10499</v>
      </c>
      <c r="BQ224" s="357">
        <v>3120222</v>
      </c>
      <c r="BR224" s="357">
        <v>0</v>
      </c>
      <c r="BS224" s="357">
        <v>0</v>
      </c>
      <c r="BT224" s="357">
        <v>0</v>
      </c>
      <c r="BU224" s="357">
        <v>0</v>
      </c>
      <c r="BV224" s="357">
        <v>0</v>
      </c>
      <c r="BW224" s="357">
        <v>3120222</v>
      </c>
      <c r="BX224" s="357">
        <v>0</v>
      </c>
      <c r="BY224" s="357">
        <v>0</v>
      </c>
      <c r="BZ224" s="357">
        <v>3120222</v>
      </c>
      <c r="CA224" s="357">
        <v>100000</v>
      </c>
      <c r="CB224" s="357">
        <v>0</v>
      </c>
      <c r="CC224" s="357">
        <v>0</v>
      </c>
      <c r="CD224" s="357">
        <v>100000</v>
      </c>
      <c r="CE224" s="357">
        <v>2274988</v>
      </c>
      <c r="CF224" s="357">
        <v>0</v>
      </c>
      <c r="CG224" s="357">
        <v>0</v>
      </c>
      <c r="CH224" s="357">
        <v>2274988</v>
      </c>
      <c r="CI224" s="357">
        <v>2374988</v>
      </c>
      <c r="CJ224" s="357">
        <v>0</v>
      </c>
      <c r="CK224" s="357">
        <v>0</v>
      </c>
      <c r="CL224" s="357">
        <v>0</v>
      </c>
      <c r="CM224" s="357">
        <v>0</v>
      </c>
      <c r="CN224" s="357">
        <v>0</v>
      </c>
      <c r="CO224" s="357">
        <v>2374988</v>
      </c>
      <c r="CP224" s="357">
        <v>0</v>
      </c>
      <c r="CQ224" s="357">
        <v>0</v>
      </c>
      <c r="CR224" s="357">
        <v>2374988</v>
      </c>
      <c r="CS224" s="357">
        <v>49647</v>
      </c>
      <c r="CT224" s="357">
        <v>0</v>
      </c>
      <c r="CU224" s="357">
        <v>0</v>
      </c>
      <c r="CV224" s="357">
        <v>49647</v>
      </c>
      <c r="CW224" s="357">
        <v>10604</v>
      </c>
      <c r="CX224" s="357">
        <v>0</v>
      </c>
      <c r="CY224" s="357">
        <v>0</v>
      </c>
      <c r="CZ224" s="357">
        <v>10604</v>
      </c>
      <c r="DA224" s="357">
        <v>0</v>
      </c>
      <c r="DB224" s="357">
        <v>0</v>
      </c>
      <c r="DC224" s="357">
        <v>0</v>
      </c>
      <c r="DD224" s="357">
        <v>0</v>
      </c>
      <c r="DE224" s="357">
        <v>865</v>
      </c>
      <c r="DF224" s="357">
        <v>0</v>
      </c>
      <c r="DG224" s="357">
        <v>0</v>
      </c>
      <c r="DH224" s="357">
        <v>865</v>
      </c>
      <c r="DI224" s="357">
        <v>0</v>
      </c>
      <c r="DJ224" s="357">
        <v>0</v>
      </c>
      <c r="DK224" s="357">
        <v>0</v>
      </c>
      <c r="DL224" s="357">
        <v>0</v>
      </c>
      <c r="DM224" s="357">
        <v>0</v>
      </c>
      <c r="DN224" s="357">
        <v>0</v>
      </c>
      <c r="DO224" s="357">
        <v>0</v>
      </c>
      <c r="DP224" s="357">
        <v>0</v>
      </c>
      <c r="DQ224" s="357">
        <v>61116</v>
      </c>
      <c r="DR224" s="357">
        <v>0</v>
      </c>
      <c r="DS224" s="357">
        <v>0</v>
      </c>
      <c r="DT224" s="357">
        <v>0</v>
      </c>
      <c r="DU224" s="357">
        <v>0</v>
      </c>
      <c r="DV224" s="357">
        <v>0</v>
      </c>
      <c r="DW224" s="357">
        <v>61116</v>
      </c>
      <c r="DX224" s="357">
        <v>0</v>
      </c>
      <c r="DY224" s="357">
        <v>0</v>
      </c>
      <c r="DZ224" s="357">
        <v>61116</v>
      </c>
      <c r="EA224" s="357">
        <v>0</v>
      </c>
      <c r="EB224" s="357">
        <v>0</v>
      </c>
      <c r="EC224" s="357">
        <v>0</v>
      </c>
      <c r="ED224" s="357">
        <v>0</v>
      </c>
      <c r="EE224" s="357">
        <v>0</v>
      </c>
      <c r="EF224" s="357">
        <v>0</v>
      </c>
      <c r="EG224" s="357">
        <v>0</v>
      </c>
      <c r="EH224" s="357">
        <v>0</v>
      </c>
      <c r="EI224" s="357">
        <v>0</v>
      </c>
      <c r="EJ224" s="357">
        <v>0</v>
      </c>
      <c r="EK224" s="357">
        <v>403385</v>
      </c>
      <c r="EL224" s="357">
        <v>0</v>
      </c>
      <c r="EM224" s="357">
        <v>0</v>
      </c>
      <c r="EN224" s="357">
        <v>403385</v>
      </c>
      <c r="EO224" s="357">
        <v>403385</v>
      </c>
      <c r="EP224" s="357">
        <v>0</v>
      </c>
      <c r="EQ224" s="357">
        <v>0</v>
      </c>
      <c r="ER224" s="357">
        <v>0</v>
      </c>
      <c r="ES224" s="357">
        <v>0</v>
      </c>
      <c r="ET224" s="357">
        <v>0</v>
      </c>
      <c r="EU224" s="357">
        <v>403385</v>
      </c>
      <c r="EV224" s="357">
        <v>0</v>
      </c>
      <c r="EW224" s="357">
        <v>0</v>
      </c>
      <c r="EX224" s="357">
        <v>403385</v>
      </c>
      <c r="EY224" s="357">
        <v>41446223</v>
      </c>
      <c r="EZ224" s="357">
        <v>0</v>
      </c>
      <c r="FA224" s="357">
        <v>0</v>
      </c>
      <c r="FB224" s="357">
        <v>41446223</v>
      </c>
      <c r="FC224" s="277">
        <v>0</v>
      </c>
      <c r="FD224" s="205"/>
    </row>
    <row r="225" spans="1:160" ht="12.75">
      <c r="A225" s="169">
        <v>218</v>
      </c>
      <c r="B225" s="172" t="s">
        <v>365</v>
      </c>
      <c r="C225" s="258" t="s">
        <v>366</v>
      </c>
      <c r="D225" s="235">
        <v>41542</v>
      </c>
      <c r="E225" s="357">
        <v>104918845</v>
      </c>
      <c r="F225" s="357">
        <v>0</v>
      </c>
      <c r="G225" s="357">
        <v>0</v>
      </c>
      <c r="H225" s="357">
        <v>104918845</v>
      </c>
      <c r="I225" s="357">
        <v>49416776</v>
      </c>
      <c r="J225" s="357">
        <v>0</v>
      </c>
      <c r="K225" s="357">
        <v>0</v>
      </c>
      <c r="L225" s="357">
        <v>-210731.65</v>
      </c>
      <c r="M225" s="357">
        <v>0</v>
      </c>
      <c r="N225" s="357">
        <v>0</v>
      </c>
      <c r="O225" s="357">
        <v>49206044.4</v>
      </c>
      <c r="P225" s="357">
        <v>0</v>
      </c>
      <c r="Q225" s="357">
        <v>0</v>
      </c>
      <c r="R225" s="357">
        <v>49206044.4</v>
      </c>
      <c r="S225" s="357">
        <v>4756.32</v>
      </c>
      <c r="T225" s="357">
        <v>0</v>
      </c>
      <c r="U225" s="357">
        <v>0</v>
      </c>
      <c r="V225" s="357">
        <v>4756.32</v>
      </c>
      <c r="W225" s="357">
        <v>6828.9</v>
      </c>
      <c r="X225" s="357">
        <v>0</v>
      </c>
      <c r="Y225" s="357">
        <v>0</v>
      </c>
      <c r="Z225" s="357">
        <v>6828.9</v>
      </c>
      <c r="AA225" s="357">
        <v>-2072.58</v>
      </c>
      <c r="AB225" s="357">
        <v>0</v>
      </c>
      <c r="AC225" s="357">
        <v>0</v>
      </c>
      <c r="AD225" s="357">
        <v>0</v>
      </c>
      <c r="AE225" s="357">
        <v>0</v>
      </c>
      <c r="AF225" s="357">
        <v>0</v>
      </c>
      <c r="AG225" s="357">
        <v>-2072.58</v>
      </c>
      <c r="AH225" s="357">
        <v>0</v>
      </c>
      <c r="AI225" s="357">
        <v>0</v>
      </c>
      <c r="AJ225" s="357">
        <v>-2072.58</v>
      </c>
      <c r="AK225" s="357">
        <v>-2072.58</v>
      </c>
      <c r="AL225" s="357">
        <v>0</v>
      </c>
      <c r="AM225" s="357">
        <v>0</v>
      </c>
      <c r="AN225" s="357">
        <v>-2072.58</v>
      </c>
      <c r="AO225" s="357">
        <v>1208888.06</v>
      </c>
      <c r="AP225" s="357">
        <v>0</v>
      </c>
      <c r="AQ225" s="357">
        <v>0</v>
      </c>
      <c r="AR225" s="357">
        <v>1208888.06</v>
      </c>
      <c r="AS225" s="357">
        <v>0</v>
      </c>
      <c r="AT225" s="357">
        <v>0</v>
      </c>
      <c r="AU225" s="357">
        <v>0</v>
      </c>
      <c r="AV225" s="357">
        <v>0</v>
      </c>
      <c r="AW225" s="357">
        <v>1063996.51</v>
      </c>
      <c r="AX225" s="357">
        <v>0</v>
      </c>
      <c r="AY225" s="357">
        <v>0</v>
      </c>
      <c r="AZ225" s="357">
        <v>1063996.51</v>
      </c>
      <c r="BA225" s="357">
        <v>144891.55</v>
      </c>
      <c r="BB225" s="357">
        <v>0</v>
      </c>
      <c r="BC225" s="357">
        <v>0</v>
      </c>
      <c r="BD225" s="357">
        <v>144891.55</v>
      </c>
      <c r="BE225" s="357">
        <v>2997383.65</v>
      </c>
      <c r="BF225" s="357">
        <v>0</v>
      </c>
      <c r="BG225" s="357">
        <v>0</v>
      </c>
      <c r="BH225" s="357">
        <v>2997383.65</v>
      </c>
      <c r="BI225" s="357">
        <v>36653.8</v>
      </c>
      <c r="BJ225" s="357">
        <v>0</v>
      </c>
      <c r="BK225" s="357">
        <v>0</v>
      </c>
      <c r="BL225" s="357">
        <v>36653.8</v>
      </c>
      <c r="BM225" s="357">
        <v>1648.5</v>
      </c>
      <c r="BN225" s="357">
        <v>0</v>
      </c>
      <c r="BO225" s="357">
        <v>0</v>
      </c>
      <c r="BP225" s="357">
        <v>1648.5</v>
      </c>
      <c r="BQ225" s="357">
        <v>3180577.5</v>
      </c>
      <c r="BR225" s="357">
        <v>0</v>
      </c>
      <c r="BS225" s="357">
        <v>0</v>
      </c>
      <c r="BT225" s="357">
        <v>0</v>
      </c>
      <c r="BU225" s="357">
        <v>0</v>
      </c>
      <c r="BV225" s="357">
        <v>0</v>
      </c>
      <c r="BW225" s="357">
        <v>3180577.5</v>
      </c>
      <c r="BX225" s="357">
        <v>0</v>
      </c>
      <c r="BY225" s="357">
        <v>0</v>
      </c>
      <c r="BZ225" s="357">
        <v>3180577.5</v>
      </c>
      <c r="CA225" s="357">
        <v>45990.87</v>
      </c>
      <c r="CB225" s="357">
        <v>0</v>
      </c>
      <c r="CC225" s="357">
        <v>0</v>
      </c>
      <c r="CD225" s="357">
        <v>45990.87</v>
      </c>
      <c r="CE225" s="357">
        <v>766250.31</v>
      </c>
      <c r="CF225" s="357">
        <v>0</v>
      </c>
      <c r="CG225" s="357">
        <v>0</v>
      </c>
      <c r="CH225" s="357">
        <v>766250.31</v>
      </c>
      <c r="CI225" s="357">
        <v>812241.18</v>
      </c>
      <c r="CJ225" s="357">
        <v>0</v>
      </c>
      <c r="CK225" s="357">
        <v>0</v>
      </c>
      <c r="CL225" s="357">
        <v>0</v>
      </c>
      <c r="CM225" s="357">
        <v>0</v>
      </c>
      <c r="CN225" s="357">
        <v>0</v>
      </c>
      <c r="CO225" s="357">
        <v>812241.18</v>
      </c>
      <c r="CP225" s="357">
        <v>0</v>
      </c>
      <c r="CQ225" s="357">
        <v>0</v>
      </c>
      <c r="CR225" s="357">
        <v>812241.18</v>
      </c>
      <c r="CS225" s="357">
        <v>18405.17</v>
      </c>
      <c r="CT225" s="357">
        <v>0</v>
      </c>
      <c r="CU225" s="357">
        <v>0</v>
      </c>
      <c r="CV225" s="357">
        <v>18405.17</v>
      </c>
      <c r="CW225" s="357">
        <v>687.1</v>
      </c>
      <c r="CX225" s="357">
        <v>0</v>
      </c>
      <c r="CY225" s="357">
        <v>0</v>
      </c>
      <c r="CZ225" s="357">
        <v>687.1</v>
      </c>
      <c r="DA225" s="357">
        <v>0</v>
      </c>
      <c r="DB225" s="357">
        <v>0</v>
      </c>
      <c r="DC225" s="357">
        <v>0</v>
      </c>
      <c r="DD225" s="357">
        <v>0</v>
      </c>
      <c r="DE225" s="357">
        <v>2482.36</v>
      </c>
      <c r="DF225" s="357">
        <v>0</v>
      </c>
      <c r="DG225" s="357">
        <v>0</v>
      </c>
      <c r="DH225" s="357">
        <v>2482.36</v>
      </c>
      <c r="DI225" s="357">
        <v>0</v>
      </c>
      <c r="DJ225" s="357">
        <v>0</v>
      </c>
      <c r="DK225" s="357">
        <v>0</v>
      </c>
      <c r="DL225" s="357">
        <v>0</v>
      </c>
      <c r="DM225" s="357">
        <v>0</v>
      </c>
      <c r="DN225" s="357">
        <v>0</v>
      </c>
      <c r="DO225" s="357">
        <v>0</v>
      </c>
      <c r="DP225" s="357">
        <v>0</v>
      </c>
      <c r="DQ225" s="357">
        <v>21574.63</v>
      </c>
      <c r="DR225" s="357">
        <v>0</v>
      </c>
      <c r="DS225" s="357">
        <v>0</v>
      </c>
      <c r="DT225" s="357">
        <v>0</v>
      </c>
      <c r="DU225" s="357">
        <v>0</v>
      </c>
      <c r="DV225" s="357">
        <v>0</v>
      </c>
      <c r="DW225" s="357">
        <v>21574.63</v>
      </c>
      <c r="DX225" s="357">
        <v>0</v>
      </c>
      <c r="DY225" s="357">
        <v>0</v>
      </c>
      <c r="DZ225" s="357">
        <v>21574.63</v>
      </c>
      <c r="EA225" s="357">
        <v>0</v>
      </c>
      <c r="EB225" s="357">
        <v>0</v>
      </c>
      <c r="EC225" s="357">
        <v>0</v>
      </c>
      <c r="ED225" s="357">
        <v>0</v>
      </c>
      <c r="EE225" s="357">
        <v>0</v>
      </c>
      <c r="EF225" s="357">
        <v>0</v>
      </c>
      <c r="EG225" s="357">
        <v>40000</v>
      </c>
      <c r="EH225" s="357">
        <v>0</v>
      </c>
      <c r="EI225" s="357">
        <v>0</v>
      </c>
      <c r="EJ225" s="357">
        <v>40000</v>
      </c>
      <c r="EK225" s="357">
        <v>552000</v>
      </c>
      <c r="EL225" s="357">
        <v>0</v>
      </c>
      <c r="EM225" s="357">
        <v>0</v>
      </c>
      <c r="EN225" s="357">
        <v>552000</v>
      </c>
      <c r="EO225" s="357">
        <v>592000</v>
      </c>
      <c r="EP225" s="357">
        <v>0</v>
      </c>
      <c r="EQ225" s="357">
        <v>0</v>
      </c>
      <c r="ER225" s="357">
        <v>0</v>
      </c>
      <c r="ES225" s="357">
        <v>0</v>
      </c>
      <c r="ET225" s="357">
        <v>0</v>
      </c>
      <c r="EU225" s="357">
        <v>592000</v>
      </c>
      <c r="EV225" s="357">
        <v>0</v>
      </c>
      <c r="EW225" s="357">
        <v>0</v>
      </c>
      <c r="EX225" s="357">
        <v>592000</v>
      </c>
      <c r="EY225" s="357">
        <v>44601723.6</v>
      </c>
      <c r="EZ225" s="357">
        <v>0</v>
      </c>
      <c r="FA225" s="357">
        <v>0</v>
      </c>
      <c r="FB225" s="357">
        <v>44601723.6</v>
      </c>
      <c r="FC225" s="277">
        <v>0</v>
      </c>
      <c r="FD225" s="205"/>
    </row>
    <row r="226" spans="1:160" ht="12.75">
      <c r="A226" s="169">
        <v>219</v>
      </c>
      <c r="B226" s="172" t="s">
        <v>367</v>
      </c>
      <c r="C226" s="258" t="s">
        <v>368</v>
      </c>
      <c r="D226" s="235">
        <v>41647</v>
      </c>
      <c r="E226" s="357">
        <v>68680707</v>
      </c>
      <c r="F226" s="357">
        <v>0</v>
      </c>
      <c r="G226" s="357">
        <v>0</v>
      </c>
      <c r="H226" s="357">
        <v>68680707</v>
      </c>
      <c r="I226" s="357">
        <v>32348613</v>
      </c>
      <c r="J226" s="357">
        <v>0</v>
      </c>
      <c r="K226" s="357">
        <v>0</v>
      </c>
      <c r="L226" s="357">
        <v>0</v>
      </c>
      <c r="M226" s="357">
        <v>0</v>
      </c>
      <c r="N226" s="357">
        <v>0</v>
      </c>
      <c r="O226" s="357">
        <v>32348613</v>
      </c>
      <c r="P226" s="357">
        <v>0</v>
      </c>
      <c r="Q226" s="357">
        <v>0</v>
      </c>
      <c r="R226" s="357">
        <v>32348613</v>
      </c>
      <c r="S226" s="357">
        <v>493192.42</v>
      </c>
      <c r="T226" s="357">
        <v>0</v>
      </c>
      <c r="U226" s="357">
        <v>0</v>
      </c>
      <c r="V226" s="357">
        <v>493192.42</v>
      </c>
      <c r="W226" s="357">
        <v>52296.67</v>
      </c>
      <c r="X226" s="357">
        <v>0</v>
      </c>
      <c r="Y226" s="357">
        <v>0</v>
      </c>
      <c r="Z226" s="357">
        <v>52296.67</v>
      </c>
      <c r="AA226" s="357">
        <v>440895.75</v>
      </c>
      <c r="AB226" s="357">
        <v>0</v>
      </c>
      <c r="AC226" s="357">
        <v>0</v>
      </c>
      <c r="AD226" s="357">
        <v>0</v>
      </c>
      <c r="AE226" s="357">
        <v>0</v>
      </c>
      <c r="AF226" s="357">
        <v>0</v>
      </c>
      <c r="AG226" s="357">
        <v>440895.75</v>
      </c>
      <c r="AH226" s="357">
        <v>0</v>
      </c>
      <c r="AI226" s="357">
        <v>0</v>
      </c>
      <c r="AJ226" s="357">
        <v>440895.75</v>
      </c>
      <c r="AK226" s="357">
        <v>440895.75</v>
      </c>
      <c r="AL226" s="357">
        <v>0</v>
      </c>
      <c r="AM226" s="357">
        <v>0</v>
      </c>
      <c r="AN226" s="357">
        <v>440895.75</v>
      </c>
      <c r="AO226" s="357">
        <v>1766167.26</v>
      </c>
      <c r="AP226" s="357">
        <v>0</v>
      </c>
      <c r="AQ226" s="357">
        <v>0</v>
      </c>
      <c r="AR226" s="357">
        <v>1766167.26</v>
      </c>
      <c r="AS226" s="357">
        <v>10000</v>
      </c>
      <c r="AT226" s="357">
        <v>0</v>
      </c>
      <c r="AU226" s="357">
        <v>0</v>
      </c>
      <c r="AV226" s="357">
        <v>10000</v>
      </c>
      <c r="AW226" s="357">
        <v>640029.18</v>
      </c>
      <c r="AX226" s="357">
        <v>0</v>
      </c>
      <c r="AY226" s="357">
        <v>0</v>
      </c>
      <c r="AZ226" s="357">
        <v>640029.18</v>
      </c>
      <c r="BA226" s="357">
        <v>1126138.08</v>
      </c>
      <c r="BB226" s="357">
        <v>0</v>
      </c>
      <c r="BC226" s="357">
        <v>0</v>
      </c>
      <c r="BD226" s="357">
        <v>1126138.08</v>
      </c>
      <c r="BE226" s="357">
        <v>2630204.99</v>
      </c>
      <c r="BF226" s="357">
        <v>0</v>
      </c>
      <c r="BG226" s="357">
        <v>0</v>
      </c>
      <c r="BH226" s="357">
        <v>2630204.99</v>
      </c>
      <c r="BI226" s="357">
        <v>78613.46</v>
      </c>
      <c r="BJ226" s="357">
        <v>0</v>
      </c>
      <c r="BK226" s="357">
        <v>0</v>
      </c>
      <c r="BL226" s="357">
        <v>78613.46</v>
      </c>
      <c r="BM226" s="357">
        <v>8908.57</v>
      </c>
      <c r="BN226" s="357">
        <v>0</v>
      </c>
      <c r="BO226" s="357">
        <v>0</v>
      </c>
      <c r="BP226" s="357">
        <v>8908.57</v>
      </c>
      <c r="BQ226" s="357">
        <v>3843865.1</v>
      </c>
      <c r="BR226" s="357">
        <v>0</v>
      </c>
      <c r="BS226" s="357">
        <v>0</v>
      </c>
      <c r="BT226" s="357">
        <v>0</v>
      </c>
      <c r="BU226" s="357">
        <v>0</v>
      </c>
      <c r="BV226" s="357">
        <v>0</v>
      </c>
      <c r="BW226" s="357">
        <v>3843865.1</v>
      </c>
      <c r="BX226" s="357">
        <v>0</v>
      </c>
      <c r="BY226" s="357">
        <v>0</v>
      </c>
      <c r="BZ226" s="357">
        <v>3843865.1</v>
      </c>
      <c r="CA226" s="357">
        <v>0</v>
      </c>
      <c r="CB226" s="357">
        <v>0</v>
      </c>
      <c r="CC226" s="357">
        <v>0</v>
      </c>
      <c r="CD226" s="357">
        <v>0</v>
      </c>
      <c r="CE226" s="357">
        <v>254402.25</v>
      </c>
      <c r="CF226" s="357">
        <v>0</v>
      </c>
      <c r="CG226" s="357">
        <v>0</v>
      </c>
      <c r="CH226" s="357">
        <v>254402.25</v>
      </c>
      <c r="CI226" s="357">
        <v>254402.25</v>
      </c>
      <c r="CJ226" s="357">
        <v>0</v>
      </c>
      <c r="CK226" s="357">
        <v>0</v>
      </c>
      <c r="CL226" s="357">
        <v>0</v>
      </c>
      <c r="CM226" s="357">
        <v>0</v>
      </c>
      <c r="CN226" s="357">
        <v>0</v>
      </c>
      <c r="CO226" s="357">
        <v>254402.25</v>
      </c>
      <c r="CP226" s="357">
        <v>0</v>
      </c>
      <c r="CQ226" s="357">
        <v>0</v>
      </c>
      <c r="CR226" s="357">
        <v>254402.25</v>
      </c>
      <c r="CS226" s="357">
        <v>22304.59</v>
      </c>
      <c r="CT226" s="357">
        <v>0</v>
      </c>
      <c r="CU226" s="357">
        <v>0</v>
      </c>
      <c r="CV226" s="357">
        <v>22304.59</v>
      </c>
      <c r="CW226" s="357">
        <v>385581.67</v>
      </c>
      <c r="CX226" s="357">
        <v>0</v>
      </c>
      <c r="CY226" s="357">
        <v>0</v>
      </c>
      <c r="CZ226" s="357">
        <v>385581.67</v>
      </c>
      <c r="DA226" s="357">
        <v>0</v>
      </c>
      <c r="DB226" s="357">
        <v>0</v>
      </c>
      <c r="DC226" s="357">
        <v>0</v>
      </c>
      <c r="DD226" s="357">
        <v>0</v>
      </c>
      <c r="DE226" s="357">
        <v>1006.18</v>
      </c>
      <c r="DF226" s="357">
        <v>0</v>
      </c>
      <c r="DG226" s="357">
        <v>0</v>
      </c>
      <c r="DH226" s="357">
        <v>1006.18</v>
      </c>
      <c r="DI226" s="357">
        <v>1436.16</v>
      </c>
      <c r="DJ226" s="357">
        <v>0</v>
      </c>
      <c r="DK226" s="357">
        <v>0</v>
      </c>
      <c r="DL226" s="357">
        <v>1436.16</v>
      </c>
      <c r="DM226" s="357">
        <v>0</v>
      </c>
      <c r="DN226" s="357">
        <v>0</v>
      </c>
      <c r="DO226" s="357">
        <v>0</v>
      </c>
      <c r="DP226" s="357">
        <v>0</v>
      </c>
      <c r="DQ226" s="357">
        <v>410328.6</v>
      </c>
      <c r="DR226" s="357">
        <v>0</v>
      </c>
      <c r="DS226" s="357">
        <v>0</v>
      </c>
      <c r="DT226" s="357">
        <v>0</v>
      </c>
      <c r="DU226" s="357">
        <v>0</v>
      </c>
      <c r="DV226" s="357">
        <v>0</v>
      </c>
      <c r="DW226" s="357">
        <v>410328.6</v>
      </c>
      <c r="DX226" s="357">
        <v>0</v>
      </c>
      <c r="DY226" s="357">
        <v>0</v>
      </c>
      <c r="DZ226" s="357">
        <v>410328.6</v>
      </c>
      <c r="EA226" s="357">
        <v>0</v>
      </c>
      <c r="EB226" s="357">
        <v>0</v>
      </c>
      <c r="EC226" s="357">
        <v>10000</v>
      </c>
      <c r="ED226" s="357">
        <v>0</v>
      </c>
      <c r="EE226" s="357">
        <v>0</v>
      </c>
      <c r="EF226" s="357">
        <v>10000</v>
      </c>
      <c r="EG226" s="357">
        <v>20918</v>
      </c>
      <c r="EH226" s="357">
        <v>0</v>
      </c>
      <c r="EI226" s="357">
        <v>0</v>
      </c>
      <c r="EJ226" s="357">
        <v>20918</v>
      </c>
      <c r="EK226" s="357">
        <v>318273</v>
      </c>
      <c r="EL226" s="357">
        <v>0</v>
      </c>
      <c r="EM226" s="357">
        <v>0</v>
      </c>
      <c r="EN226" s="357">
        <v>318273</v>
      </c>
      <c r="EO226" s="357">
        <v>349191</v>
      </c>
      <c r="EP226" s="357">
        <v>0</v>
      </c>
      <c r="EQ226" s="357">
        <v>0</v>
      </c>
      <c r="ER226" s="357">
        <v>0</v>
      </c>
      <c r="ES226" s="357">
        <v>0</v>
      </c>
      <c r="ET226" s="357">
        <v>0</v>
      </c>
      <c r="EU226" s="357">
        <v>349191</v>
      </c>
      <c r="EV226" s="357">
        <v>0</v>
      </c>
      <c r="EW226" s="357">
        <v>0</v>
      </c>
      <c r="EX226" s="357">
        <v>349191</v>
      </c>
      <c r="EY226" s="357">
        <v>27049930.3</v>
      </c>
      <c r="EZ226" s="357">
        <v>0</v>
      </c>
      <c r="FA226" s="357">
        <v>0</v>
      </c>
      <c r="FB226" s="357">
        <v>27049930.3</v>
      </c>
      <c r="FC226" s="277">
        <v>0</v>
      </c>
      <c r="FD226" s="205"/>
    </row>
    <row r="227" spans="1:160" ht="12.75">
      <c r="A227" s="169">
        <v>220</v>
      </c>
      <c r="B227" s="172" t="s">
        <v>369</v>
      </c>
      <c r="C227" s="258" t="s">
        <v>370</v>
      </c>
      <c r="D227" s="235">
        <v>41612</v>
      </c>
      <c r="E227" s="357">
        <v>108539585</v>
      </c>
      <c r="F227" s="357">
        <v>0</v>
      </c>
      <c r="G227" s="357">
        <v>0</v>
      </c>
      <c r="H227" s="357">
        <v>108539585</v>
      </c>
      <c r="I227" s="357">
        <v>51122145</v>
      </c>
      <c r="J227" s="357">
        <v>0</v>
      </c>
      <c r="K227" s="357">
        <v>0</v>
      </c>
      <c r="L227" s="357">
        <v>0</v>
      </c>
      <c r="M227" s="357">
        <v>0</v>
      </c>
      <c r="N227" s="357">
        <v>0</v>
      </c>
      <c r="O227" s="357">
        <v>51122145</v>
      </c>
      <c r="P227" s="357">
        <v>0</v>
      </c>
      <c r="Q227" s="357">
        <v>0</v>
      </c>
      <c r="R227" s="357">
        <v>51122145</v>
      </c>
      <c r="S227" s="357">
        <v>12239</v>
      </c>
      <c r="T227" s="357">
        <v>0</v>
      </c>
      <c r="U227" s="357">
        <v>0</v>
      </c>
      <c r="V227" s="357">
        <v>12239</v>
      </c>
      <c r="W227" s="357">
        <v>5514</v>
      </c>
      <c r="X227" s="357">
        <v>0</v>
      </c>
      <c r="Y227" s="357">
        <v>0</v>
      </c>
      <c r="Z227" s="357">
        <v>5514</v>
      </c>
      <c r="AA227" s="357">
        <v>6725</v>
      </c>
      <c r="AB227" s="357">
        <v>0</v>
      </c>
      <c r="AC227" s="357">
        <v>0</v>
      </c>
      <c r="AD227" s="357">
        <v>0</v>
      </c>
      <c r="AE227" s="357">
        <v>0</v>
      </c>
      <c r="AF227" s="357">
        <v>0</v>
      </c>
      <c r="AG227" s="357">
        <v>6725</v>
      </c>
      <c r="AH227" s="357">
        <v>0</v>
      </c>
      <c r="AI227" s="357">
        <v>0</v>
      </c>
      <c r="AJ227" s="357">
        <v>6725</v>
      </c>
      <c r="AK227" s="357">
        <v>6725</v>
      </c>
      <c r="AL227" s="357">
        <v>0</v>
      </c>
      <c r="AM227" s="357">
        <v>0</v>
      </c>
      <c r="AN227" s="357">
        <v>6725</v>
      </c>
      <c r="AO227" s="357">
        <v>1177964</v>
      </c>
      <c r="AP227" s="357">
        <v>0</v>
      </c>
      <c r="AQ227" s="357">
        <v>0</v>
      </c>
      <c r="AR227" s="357">
        <v>1177964</v>
      </c>
      <c r="AS227" s="357">
        <v>26195</v>
      </c>
      <c r="AT227" s="357">
        <v>0</v>
      </c>
      <c r="AU227" s="357">
        <v>0</v>
      </c>
      <c r="AV227" s="357">
        <v>26195</v>
      </c>
      <c r="AW227" s="357">
        <v>1090814</v>
      </c>
      <c r="AX227" s="357">
        <v>0</v>
      </c>
      <c r="AY227" s="357">
        <v>0</v>
      </c>
      <c r="AZ227" s="357">
        <v>1090814</v>
      </c>
      <c r="BA227" s="357">
        <v>87150</v>
      </c>
      <c r="BB227" s="357">
        <v>0</v>
      </c>
      <c r="BC227" s="357">
        <v>0</v>
      </c>
      <c r="BD227" s="357">
        <v>87150</v>
      </c>
      <c r="BE227" s="357">
        <v>1493698</v>
      </c>
      <c r="BF227" s="357">
        <v>0</v>
      </c>
      <c r="BG227" s="357">
        <v>0</v>
      </c>
      <c r="BH227" s="357">
        <v>1493698</v>
      </c>
      <c r="BI227" s="357">
        <v>9756</v>
      </c>
      <c r="BJ227" s="357">
        <v>0</v>
      </c>
      <c r="BK227" s="357">
        <v>0</v>
      </c>
      <c r="BL227" s="357">
        <v>9756</v>
      </c>
      <c r="BM227" s="357">
        <v>0</v>
      </c>
      <c r="BN227" s="357">
        <v>0</v>
      </c>
      <c r="BO227" s="357">
        <v>0</v>
      </c>
      <c r="BP227" s="357">
        <v>0</v>
      </c>
      <c r="BQ227" s="357">
        <v>1590604</v>
      </c>
      <c r="BR227" s="357">
        <v>0</v>
      </c>
      <c r="BS227" s="357">
        <v>0</v>
      </c>
      <c r="BT227" s="357">
        <v>205000</v>
      </c>
      <c r="BU227" s="357">
        <v>0</v>
      </c>
      <c r="BV227" s="357">
        <v>0</v>
      </c>
      <c r="BW227" s="357">
        <v>1795604</v>
      </c>
      <c r="BX227" s="357">
        <v>0</v>
      </c>
      <c r="BY227" s="357">
        <v>0</v>
      </c>
      <c r="BZ227" s="357">
        <v>1795604</v>
      </c>
      <c r="CA227" s="357">
        <v>92000</v>
      </c>
      <c r="CB227" s="357">
        <v>0</v>
      </c>
      <c r="CC227" s="357">
        <v>0</v>
      </c>
      <c r="CD227" s="357">
        <v>92000</v>
      </c>
      <c r="CE227" s="357">
        <v>2120916</v>
      </c>
      <c r="CF227" s="357">
        <v>0</v>
      </c>
      <c r="CG227" s="357">
        <v>0</v>
      </c>
      <c r="CH227" s="357">
        <v>2120916</v>
      </c>
      <c r="CI227" s="357">
        <v>2212916</v>
      </c>
      <c r="CJ227" s="357">
        <v>0</v>
      </c>
      <c r="CK227" s="357">
        <v>0</v>
      </c>
      <c r="CL227" s="357">
        <v>50911</v>
      </c>
      <c r="CM227" s="357">
        <v>0</v>
      </c>
      <c r="CN227" s="357">
        <v>0</v>
      </c>
      <c r="CO227" s="357">
        <v>2263827</v>
      </c>
      <c r="CP227" s="357">
        <v>0</v>
      </c>
      <c r="CQ227" s="357">
        <v>0</v>
      </c>
      <c r="CR227" s="357">
        <v>2263827</v>
      </c>
      <c r="CS227" s="357">
        <v>60498</v>
      </c>
      <c r="CT227" s="357">
        <v>0</v>
      </c>
      <c r="CU227" s="357">
        <v>0</v>
      </c>
      <c r="CV227" s="357">
        <v>60498</v>
      </c>
      <c r="CW227" s="357">
        <v>34805</v>
      </c>
      <c r="CX227" s="357">
        <v>0</v>
      </c>
      <c r="CY227" s="357">
        <v>0</v>
      </c>
      <c r="CZ227" s="357">
        <v>34805</v>
      </c>
      <c r="DA227" s="357">
        <v>2439</v>
      </c>
      <c r="DB227" s="357">
        <v>0</v>
      </c>
      <c r="DC227" s="357">
        <v>0</v>
      </c>
      <c r="DD227" s="357">
        <v>2439</v>
      </c>
      <c r="DE227" s="357">
        <v>0</v>
      </c>
      <c r="DF227" s="357">
        <v>0</v>
      </c>
      <c r="DG227" s="357">
        <v>0</v>
      </c>
      <c r="DH227" s="357">
        <v>0</v>
      </c>
      <c r="DI227" s="357">
        <v>0</v>
      </c>
      <c r="DJ227" s="357">
        <v>0</v>
      </c>
      <c r="DK227" s="357">
        <v>0</v>
      </c>
      <c r="DL227" s="357">
        <v>0</v>
      </c>
      <c r="DM227" s="357">
        <v>0</v>
      </c>
      <c r="DN227" s="357">
        <v>0</v>
      </c>
      <c r="DO227" s="357">
        <v>0</v>
      </c>
      <c r="DP227" s="357">
        <v>0</v>
      </c>
      <c r="DQ227" s="357">
        <v>97742</v>
      </c>
      <c r="DR227" s="357">
        <v>0</v>
      </c>
      <c r="DS227" s="357">
        <v>0</v>
      </c>
      <c r="DT227" s="357">
        <v>68000</v>
      </c>
      <c r="DU227" s="357">
        <v>0</v>
      </c>
      <c r="DV227" s="357">
        <v>0</v>
      </c>
      <c r="DW227" s="357">
        <v>165742</v>
      </c>
      <c r="DX227" s="357">
        <v>0</v>
      </c>
      <c r="DY227" s="357">
        <v>0</v>
      </c>
      <c r="DZ227" s="357">
        <v>165742</v>
      </c>
      <c r="EA227" s="357">
        <v>0</v>
      </c>
      <c r="EB227" s="357">
        <v>0</v>
      </c>
      <c r="EC227" s="357">
        <v>87122</v>
      </c>
      <c r="ED227" s="357">
        <v>0</v>
      </c>
      <c r="EE227" s="357">
        <v>0</v>
      </c>
      <c r="EF227" s="357">
        <v>87122</v>
      </c>
      <c r="EG227" s="357">
        <v>23000</v>
      </c>
      <c r="EH227" s="357">
        <v>0</v>
      </c>
      <c r="EI227" s="357">
        <v>0</v>
      </c>
      <c r="EJ227" s="357">
        <v>23000</v>
      </c>
      <c r="EK227" s="357">
        <v>563666.76</v>
      </c>
      <c r="EL227" s="357">
        <v>0</v>
      </c>
      <c r="EM227" s="357">
        <v>0</v>
      </c>
      <c r="EN227" s="357">
        <v>563666.76</v>
      </c>
      <c r="EO227" s="357">
        <v>673788.76</v>
      </c>
      <c r="EP227" s="357">
        <v>0</v>
      </c>
      <c r="EQ227" s="357">
        <v>0</v>
      </c>
      <c r="ER227" s="357">
        <v>0</v>
      </c>
      <c r="ES227" s="357">
        <v>0</v>
      </c>
      <c r="ET227" s="357">
        <v>0</v>
      </c>
      <c r="EU227" s="357">
        <v>673788.76</v>
      </c>
      <c r="EV227" s="357">
        <v>0</v>
      </c>
      <c r="EW227" s="357">
        <v>0</v>
      </c>
      <c r="EX227" s="357">
        <v>673788.76</v>
      </c>
      <c r="EY227" s="357">
        <v>46216458.2</v>
      </c>
      <c r="EZ227" s="357">
        <v>0</v>
      </c>
      <c r="FA227" s="357">
        <v>0</v>
      </c>
      <c r="FB227" s="357">
        <v>46216458.2</v>
      </c>
      <c r="FC227" s="277">
        <v>0</v>
      </c>
      <c r="FD227" s="205"/>
    </row>
    <row r="228" spans="1:160" ht="12.75">
      <c r="A228" s="169">
        <v>221</v>
      </c>
      <c r="B228" s="172" t="s">
        <v>371</v>
      </c>
      <c r="C228" s="258" t="s">
        <v>372</v>
      </c>
      <c r="D228" s="235">
        <v>41654</v>
      </c>
      <c r="E228" s="357">
        <v>25898707</v>
      </c>
      <c r="F228" s="357">
        <v>0</v>
      </c>
      <c r="G228" s="357">
        <v>0</v>
      </c>
      <c r="H228" s="357">
        <v>25898707</v>
      </c>
      <c r="I228" s="357">
        <v>12198291</v>
      </c>
      <c r="J228" s="357">
        <v>0</v>
      </c>
      <c r="K228" s="357">
        <v>0</v>
      </c>
      <c r="L228" s="357">
        <v>130473</v>
      </c>
      <c r="M228" s="357">
        <v>0</v>
      </c>
      <c r="N228" s="357">
        <v>0</v>
      </c>
      <c r="O228" s="357">
        <v>12328764</v>
      </c>
      <c r="P228" s="357">
        <v>0</v>
      </c>
      <c r="Q228" s="357">
        <v>0</v>
      </c>
      <c r="R228" s="357">
        <v>12328764</v>
      </c>
      <c r="S228" s="357">
        <v>14854</v>
      </c>
      <c r="T228" s="357">
        <v>0</v>
      </c>
      <c r="U228" s="357">
        <v>0</v>
      </c>
      <c r="V228" s="357">
        <v>14854</v>
      </c>
      <c r="W228" s="357">
        <v>-2407</v>
      </c>
      <c r="X228" s="357">
        <v>0</v>
      </c>
      <c r="Y228" s="357">
        <v>0</v>
      </c>
      <c r="Z228" s="357">
        <v>-2407</v>
      </c>
      <c r="AA228" s="357">
        <v>17261</v>
      </c>
      <c r="AB228" s="357">
        <v>0</v>
      </c>
      <c r="AC228" s="357">
        <v>0</v>
      </c>
      <c r="AD228" s="357">
        <v>0</v>
      </c>
      <c r="AE228" s="357">
        <v>0</v>
      </c>
      <c r="AF228" s="357">
        <v>0</v>
      </c>
      <c r="AG228" s="357">
        <v>17261</v>
      </c>
      <c r="AH228" s="357">
        <v>0</v>
      </c>
      <c r="AI228" s="357">
        <v>0</v>
      </c>
      <c r="AJ228" s="357">
        <v>17261</v>
      </c>
      <c r="AK228" s="357">
        <v>17261</v>
      </c>
      <c r="AL228" s="357">
        <v>0</v>
      </c>
      <c r="AM228" s="357">
        <v>0</v>
      </c>
      <c r="AN228" s="357">
        <v>17261</v>
      </c>
      <c r="AO228" s="357">
        <v>818497</v>
      </c>
      <c r="AP228" s="357">
        <v>0</v>
      </c>
      <c r="AQ228" s="357">
        <v>0</v>
      </c>
      <c r="AR228" s="357">
        <v>818497</v>
      </c>
      <c r="AS228" s="357">
        <v>9980</v>
      </c>
      <c r="AT228" s="357">
        <v>0</v>
      </c>
      <c r="AU228" s="357">
        <v>0</v>
      </c>
      <c r="AV228" s="357">
        <v>9980</v>
      </c>
      <c r="AW228" s="357">
        <v>223795</v>
      </c>
      <c r="AX228" s="357">
        <v>0</v>
      </c>
      <c r="AY228" s="357">
        <v>0</v>
      </c>
      <c r="AZ228" s="357">
        <v>223795</v>
      </c>
      <c r="BA228" s="357">
        <v>594702</v>
      </c>
      <c r="BB228" s="357">
        <v>0</v>
      </c>
      <c r="BC228" s="357">
        <v>0</v>
      </c>
      <c r="BD228" s="357">
        <v>594702</v>
      </c>
      <c r="BE228" s="357">
        <v>1045697</v>
      </c>
      <c r="BF228" s="357">
        <v>0</v>
      </c>
      <c r="BG228" s="357">
        <v>0</v>
      </c>
      <c r="BH228" s="357">
        <v>1045697</v>
      </c>
      <c r="BI228" s="357">
        <v>6652</v>
      </c>
      <c r="BJ228" s="357">
        <v>0</v>
      </c>
      <c r="BK228" s="357">
        <v>0</v>
      </c>
      <c r="BL228" s="357">
        <v>6652</v>
      </c>
      <c r="BM228" s="357">
        <v>11593</v>
      </c>
      <c r="BN228" s="357">
        <v>0</v>
      </c>
      <c r="BO228" s="357">
        <v>0</v>
      </c>
      <c r="BP228" s="357">
        <v>11593</v>
      </c>
      <c r="BQ228" s="357">
        <v>1658644</v>
      </c>
      <c r="BR228" s="357">
        <v>0</v>
      </c>
      <c r="BS228" s="357">
        <v>0</v>
      </c>
      <c r="BT228" s="357">
        <v>19571</v>
      </c>
      <c r="BU228" s="357">
        <v>0</v>
      </c>
      <c r="BV228" s="357">
        <v>0</v>
      </c>
      <c r="BW228" s="357">
        <v>1678215</v>
      </c>
      <c r="BX228" s="357">
        <v>0</v>
      </c>
      <c r="BY228" s="357">
        <v>0</v>
      </c>
      <c r="BZ228" s="357">
        <v>1678215</v>
      </c>
      <c r="CA228" s="357">
        <v>60000</v>
      </c>
      <c r="CB228" s="357">
        <v>0</v>
      </c>
      <c r="CC228" s="357">
        <v>0</v>
      </c>
      <c r="CD228" s="357">
        <v>60000</v>
      </c>
      <c r="CE228" s="357">
        <v>185516</v>
      </c>
      <c r="CF228" s="357">
        <v>0</v>
      </c>
      <c r="CG228" s="357">
        <v>0</v>
      </c>
      <c r="CH228" s="357">
        <v>185516</v>
      </c>
      <c r="CI228" s="357">
        <v>245516</v>
      </c>
      <c r="CJ228" s="357">
        <v>0</v>
      </c>
      <c r="CK228" s="357">
        <v>0</v>
      </c>
      <c r="CL228" s="357">
        <v>13047</v>
      </c>
      <c r="CM228" s="357">
        <v>0</v>
      </c>
      <c r="CN228" s="357">
        <v>0</v>
      </c>
      <c r="CO228" s="357">
        <v>258563</v>
      </c>
      <c r="CP228" s="357">
        <v>0</v>
      </c>
      <c r="CQ228" s="357">
        <v>0</v>
      </c>
      <c r="CR228" s="357">
        <v>258563</v>
      </c>
      <c r="CS228" s="357">
        <v>35563</v>
      </c>
      <c r="CT228" s="357">
        <v>0</v>
      </c>
      <c r="CU228" s="357">
        <v>0</v>
      </c>
      <c r="CV228" s="357">
        <v>35563</v>
      </c>
      <c r="CW228" s="357">
        <v>40868</v>
      </c>
      <c r="CX228" s="357">
        <v>0</v>
      </c>
      <c r="CY228" s="357">
        <v>0</v>
      </c>
      <c r="CZ228" s="357">
        <v>40868</v>
      </c>
      <c r="DA228" s="357">
        <v>1625</v>
      </c>
      <c r="DB228" s="357">
        <v>0</v>
      </c>
      <c r="DC228" s="357">
        <v>0</v>
      </c>
      <c r="DD228" s="357">
        <v>1625</v>
      </c>
      <c r="DE228" s="357">
        <v>11593</v>
      </c>
      <c r="DF228" s="357">
        <v>0</v>
      </c>
      <c r="DG228" s="357">
        <v>0</v>
      </c>
      <c r="DH228" s="357">
        <v>11593</v>
      </c>
      <c r="DI228" s="357">
        <v>1531</v>
      </c>
      <c r="DJ228" s="357">
        <v>0</v>
      </c>
      <c r="DK228" s="357">
        <v>0</v>
      </c>
      <c r="DL228" s="357">
        <v>1531</v>
      </c>
      <c r="DM228" s="357">
        <v>0</v>
      </c>
      <c r="DN228" s="357">
        <v>0</v>
      </c>
      <c r="DO228" s="357">
        <v>0</v>
      </c>
      <c r="DP228" s="357">
        <v>0</v>
      </c>
      <c r="DQ228" s="357">
        <v>91180</v>
      </c>
      <c r="DR228" s="357">
        <v>0</v>
      </c>
      <c r="DS228" s="357">
        <v>0</v>
      </c>
      <c r="DT228" s="357">
        <v>652</v>
      </c>
      <c r="DU228" s="357">
        <v>0</v>
      </c>
      <c r="DV228" s="357">
        <v>0</v>
      </c>
      <c r="DW228" s="357">
        <v>91832</v>
      </c>
      <c r="DX228" s="357">
        <v>0</v>
      </c>
      <c r="DY228" s="357">
        <v>0</v>
      </c>
      <c r="DZ228" s="357">
        <v>91832</v>
      </c>
      <c r="EA228" s="357">
        <v>0</v>
      </c>
      <c r="EB228" s="357">
        <v>0</v>
      </c>
      <c r="EC228" s="357">
        <v>9786</v>
      </c>
      <c r="ED228" s="357">
        <v>0</v>
      </c>
      <c r="EE228" s="357">
        <v>0</v>
      </c>
      <c r="EF228" s="357">
        <v>9786</v>
      </c>
      <c r="EG228" s="357">
        <v>26603</v>
      </c>
      <c r="EH228" s="357">
        <v>0</v>
      </c>
      <c r="EI228" s="357">
        <v>0</v>
      </c>
      <c r="EJ228" s="357">
        <v>26603</v>
      </c>
      <c r="EK228" s="357">
        <v>172538</v>
      </c>
      <c r="EL228" s="357">
        <v>0</v>
      </c>
      <c r="EM228" s="357">
        <v>0</v>
      </c>
      <c r="EN228" s="357">
        <v>172538</v>
      </c>
      <c r="EO228" s="357">
        <v>208927</v>
      </c>
      <c r="EP228" s="357">
        <v>0</v>
      </c>
      <c r="EQ228" s="357">
        <v>0</v>
      </c>
      <c r="ER228" s="357">
        <v>0</v>
      </c>
      <c r="ES228" s="357">
        <v>0</v>
      </c>
      <c r="ET228" s="357">
        <v>0</v>
      </c>
      <c r="EU228" s="357">
        <v>208927</v>
      </c>
      <c r="EV228" s="357">
        <v>0</v>
      </c>
      <c r="EW228" s="357">
        <v>0</v>
      </c>
      <c r="EX228" s="357">
        <v>208927</v>
      </c>
      <c r="EY228" s="357">
        <v>10073966</v>
      </c>
      <c r="EZ228" s="357">
        <v>0</v>
      </c>
      <c r="FA228" s="357">
        <v>0</v>
      </c>
      <c r="FB228" s="357">
        <v>10073966</v>
      </c>
      <c r="FC228" s="277">
        <v>0</v>
      </c>
      <c r="FD228" s="205"/>
    </row>
    <row r="229" spans="1:160" ht="12.75">
      <c r="A229" s="169">
        <v>222</v>
      </c>
      <c r="B229" s="172" t="s">
        <v>373</v>
      </c>
      <c r="C229" s="258" t="s">
        <v>374</v>
      </c>
      <c r="D229" s="235">
        <v>41668</v>
      </c>
      <c r="E229" s="357">
        <v>42793520</v>
      </c>
      <c r="F229" s="357">
        <v>0</v>
      </c>
      <c r="G229" s="357">
        <v>0</v>
      </c>
      <c r="H229" s="357">
        <v>42793520</v>
      </c>
      <c r="I229" s="357">
        <v>20155748</v>
      </c>
      <c r="J229" s="357">
        <v>0</v>
      </c>
      <c r="K229" s="357">
        <v>0</v>
      </c>
      <c r="L229" s="357">
        <v>255000</v>
      </c>
      <c r="M229" s="357">
        <v>0</v>
      </c>
      <c r="N229" s="357">
        <v>0</v>
      </c>
      <c r="O229" s="357">
        <v>20410748</v>
      </c>
      <c r="P229" s="357">
        <v>0</v>
      </c>
      <c r="Q229" s="357">
        <v>0</v>
      </c>
      <c r="R229" s="357">
        <v>20410748</v>
      </c>
      <c r="S229" s="357">
        <v>77360</v>
      </c>
      <c r="T229" s="357">
        <v>0</v>
      </c>
      <c r="U229" s="357">
        <v>0</v>
      </c>
      <c r="V229" s="357">
        <v>77360</v>
      </c>
      <c r="W229" s="357">
        <v>2346</v>
      </c>
      <c r="X229" s="357">
        <v>0</v>
      </c>
      <c r="Y229" s="357">
        <v>0</v>
      </c>
      <c r="Z229" s="357">
        <v>2346</v>
      </c>
      <c r="AA229" s="357">
        <v>75014</v>
      </c>
      <c r="AB229" s="357">
        <v>0</v>
      </c>
      <c r="AC229" s="357">
        <v>0</v>
      </c>
      <c r="AD229" s="357">
        <v>-25000</v>
      </c>
      <c r="AE229" s="357">
        <v>0</v>
      </c>
      <c r="AF229" s="357">
        <v>0</v>
      </c>
      <c r="AG229" s="357">
        <v>50014</v>
      </c>
      <c r="AH229" s="357">
        <v>0</v>
      </c>
      <c r="AI229" s="357">
        <v>0</v>
      </c>
      <c r="AJ229" s="357">
        <v>50014</v>
      </c>
      <c r="AK229" s="357">
        <v>50014</v>
      </c>
      <c r="AL229" s="357">
        <v>0</v>
      </c>
      <c r="AM229" s="357">
        <v>0</v>
      </c>
      <c r="AN229" s="357">
        <v>50014</v>
      </c>
      <c r="AO229" s="357">
        <v>2086000</v>
      </c>
      <c r="AP229" s="357">
        <v>0</v>
      </c>
      <c r="AQ229" s="357">
        <v>0</v>
      </c>
      <c r="AR229" s="357">
        <v>2086000</v>
      </c>
      <c r="AS229" s="357">
        <v>15000</v>
      </c>
      <c r="AT229" s="357">
        <v>0</v>
      </c>
      <c r="AU229" s="357">
        <v>0</v>
      </c>
      <c r="AV229" s="357">
        <v>15000</v>
      </c>
      <c r="AW229" s="357">
        <v>341980</v>
      </c>
      <c r="AX229" s="357">
        <v>0</v>
      </c>
      <c r="AY229" s="357">
        <v>0</v>
      </c>
      <c r="AZ229" s="357">
        <v>341980</v>
      </c>
      <c r="BA229" s="357">
        <v>1744020</v>
      </c>
      <c r="BB229" s="357">
        <v>0</v>
      </c>
      <c r="BC229" s="357">
        <v>0</v>
      </c>
      <c r="BD229" s="357">
        <v>1744020</v>
      </c>
      <c r="BE229" s="357">
        <v>813280</v>
      </c>
      <c r="BF229" s="357">
        <v>0</v>
      </c>
      <c r="BG229" s="357">
        <v>0</v>
      </c>
      <c r="BH229" s="357">
        <v>813280</v>
      </c>
      <c r="BI229" s="357">
        <v>29495</v>
      </c>
      <c r="BJ229" s="357">
        <v>0</v>
      </c>
      <c r="BK229" s="357">
        <v>0</v>
      </c>
      <c r="BL229" s="357">
        <v>29495</v>
      </c>
      <c r="BM229" s="357">
        <v>40232</v>
      </c>
      <c r="BN229" s="357">
        <v>0</v>
      </c>
      <c r="BO229" s="357">
        <v>0</v>
      </c>
      <c r="BP229" s="357">
        <v>40232</v>
      </c>
      <c r="BQ229" s="357">
        <v>2627027</v>
      </c>
      <c r="BR229" s="357">
        <v>0</v>
      </c>
      <c r="BS229" s="357">
        <v>0</v>
      </c>
      <c r="BT229" s="357">
        <v>21000</v>
      </c>
      <c r="BU229" s="357">
        <v>0</v>
      </c>
      <c r="BV229" s="357">
        <v>0</v>
      </c>
      <c r="BW229" s="357">
        <v>2648027</v>
      </c>
      <c r="BX229" s="357">
        <v>0</v>
      </c>
      <c r="BY229" s="357">
        <v>0</v>
      </c>
      <c r="BZ229" s="357">
        <v>2648027</v>
      </c>
      <c r="CA229" s="357">
        <v>0</v>
      </c>
      <c r="CB229" s="357">
        <v>0</v>
      </c>
      <c r="CC229" s="357">
        <v>0</v>
      </c>
      <c r="CD229" s="357">
        <v>0</v>
      </c>
      <c r="CE229" s="357">
        <v>465000</v>
      </c>
      <c r="CF229" s="357">
        <v>0</v>
      </c>
      <c r="CG229" s="357">
        <v>0</v>
      </c>
      <c r="CH229" s="357">
        <v>465000</v>
      </c>
      <c r="CI229" s="357">
        <v>465000</v>
      </c>
      <c r="CJ229" s="357">
        <v>0</v>
      </c>
      <c r="CK229" s="357">
        <v>0</v>
      </c>
      <c r="CL229" s="357">
        <v>-15000</v>
      </c>
      <c r="CM229" s="357">
        <v>0</v>
      </c>
      <c r="CN229" s="357">
        <v>0</v>
      </c>
      <c r="CO229" s="357">
        <v>450000</v>
      </c>
      <c r="CP229" s="357">
        <v>0</v>
      </c>
      <c r="CQ229" s="357">
        <v>0</v>
      </c>
      <c r="CR229" s="357">
        <v>450000</v>
      </c>
      <c r="CS229" s="357">
        <v>82055</v>
      </c>
      <c r="CT229" s="357">
        <v>0</v>
      </c>
      <c r="CU229" s="357">
        <v>0</v>
      </c>
      <c r="CV229" s="357">
        <v>82055</v>
      </c>
      <c r="CW229" s="357">
        <v>55376</v>
      </c>
      <c r="CX229" s="357">
        <v>0</v>
      </c>
      <c r="CY229" s="357">
        <v>0</v>
      </c>
      <c r="CZ229" s="357">
        <v>55376</v>
      </c>
      <c r="DA229" s="357">
        <v>2478</v>
      </c>
      <c r="DB229" s="357">
        <v>0</v>
      </c>
      <c r="DC229" s="357">
        <v>0</v>
      </c>
      <c r="DD229" s="357">
        <v>2478</v>
      </c>
      <c r="DE229" s="357">
        <v>6738</v>
      </c>
      <c r="DF229" s="357">
        <v>0</v>
      </c>
      <c r="DG229" s="357">
        <v>0</v>
      </c>
      <c r="DH229" s="357">
        <v>6738</v>
      </c>
      <c r="DI229" s="357">
        <v>1851</v>
      </c>
      <c r="DJ229" s="357">
        <v>0</v>
      </c>
      <c r="DK229" s="357">
        <v>0</v>
      </c>
      <c r="DL229" s="357">
        <v>1851</v>
      </c>
      <c r="DM229" s="357">
        <v>0</v>
      </c>
      <c r="DN229" s="357">
        <v>0</v>
      </c>
      <c r="DO229" s="357">
        <v>0</v>
      </c>
      <c r="DP229" s="357">
        <v>0</v>
      </c>
      <c r="DQ229" s="357">
        <v>148498</v>
      </c>
      <c r="DR229" s="357">
        <v>0</v>
      </c>
      <c r="DS229" s="357">
        <v>0</v>
      </c>
      <c r="DT229" s="357">
        <v>7500</v>
      </c>
      <c r="DU229" s="357">
        <v>0</v>
      </c>
      <c r="DV229" s="357">
        <v>0</v>
      </c>
      <c r="DW229" s="357">
        <v>155998</v>
      </c>
      <c r="DX229" s="357">
        <v>0</v>
      </c>
      <c r="DY229" s="357">
        <v>0</v>
      </c>
      <c r="DZ229" s="357">
        <v>155998</v>
      </c>
      <c r="EA229" s="357">
        <v>0</v>
      </c>
      <c r="EB229" s="357">
        <v>0</v>
      </c>
      <c r="EC229" s="357">
        <v>0</v>
      </c>
      <c r="ED229" s="357">
        <v>0</v>
      </c>
      <c r="EE229" s="357">
        <v>0</v>
      </c>
      <c r="EF229" s="357">
        <v>0</v>
      </c>
      <c r="EG229" s="357">
        <v>45000</v>
      </c>
      <c r="EH229" s="357">
        <v>0</v>
      </c>
      <c r="EI229" s="357">
        <v>0</v>
      </c>
      <c r="EJ229" s="357">
        <v>45000</v>
      </c>
      <c r="EK229" s="357">
        <v>347023</v>
      </c>
      <c r="EL229" s="357">
        <v>0</v>
      </c>
      <c r="EM229" s="357">
        <v>0</v>
      </c>
      <c r="EN229" s="357">
        <v>347023</v>
      </c>
      <c r="EO229" s="357">
        <v>392023</v>
      </c>
      <c r="EP229" s="357">
        <v>0</v>
      </c>
      <c r="EQ229" s="357">
        <v>0</v>
      </c>
      <c r="ER229" s="357">
        <v>0</v>
      </c>
      <c r="ES229" s="357">
        <v>0</v>
      </c>
      <c r="ET229" s="357">
        <v>0</v>
      </c>
      <c r="EU229" s="357">
        <v>392023</v>
      </c>
      <c r="EV229" s="357">
        <v>0</v>
      </c>
      <c r="EW229" s="357">
        <v>0</v>
      </c>
      <c r="EX229" s="357">
        <v>392023</v>
      </c>
      <c r="EY229" s="357">
        <v>16714686</v>
      </c>
      <c r="EZ229" s="357">
        <v>0</v>
      </c>
      <c r="FA229" s="357">
        <v>0</v>
      </c>
      <c r="FB229" s="357">
        <v>16714686</v>
      </c>
      <c r="FC229" s="277">
        <v>0</v>
      </c>
      <c r="FD229" s="205"/>
    </row>
    <row r="230" spans="1:160" ht="12.75">
      <c r="A230" s="169">
        <v>223</v>
      </c>
      <c r="B230" s="172" t="s">
        <v>375</v>
      </c>
      <c r="C230" s="258" t="s">
        <v>376</v>
      </c>
      <c r="D230" s="235">
        <v>41639</v>
      </c>
      <c r="E230" s="357">
        <v>245024410</v>
      </c>
      <c r="F230" s="357">
        <v>0</v>
      </c>
      <c r="G230" s="357">
        <v>0</v>
      </c>
      <c r="H230" s="357">
        <v>245024410</v>
      </c>
      <c r="I230" s="357">
        <v>115406497</v>
      </c>
      <c r="J230" s="357">
        <v>0</v>
      </c>
      <c r="K230" s="357">
        <v>0</v>
      </c>
      <c r="L230" s="357">
        <v>2000000</v>
      </c>
      <c r="M230" s="357">
        <v>0</v>
      </c>
      <c r="N230" s="357">
        <v>0</v>
      </c>
      <c r="O230" s="357">
        <v>117406497</v>
      </c>
      <c r="P230" s="357">
        <v>0</v>
      </c>
      <c r="Q230" s="357">
        <v>0</v>
      </c>
      <c r="R230" s="357">
        <v>117406497</v>
      </c>
      <c r="S230" s="357">
        <v>60657</v>
      </c>
      <c r="T230" s="357">
        <v>0</v>
      </c>
      <c r="U230" s="357">
        <v>0</v>
      </c>
      <c r="V230" s="357">
        <v>60657</v>
      </c>
      <c r="W230" s="357">
        <v>16875</v>
      </c>
      <c r="X230" s="357">
        <v>0</v>
      </c>
      <c r="Y230" s="357">
        <v>0</v>
      </c>
      <c r="Z230" s="357">
        <v>16875</v>
      </c>
      <c r="AA230" s="357">
        <v>43782</v>
      </c>
      <c r="AB230" s="357">
        <v>0</v>
      </c>
      <c r="AC230" s="357">
        <v>0</v>
      </c>
      <c r="AD230" s="357">
        <v>0</v>
      </c>
      <c r="AE230" s="357">
        <v>0</v>
      </c>
      <c r="AF230" s="357">
        <v>0</v>
      </c>
      <c r="AG230" s="357">
        <v>43782</v>
      </c>
      <c r="AH230" s="357">
        <v>0</v>
      </c>
      <c r="AI230" s="357">
        <v>0</v>
      </c>
      <c r="AJ230" s="357">
        <v>43782</v>
      </c>
      <c r="AK230" s="357">
        <v>43782</v>
      </c>
      <c r="AL230" s="357">
        <v>0</v>
      </c>
      <c r="AM230" s="357">
        <v>0</v>
      </c>
      <c r="AN230" s="357">
        <v>43782</v>
      </c>
      <c r="AO230" s="357">
        <v>4037722</v>
      </c>
      <c r="AP230" s="357">
        <v>0</v>
      </c>
      <c r="AQ230" s="357">
        <v>0</v>
      </c>
      <c r="AR230" s="357">
        <v>4037722</v>
      </c>
      <c r="AS230" s="357">
        <v>0</v>
      </c>
      <c r="AT230" s="357">
        <v>0</v>
      </c>
      <c r="AU230" s="357">
        <v>0</v>
      </c>
      <c r="AV230" s="357">
        <v>0</v>
      </c>
      <c r="AW230" s="357">
        <v>1936824</v>
      </c>
      <c r="AX230" s="357">
        <v>0</v>
      </c>
      <c r="AY230" s="357">
        <v>0</v>
      </c>
      <c r="AZ230" s="357">
        <v>1936824</v>
      </c>
      <c r="BA230" s="357">
        <v>2100898</v>
      </c>
      <c r="BB230" s="357">
        <v>0</v>
      </c>
      <c r="BC230" s="357">
        <v>0</v>
      </c>
      <c r="BD230" s="357">
        <v>2100898</v>
      </c>
      <c r="BE230" s="357">
        <v>6117888</v>
      </c>
      <c r="BF230" s="357">
        <v>0</v>
      </c>
      <c r="BG230" s="357">
        <v>0</v>
      </c>
      <c r="BH230" s="357">
        <v>6117888</v>
      </c>
      <c r="BI230" s="357">
        <v>80905</v>
      </c>
      <c r="BJ230" s="357">
        <v>0</v>
      </c>
      <c r="BK230" s="357">
        <v>0</v>
      </c>
      <c r="BL230" s="357">
        <v>80905</v>
      </c>
      <c r="BM230" s="357">
        <v>0</v>
      </c>
      <c r="BN230" s="357">
        <v>0</v>
      </c>
      <c r="BO230" s="357">
        <v>0</v>
      </c>
      <c r="BP230" s="357">
        <v>0</v>
      </c>
      <c r="BQ230" s="357">
        <v>8299691</v>
      </c>
      <c r="BR230" s="357">
        <v>0</v>
      </c>
      <c r="BS230" s="357">
        <v>0</v>
      </c>
      <c r="BT230" s="357">
        <v>250000</v>
      </c>
      <c r="BU230" s="357">
        <v>0</v>
      </c>
      <c r="BV230" s="357">
        <v>0</v>
      </c>
      <c r="BW230" s="357">
        <v>8549691</v>
      </c>
      <c r="BX230" s="357">
        <v>0</v>
      </c>
      <c r="BY230" s="357">
        <v>0</v>
      </c>
      <c r="BZ230" s="357">
        <v>8549691</v>
      </c>
      <c r="CA230" s="357">
        <v>53840</v>
      </c>
      <c r="CB230" s="357">
        <v>0</v>
      </c>
      <c r="CC230" s="357">
        <v>0</v>
      </c>
      <c r="CD230" s="357">
        <v>53840</v>
      </c>
      <c r="CE230" s="357">
        <v>5680000</v>
      </c>
      <c r="CF230" s="357">
        <v>0</v>
      </c>
      <c r="CG230" s="357">
        <v>0</v>
      </c>
      <c r="CH230" s="357">
        <v>5680000</v>
      </c>
      <c r="CI230" s="357">
        <v>5733840</v>
      </c>
      <c r="CJ230" s="357">
        <v>0</v>
      </c>
      <c r="CK230" s="357">
        <v>0</v>
      </c>
      <c r="CL230" s="357">
        <v>500000</v>
      </c>
      <c r="CM230" s="357">
        <v>0</v>
      </c>
      <c r="CN230" s="357">
        <v>0</v>
      </c>
      <c r="CO230" s="357">
        <v>6233840</v>
      </c>
      <c r="CP230" s="357">
        <v>0</v>
      </c>
      <c r="CQ230" s="357">
        <v>0</v>
      </c>
      <c r="CR230" s="357">
        <v>6233840</v>
      </c>
      <c r="CS230" s="357">
        <v>456608</v>
      </c>
      <c r="CT230" s="357">
        <v>0</v>
      </c>
      <c r="CU230" s="357">
        <v>0</v>
      </c>
      <c r="CV230" s="357">
        <v>456608</v>
      </c>
      <c r="CW230" s="357">
        <v>127909</v>
      </c>
      <c r="CX230" s="357">
        <v>0</v>
      </c>
      <c r="CY230" s="357">
        <v>0</v>
      </c>
      <c r="CZ230" s="357">
        <v>127909</v>
      </c>
      <c r="DA230" s="357">
        <v>4919</v>
      </c>
      <c r="DB230" s="357">
        <v>0</v>
      </c>
      <c r="DC230" s="357">
        <v>0</v>
      </c>
      <c r="DD230" s="357">
        <v>4919</v>
      </c>
      <c r="DE230" s="357">
        <v>0</v>
      </c>
      <c r="DF230" s="357">
        <v>0</v>
      </c>
      <c r="DG230" s="357">
        <v>0</v>
      </c>
      <c r="DH230" s="357">
        <v>0</v>
      </c>
      <c r="DI230" s="357">
        <v>0</v>
      </c>
      <c r="DJ230" s="357">
        <v>0</v>
      </c>
      <c r="DK230" s="357">
        <v>0</v>
      </c>
      <c r="DL230" s="357">
        <v>0</v>
      </c>
      <c r="DM230" s="357">
        <v>0</v>
      </c>
      <c r="DN230" s="357">
        <v>0</v>
      </c>
      <c r="DO230" s="357">
        <v>0</v>
      </c>
      <c r="DP230" s="357">
        <v>0</v>
      </c>
      <c r="DQ230" s="357">
        <v>589436</v>
      </c>
      <c r="DR230" s="357">
        <v>0</v>
      </c>
      <c r="DS230" s="357">
        <v>0</v>
      </c>
      <c r="DT230" s="357">
        <v>0</v>
      </c>
      <c r="DU230" s="357">
        <v>0</v>
      </c>
      <c r="DV230" s="357">
        <v>0</v>
      </c>
      <c r="DW230" s="357">
        <v>589436</v>
      </c>
      <c r="DX230" s="357">
        <v>0</v>
      </c>
      <c r="DY230" s="357">
        <v>0</v>
      </c>
      <c r="DZ230" s="357">
        <v>589436</v>
      </c>
      <c r="EA230" s="357">
        <v>0</v>
      </c>
      <c r="EB230" s="357">
        <v>0</v>
      </c>
      <c r="EC230" s="357">
        <v>750000</v>
      </c>
      <c r="ED230" s="357">
        <v>0</v>
      </c>
      <c r="EE230" s="357">
        <v>0</v>
      </c>
      <c r="EF230" s="357">
        <v>750000</v>
      </c>
      <c r="EG230" s="357">
        <v>0</v>
      </c>
      <c r="EH230" s="357">
        <v>0</v>
      </c>
      <c r="EI230" s="357">
        <v>0</v>
      </c>
      <c r="EJ230" s="357">
        <v>0</v>
      </c>
      <c r="EK230" s="357">
        <v>2000000</v>
      </c>
      <c r="EL230" s="357">
        <v>0</v>
      </c>
      <c r="EM230" s="357">
        <v>0</v>
      </c>
      <c r="EN230" s="357">
        <v>2000000</v>
      </c>
      <c r="EO230" s="357">
        <v>2750000</v>
      </c>
      <c r="EP230" s="357">
        <v>0</v>
      </c>
      <c r="EQ230" s="357">
        <v>0</v>
      </c>
      <c r="ER230" s="357">
        <v>0</v>
      </c>
      <c r="ES230" s="357">
        <v>0</v>
      </c>
      <c r="ET230" s="357">
        <v>0</v>
      </c>
      <c r="EU230" s="357">
        <v>2750000</v>
      </c>
      <c r="EV230" s="357">
        <v>0</v>
      </c>
      <c r="EW230" s="357">
        <v>0</v>
      </c>
      <c r="EX230" s="357">
        <v>2750000</v>
      </c>
      <c r="EY230" s="357">
        <v>99239748</v>
      </c>
      <c r="EZ230" s="357">
        <v>0</v>
      </c>
      <c r="FA230" s="357">
        <v>0</v>
      </c>
      <c r="FB230" s="357">
        <v>99239748</v>
      </c>
      <c r="FC230" s="277">
        <v>0</v>
      </c>
      <c r="FD230" s="205"/>
    </row>
    <row r="231" spans="1:160" ht="12.75">
      <c r="A231" s="169">
        <v>224</v>
      </c>
      <c r="B231" s="172" t="s">
        <v>377</v>
      </c>
      <c r="C231" s="258" t="s">
        <v>378</v>
      </c>
      <c r="D231" s="235">
        <v>41606</v>
      </c>
      <c r="E231" s="357">
        <v>252693892</v>
      </c>
      <c r="F231" s="357">
        <v>0</v>
      </c>
      <c r="G231" s="357">
        <v>0</v>
      </c>
      <c r="H231" s="357">
        <v>252693892</v>
      </c>
      <c r="I231" s="357">
        <v>119018823</v>
      </c>
      <c r="J231" s="357">
        <v>0</v>
      </c>
      <c r="K231" s="357">
        <v>0</v>
      </c>
      <c r="L231" s="357">
        <v>990277.5</v>
      </c>
      <c r="M231" s="357">
        <v>0</v>
      </c>
      <c r="N231" s="357">
        <v>0</v>
      </c>
      <c r="O231" s="357">
        <v>120009101</v>
      </c>
      <c r="P231" s="357">
        <v>0</v>
      </c>
      <c r="Q231" s="357">
        <v>0</v>
      </c>
      <c r="R231" s="357">
        <v>120009101</v>
      </c>
      <c r="S231" s="357">
        <v>71497</v>
      </c>
      <c r="T231" s="357">
        <v>0</v>
      </c>
      <c r="U231" s="357">
        <v>0</v>
      </c>
      <c r="V231" s="357">
        <v>71497</v>
      </c>
      <c r="W231" s="357">
        <v>56790</v>
      </c>
      <c r="X231" s="357">
        <v>0</v>
      </c>
      <c r="Y231" s="357">
        <v>0</v>
      </c>
      <c r="Z231" s="357">
        <v>56790</v>
      </c>
      <c r="AA231" s="357">
        <v>14707</v>
      </c>
      <c r="AB231" s="357">
        <v>0</v>
      </c>
      <c r="AC231" s="357">
        <v>0</v>
      </c>
      <c r="AD231" s="357">
        <v>0</v>
      </c>
      <c r="AE231" s="357">
        <v>0</v>
      </c>
      <c r="AF231" s="357">
        <v>0</v>
      </c>
      <c r="AG231" s="357">
        <v>14707</v>
      </c>
      <c r="AH231" s="357">
        <v>0</v>
      </c>
      <c r="AI231" s="357">
        <v>0</v>
      </c>
      <c r="AJ231" s="357">
        <v>14707</v>
      </c>
      <c r="AK231" s="357">
        <v>14707</v>
      </c>
      <c r="AL231" s="357">
        <v>0</v>
      </c>
      <c r="AM231" s="357">
        <v>0</v>
      </c>
      <c r="AN231" s="357">
        <v>14707</v>
      </c>
      <c r="AO231" s="357">
        <v>6110591</v>
      </c>
      <c r="AP231" s="357">
        <v>0</v>
      </c>
      <c r="AQ231" s="357">
        <v>0</v>
      </c>
      <c r="AR231" s="357">
        <v>6110591</v>
      </c>
      <c r="AS231" s="357">
        <v>20000</v>
      </c>
      <c r="AT231" s="357">
        <v>0</v>
      </c>
      <c r="AU231" s="357">
        <v>0</v>
      </c>
      <c r="AV231" s="357">
        <v>20000</v>
      </c>
      <c r="AW231" s="357">
        <v>2342393</v>
      </c>
      <c r="AX231" s="357">
        <v>0</v>
      </c>
      <c r="AY231" s="357">
        <v>0</v>
      </c>
      <c r="AZ231" s="357">
        <v>2342393</v>
      </c>
      <c r="BA231" s="357">
        <v>3768198</v>
      </c>
      <c r="BB231" s="357">
        <v>0</v>
      </c>
      <c r="BC231" s="357">
        <v>0</v>
      </c>
      <c r="BD231" s="357">
        <v>3768198</v>
      </c>
      <c r="BE231" s="357">
        <v>4253011</v>
      </c>
      <c r="BF231" s="357">
        <v>0</v>
      </c>
      <c r="BG231" s="357">
        <v>0</v>
      </c>
      <c r="BH231" s="357">
        <v>4253011</v>
      </c>
      <c r="BI231" s="357">
        <v>91754</v>
      </c>
      <c r="BJ231" s="357">
        <v>0</v>
      </c>
      <c r="BK231" s="357">
        <v>0</v>
      </c>
      <c r="BL231" s="357">
        <v>91754</v>
      </c>
      <c r="BM231" s="357">
        <v>0</v>
      </c>
      <c r="BN231" s="357">
        <v>0</v>
      </c>
      <c r="BO231" s="357">
        <v>0</v>
      </c>
      <c r="BP231" s="357">
        <v>0</v>
      </c>
      <c r="BQ231" s="357">
        <v>8112963</v>
      </c>
      <c r="BR231" s="357">
        <v>0</v>
      </c>
      <c r="BS231" s="357">
        <v>0</v>
      </c>
      <c r="BT231" s="357">
        <v>300000</v>
      </c>
      <c r="BU231" s="357">
        <v>0</v>
      </c>
      <c r="BV231" s="357">
        <v>0</v>
      </c>
      <c r="BW231" s="357">
        <v>8412963</v>
      </c>
      <c r="BX231" s="357">
        <v>0</v>
      </c>
      <c r="BY231" s="357">
        <v>0</v>
      </c>
      <c r="BZ231" s="357">
        <v>8412963</v>
      </c>
      <c r="CA231" s="357">
        <v>264212</v>
      </c>
      <c r="CB231" s="357">
        <v>0</v>
      </c>
      <c r="CC231" s="357">
        <v>0</v>
      </c>
      <c r="CD231" s="357">
        <v>264212</v>
      </c>
      <c r="CE231" s="357">
        <v>4815144</v>
      </c>
      <c r="CF231" s="357">
        <v>0</v>
      </c>
      <c r="CG231" s="357">
        <v>0</v>
      </c>
      <c r="CH231" s="357">
        <v>4815144</v>
      </c>
      <c r="CI231" s="357">
        <v>5079356</v>
      </c>
      <c r="CJ231" s="357">
        <v>0</v>
      </c>
      <c r="CK231" s="357">
        <v>0</v>
      </c>
      <c r="CL231" s="357">
        <v>254000</v>
      </c>
      <c r="CM231" s="357">
        <v>0</v>
      </c>
      <c r="CN231" s="357">
        <v>0</v>
      </c>
      <c r="CO231" s="357">
        <v>5333356</v>
      </c>
      <c r="CP231" s="357">
        <v>0</v>
      </c>
      <c r="CQ231" s="357">
        <v>0</v>
      </c>
      <c r="CR231" s="357">
        <v>5333356</v>
      </c>
      <c r="CS231" s="357">
        <v>335895</v>
      </c>
      <c r="CT231" s="357">
        <v>0</v>
      </c>
      <c r="CU231" s="357">
        <v>0</v>
      </c>
      <c r="CV231" s="357">
        <v>335895</v>
      </c>
      <c r="CW231" s="357">
        <v>147325</v>
      </c>
      <c r="CX231" s="357">
        <v>0</v>
      </c>
      <c r="CY231" s="357">
        <v>0</v>
      </c>
      <c r="CZ231" s="357">
        <v>147325</v>
      </c>
      <c r="DA231" s="357">
        <v>10000</v>
      </c>
      <c r="DB231" s="357">
        <v>0</v>
      </c>
      <c r="DC231" s="357">
        <v>0</v>
      </c>
      <c r="DD231" s="357">
        <v>10000</v>
      </c>
      <c r="DE231" s="357">
        <v>0</v>
      </c>
      <c r="DF231" s="357">
        <v>0</v>
      </c>
      <c r="DG231" s="357">
        <v>0</v>
      </c>
      <c r="DH231" s="357">
        <v>0</v>
      </c>
      <c r="DI231" s="357">
        <v>0</v>
      </c>
      <c r="DJ231" s="357">
        <v>0</v>
      </c>
      <c r="DK231" s="357">
        <v>0</v>
      </c>
      <c r="DL231" s="357">
        <v>0</v>
      </c>
      <c r="DM231" s="357">
        <v>0</v>
      </c>
      <c r="DN231" s="357">
        <v>0</v>
      </c>
      <c r="DO231" s="357">
        <v>0</v>
      </c>
      <c r="DP231" s="357">
        <v>0</v>
      </c>
      <c r="DQ231" s="357">
        <v>493220</v>
      </c>
      <c r="DR231" s="357">
        <v>0</v>
      </c>
      <c r="DS231" s="357">
        <v>0</v>
      </c>
      <c r="DT231" s="357">
        <v>0</v>
      </c>
      <c r="DU231" s="357">
        <v>0</v>
      </c>
      <c r="DV231" s="357">
        <v>0</v>
      </c>
      <c r="DW231" s="357">
        <v>493220</v>
      </c>
      <c r="DX231" s="357">
        <v>0</v>
      </c>
      <c r="DY231" s="357">
        <v>0</v>
      </c>
      <c r="DZ231" s="357">
        <v>493220</v>
      </c>
      <c r="EA231" s="357">
        <v>0</v>
      </c>
      <c r="EB231" s="357">
        <v>0</v>
      </c>
      <c r="EC231" s="357">
        <v>96400</v>
      </c>
      <c r="ED231" s="357">
        <v>0</v>
      </c>
      <c r="EE231" s="357">
        <v>0</v>
      </c>
      <c r="EF231" s="357">
        <v>96400</v>
      </c>
      <c r="EG231" s="357">
        <v>16000</v>
      </c>
      <c r="EH231" s="357">
        <v>0</v>
      </c>
      <c r="EI231" s="357">
        <v>0</v>
      </c>
      <c r="EJ231" s="357">
        <v>16000</v>
      </c>
      <c r="EK231" s="357">
        <v>600000</v>
      </c>
      <c r="EL231" s="357">
        <v>0</v>
      </c>
      <c r="EM231" s="357">
        <v>0</v>
      </c>
      <c r="EN231" s="357">
        <v>600000</v>
      </c>
      <c r="EO231" s="357">
        <v>712400</v>
      </c>
      <c r="EP231" s="357">
        <v>0</v>
      </c>
      <c r="EQ231" s="357">
        <v>0</v>
      </c>
      <c r="ER231" s="357">
        <v>0</v>
      </c>
      <c r="ES231" s="357">
        <v>0</v>
      </c>
      <c r="ET231" s="357">
        <v>0</v>
      </c>
      <c r="EU231" s="357">
        <v>712400</v>
      </c>
      <c r="EV231" s="357">
        <v>0</v>
      </c>
      <c r="EW231" s="357">
        <v>0</v>
      </c>
      <c r="EX231" s="357">
        <v>712400</v>
      </c>
      <c r="EY231" s="357">
        <v>105042455</v>
      </c>
      <c r="EZ231" s="357">
        <v>0</v>
      </c>
      <c r="FA231" s="357">
        <v>0</v>
      </c>
      <c r="FB231" s="357">
        <v>105042455</v>
      </c>
      <c r="FC231" s="277">
        <v>0</v>
      </c>
      <c r="FD231" s="205"/>
    </row>
    <row r="232" spans="1:160" ht="12.75">
      <c r="A232" s="169">
        <v>225</v>
      </c>
      <c r="B232" s="172" t="s">
        <v>379</v>
      </c>
      <c r="C232" s="258" t="s">
        <v>380</v>
      </c>
      <c r="D232" s="235">
        <v>41639</v>
      </c>
      <c r="E232" s="357">
        <v>86808372</v>
      </c>
      <c r="F232" s="357">
        <v>0</v>
      </c>
      <c r="G232" s="357">
        <v>0</v>
      </c>
      <c r="H232" s="357">
        <v>86808372</v>
      </c>
      <c r="I232" s="357">
        <v>40886743</v>
      </c>
      <c r="J232" s="357">
        <v>0</v>
      </c>
      <c r="K232" s="357">
        <v>0</v>
      </c>
      <c r="L232" s="357">
        <v>537350</v>
      </c>
      <c r="M232" s="357">
        <v>0</v>
      </c>
      <c r="N232" s="357">
        <v>0</v>
      </c>
      <c r="O232" s="357">
        <v>41424093</v>
      </c>
      <c r="P232" s="357">
        <v>0</v>
      </c>
      <c r="Q232" s="357">
        <v>0</v>
      </c>
      <c r="R232" s="357">
        <v>41424093</v>
      </c>
      <c r="S232" s="357">
        <v>174220</v>
      </c>
      <c r="T232" s="357">
        <v>0</v>
      </c>
      <c r="U232" s="357">
        <v>0</v>
      </c>
      <c r="V232" s="357">
        <v>174220</v>
      </c>
      <c r="W232" s="357">
        <v>3181</v>
      </c>
      <c r="X232" s="357">
        <v>0</v>
      </c>
      <c r="Y232" s="357">
        <v>0</v>
      </c>
      <c r="Z232" s="357">
        <v>3181</v>
      </c>
      <c r="AA232" s="357">
        <v>171039</v>
      </c>
      <c r="AB232" s="357">
        <v>0</v>
      </c>
      <c r="AC232" s="357">
        <v>0</v>
      </c>
      <c r="AD232" s="357">
        <v>0</v>
      </c>
      <c r="AE232" s="357">
        <v>0</v>
      </c>
      <c r="AF232" s="357">
        <v>0</v>
      </c>
      <c r="AG232" s="357">
        <v>171039</v>
      </c>
      <c r="AH232" s="357">
        <v>0</v>
      </c>
      <c r="AI232" s="357">
        <v>0</v>
      </c>
      <c r="AJ232" s="357">
        <v>171039</v>
      </c>
      <c r="AK232" s="357">
        <v>171039</v>
      </c>
      <c r="AL232" s="357">
        <v>0</v>
      </c>
      <c r="AM232" s="357">
        <v>0</v>
      </c>
      <c r="AN232" s="357">
        <v>171039</v>
      </c>
      <c r="AO232" s="357">
        <v>4884728</v>
      </c>
      <c r="AP232" s="357">
        <v>0</v>
      </c>
      <c r="AQ232" s="357">
        <v>0</v>
      </c>
      <c r="AR232" s="357">
        <v>4884728</v>
      </c>
      <c r="AS232" s="357">
        <v>5000</v>
      </c>
      <c r="AT232" s="357">
        <v>0</v>
      </c>
      <c r="AU232" s="357">
        <v>0</v>
      </c>
      <c r="AV232" s="357">
        <v>5000</v>
      </c>
      <c r="AW232" s="357">
        <v>701154</v>
      </c>
      <c r="AX232" s="357">
        <v>0</v>
      </c>
      <c r="AY232" s="357">
        <v>0</v>
      </c>
      <c r="AZ232" s="357">
        <v>701154</v>
      </c>
      <c r="BA232" s="357">
        <v>4183574</v>
      </c>
      <c r="BB232" s="357">
        <v>0</v>
      </c>
      <c r="BC232" s="357">
        <v>0</v>
      </c>
      <c r="BD232" s="357">
        <v>4183574</v>
      </c>
      <c r="BE232" s="357">
        <v>1514023</v>
      </c>
      <c r="BF232" s="357">
        <v>0</v>
      </c>
      <c r="BG232" s="357">
        <v>0</v>
      </c>
      <c r="BH232" s="357">
        <v>1514023</v>
      </c>
      <c r="BI232" s="357">
        <v>140217</v>
      </c>
      <c r="BJ232" s="357">
        <v>0</v>
      </c>
      <c r="BK232" s="357">
        <v>0</v>
      </c>
      <c r="BL232" s="357">
        <v>140217</v>
      </c>
      <c r="BM232" s="357">
        <v>30108</v>
      </c>
      <c r="BN232" s="357">
        <v>0</v>
      </c>
      <c r="BO232" s="357">
        <v>0</v>
      </c>
      <c r="BP232" s="357">
        <v>30108</v>
      </c>
      <c r="BQ232" s="357">
        <v>5867922</v>
      </c>
      <c r="BR232" s="357">
        <v>0</v>
      </c>
      <c r="BS232" s="357">
        <v>0</v>
      </c>
      <c r="BT232" s="357">
        <v>130236</v>
      </c>
      <c r="BU232" s="357">
        <v>0</v>
      </c>
      <c r="BV232" s="357">
        <v>0</v>
      </c>
      <c r="BW232" s="357">
        <v>5998158</v>
      </c>
      <c r="BX232" s="357">
        <v>0</v>
      </c>
      <c r="BY232" s="357">
        <v>0</v>
      </c>
      <c r="BZ232" s="357">
        <v>5998158</v>
      </c>
      <c r="CA232" s="357">
        <v>11400</v>
      </c>
      <c r="CB232" s="357">
        <v>0</v>
      </c>
      <c r="CC232" s="357">
        <v>0</v>
      </c>
      <c r="CD232" s="357">
        <v>11400</v>
      </c>
      <c r="CE232" s="357">
        <v>720379</v>
      </c>
      <c r="CF232" s="357">
        <v>0</v>
      </c>
      <c r="CG232" s="357">
        <v>0</v>
      </c>
      <c r="CH232" s="357">
        <v>720379</v>
      </c>
      <c r="CI232" s="357">
        <v>731779</v>
      </c>
      <c r="CJ232" s="357">
        <v>0</v>
      </c>
      <c r="CK232" s="357">
        <v>0</v>
      </c>
      <c r="CL232" s="357">
        <v>0</v>
      </c>
      <c r="CM232" s="357">
        <v>0</v>
      </c>
      <c r="CN232" s="357">
        <v>0</v>
      </c>
      <c r="CO232" s="357">
        <v>731779</v>
      </c>
      <c r="CP232" s="357">
        <v>0</v>
      </c>
      <c r="CQ232" s="357">
        <v>0</v>
      </c>
      <c r="CR232" s="357">
        <v>731779</v>
      </c>
      <c r="CS232" s="357">
        <v>135738</v>
      </c>
      <c r="CT232" s="357">
        <v>0</v>
      </c>
      <c r="CU232" s="357">
        <v>0</v>
      </c>
      <c r="CV232" s="357">
        <v>135738</v>
      </c>
      <c r="CW232" s="357">
        <v>63047</v>
      </c>
      <c r="CX232" s="357">
        <v>0</v>
      </c>
      <c r="CY232" s="357">
        <v>0</v>
      </c>
      <c r="CZ232" s="357">
        <v>63047</v>
      </c>
      <c r="DA232" s="357">
        <v>0</v>
      </c>
      <c r="DB232" s="357">
        <v>0</v>
      </c>
      <c r="DC232" s="357">
        <v>0</v>
      </c>
      <c r="DD232" s="357">
        <v>0</v>
      </c>
      <c r="DE232" s="357">
        <v>1195</v>
      </c>
      <c r="DF232" s="357">
        <v>0</v>
      </c>
      <c r="DG232" s="357">
        <v>0</v>
      </c>
      <c r="DH232" s="357">
        <v>1195</v>
      </c>
      <c r="DI232" s="357">
        <v>0</v>
      </c>
      <c r="DJ232" s="357">
        <v>0</v>
      </c>
      <c r="DK232" s="357">
        <v>0</v>
      </c>
      <c r="DL232" s="357">
        <v>0</v>
      </c>
      <c r="DM232" s="357">
        <v>0</v>
      </c>
      <c r="DN232" s="357">
        <v>0</v>
      </c>
      <c r="DO232" s="357">
        <v>0</v>
      </c>
      <c r="DP232" s="357">
        <v>0</v>
      </c>
      <c r="DQ232" s="357">
        <v>199980</v>
      </c>
      <c r="DR232" s="357">
        <v>0</v>
      </c>
      <c r="DS232" s="357">
        <v>0</v>
      </c>
      <c r="DT232" s="357">
        <v>0</v>
      </c>
      <c r="DU232" s="357">
        <v>0</v>
      </c>
      <c r="DV232" s="357">
        <v>0</v>
      </c>
      <c r="DW232" s="357">
        <v>199980</v>
      </c>
      <c r="DX232" s="357">
        <v>0</v>
      </c>
      <c r="DY232" s="357">
        <v>0</v>
      </c>
      <c r="DZ232" s="357">
        <v>199980</v>
      </c>
      <c r="EA232" s="357">
        <v>0</v>
      </c>
      <c r="EB232" s="357">
        <v>0</v>
      </c>
      <c r="EC232" s="357">
        <v>135442</v>
      </c>
      <c r="ED232" s="357">
        <v>0</v>
      </c>
      <c r="EE232" s="357">
        <v>0</v>
      </c>
      <c r="EF232" s="357">
        <v>135442</v>
      </c>
      <c r="EG232" s="357">
        <v>10000</v>
      </c>
      <c r="EH232" s="357">
        <v>0</v>
      </c>
      <c r="EI232" s="357">
        <v>0</v>
      </c>
      <c r="EJ232" s="357">
        <v>10000</v>
      </c>
      <c r="EK232" s="357">
        <v>681342</v>
      </c>
      <c r="EL232" s="357">
        <v>0</v>
      </c>
      <c r="EM232" s="357">
        <v>0</v>
      </c>
      <c r="EN232" s="357">
        <v>681342</v>
      </c>
      <c r="EO232" s="357">
        <v>826784</v>
      </c>
      <c r="EP232" s="357">
        <v>0</v>
      </c>
      <c r="EQ232" s="357">
        <v>0</v>
      </c>
      <c r="ER232" s="357">
        <v>0</v>
      </c>
      <c r="ES232" s="357">
        <v>0</v>
      </c>
      <c r="ET232" s="357">
        <v>0</v>
      </c>
      <c r="EU232" s="357">
        <v>826784</v>
      </c>
      <c r="EV232" s="357">
        <v>0</v>
      </c>
      <c r="EW232" s="357">
        <v>0</v>
      </c>
      <c r="EX232" s="357">
        <v>826784</v>
      </c>
      <c r="EY232" s="357">
        <v>33496353</v>
      </c>
      <c r="EZ232" s="357">
        <v>0</v>
      </c>
      <c r="FA232" s="357">
        <v>0</v>
      </c>
      <c r="FB232" s="357">
        <v>33496353</v>
      </c>
      <c r="FC232" s="277">
        <v>0</v>
      </c>
      <c r="FD232" s="205"/>
    </row>
    <row r="233" spans="1:160" ht="12.75">
      <c r="A233" s="169">
        <v>226</v>
      </c>
      <c r="B233" s="172" t="s">
        <v>381</v>
      </c>
      <c r="C233" s="258" t="s">
        <v>383</v>
      </c>
      <c r="D233" s="235">
        <v>41632</v>
      </c>
      <c r="E233" s="357">
        <v>91432586</v>
      </c>
      <c r="F233" s="357">
        <v>0</v>
      </c>
      <c r="G233" s="357">
        <v>0</v>
      </c>
      <c r="H233" s="357">
        <v>91432586</v>
      </c>
      <c r="I233" s="357">
        <v>43064748</v>
      </c>
      <c r="J233" s="357">
        <v>0</v>
      </c>
      <c r="K233" s="357">
        <v>0</v>
      </c>
      <c r="L233" s="357">
        <v>565000</v>
      </c>
      <c r="M233" s="357">
        <v>0</v>
      </c>
      <c r="N233" s="357">
        <v>0</v>
      </c>
      <c r="O233" s="357">
        <v>43629748</v>
      </c>
      <c r="P233" s="357">
        <v>0</v>
      </c>
      <c r="Q233" s="357">
        <v>0</v>
      </c>
      <c r="R233" s="357">
        <v>43629748</v>
      </c>
      <c r="S233" s="357">
        <v>113754</v>
      </c>
      <c r="T233" s="357">
        <v>0</v>
      </c>
      <c r="U233" s="357">
        <v>0</v>
      </c>
      <c r="V233" s="357">
        <v>113754</v>
      </c>
      <c r="W233" s="357">
        <v>11940</v>
      </c>
      <c r="X233" s="357">
        <v>0</v>
      </c>
      <c r="Y233" s="357">
        <v>0</v>
      </c>
      <c r="Z233" s="357">
        <v>11940</v>
      </c>
      <c r="AA233" s="357">
        <v>101814</v>
      </c>
      <c r="AB233" s="357">
        <v>0</v>
      </c>
      <c r="AC233" s="357">
        <v>0</v>
      </c>
      <c r="AD233" s="357">
        <v>0</v>
      </c>
      <c r="AE233" s="357">
        <v>0</v>
      </c>
      <c r="AF233" s="357">
        <v>0</v>
      </c>
      <c r="AG233" s="357">
        <v>101814</v>
      </c>
      <c r="AH233" s="357">
        <v>0</v>
      </c>
      <c r="AI233" s="357">
        <v>0</v>
      </c>
      <c r="AJ233" s="357">
        <v>101814</v>
      </c>
      <c r="AK233" s="357">
        <v>101814</v>
      </c>
      <c r="AL233" s="357">
        <v>0</v>
      </c>
      <c r="AM233" s="357">
        <v>0</v>
      </c>
      <c r="AN233" s="357">
        <v>101814</v>
      </c>
      <c r="AO233" s="357">
        <v>2576776</v>
      </c>
      <c r="AP233" s="357">
        <v>0</v>
      </c>
      <c r="AQ233" s="357">
        <v>0</v>
      </c>
      <c r="AR233" s="357">
        <v>2576776</v>
      </c>
      <c r="AS233" s="357">
        <v>0</v>
      </c>
      <c r="AT233" s="357">
        <v>0</v>
      </c>
      <c r="AU233" s="357">
        <v>0</v>
      </c>
      <c r="AV233" s="357">
        <v>0</v>
      </c>
      <c r="AW233" s="357">
        <v>837754</v>
      </c>
      <c r="AX233" s="357">
        <v>0</v>
      </c>
      <c r="AY233" s="357">
        <v>0</v>
      </c>
      <c r="AZ233" s="357">
        <v>837754</v>
      </c>
      <c r="BA233" s="357">
        <v>1739022</v>
      </c>
      <c r="BB233" s="357">
        <v>0</v>
      </c>
      <c r="BC233" s="357">
        <v>0</v>
      </c>
      <c r="BD233" s="357">
        <v>1739022</v>
      </c>
      <c r="BE233" s="357">
        <v>2023289</v>
      </c>
      <c r="BF233" s="357">
        <v>0</v>
      </c>
      <c r="BG233" s="357">
        <v>0</v>
      </c>
      <c r="BH233" s="357">
        <v>2023289</v>
      </c>
      <c r="BI233" s="357">
        <v>28176</v>
      </c>
      <c r="BJ233" s="357">
        <v>0</v>
      </c>
      <c r="BK233" s="357">
        <v>0</v>
      </c>
      <c r="BL233" s="357">
        <v>28176</v>
      </c>
      <c r="BM233" s="357">
        <v>75384</v>
      </c>
      <c r="BN233" s="357">
        <v>0</v>
      </c>
      <c r="BO233" s="357">
        <v>0</v>
      </c>
      <c r="BP233" s="357">
        <v>75384</v>
      </c>
      <c r="BQ233" s="357">
        <v>3865871</v>
      </c>
      <c r="BR233" s="357">
        <v>0</v>
      </c>
      <c r="BS233" s="357">
        <v>0</v>
      </c>
      <c r="BT233" s="357">
        <v>734515</v>
      </c>
      <c r="BU233" s="357">
        <v>0</v>
      </c>
      <c r="BV233" s="357">
        <v>0</v>
      </c>
      <c r="BW233" s="357">
        <v>4600386</v>
      </c>
      <c r="BX233" s="357">
        <v>0</v>
      </c>
      <c r="BY233" s="357">
        <v>0</v>
      </c>
      <c r="BZ233" s="357">
        <v>4600386</v>
      </c>
      <c r="CA233" s="357">
        <v>0</v>
      </c>
      <c r="CB233" s="357">
        <v>0</v>
      </c>
      <c r="CC233" s="357">
        <v>0</v>
      </c>
      <c r="CD233" s="357">
        <v>0</v>
      </c>
      <c r="CE233" s="357">
        <v>584075</v>
      </c>
      <c r="CF233" s="357">
        <v>0</v>
      </c>
      <c r="CG233" s="357">
        <v>0</v>
      </c>
      <c r="CH233" s="357">
        <v>584075</v>
      </c>
      <c r="CI233" s="357">
        <v>584075</v>
      </c>
      <c r="CJ233" s="357">
        <v>0</v>
      </c>
      <c r="CK233" s="357">
        <v>0</v>
      </c>
      <c r="CL233" s="357">
        <v>899475</v>
      </c>
      <c r="CM233" s="357">
        <v>0</v>
      </c>
      <c r="CN233" s="357">
        <v>0</v>
      </c>
      <c r="CO233" s="357">
        <v>1483550</v>
      </c>
      <c r="CP233" s="357">
        <v>0</v>
      </c>
      <c r="CQ233" s="357">
        <v>0</v>
      </c>
      <c r="CR233" s="357">
        <v>1483550</v>
      </c>
      <c r="CS233" s="357">
        <v>63359</v>
      </c>
      <c r="CT233" s="357">
        <v>0</v>
      </c>
      <c r="CU233" s="357">
        <v>0</v>
      </c>
      <c r="CV233" s="357">
        <v>63359</v>
      </c>
      <c r="CW233" s="357">
        <v>9366</v>
      </c>
      <c r="CX233" s="357">
        <v>0</v>
      </c>
      <c r="CY233" s="357">
        <v>0</v>
      </c>
      <c r="CZ233" s="357">
        <v>9366</v>
      </c>
      <c r="DA233" s="357">
        <v>0</v>
      </c>
      <c r="DB233" s="357">
        <v>0</v>
      </c>
      <c r="DC233" s="357">
        <v>0</v>
      </c>
      <c r="DD233" s="357">
        <v>0</v>
      </c>
      <c r="DE233" s="357">
        <v>38535</v>
      </c>
      <c r="DF233" s="357">
        <v>0</v>
      </c>
      <c r="DG233" s="357">
        <v>0</v>
      </c>
      <c r="DH233" s="357">
        <v>38535</v>
      </c>
      <c r="DI233" s="357">
        <v>358</v>
      </c>
      <c r="DJ233" s="357">
        <v>0</v>
      </c>
      <c r="DK233" s="357">
        <v>0</v>
      </c>
      <c r="DL233" s="357">
        <v>358</v>
      </c>
      <c r="DM233" s="357">
        <v>0</v>
      </c>
      <c r="DN233" s="357">
        <v>0</v>
      </c>
      <c r="DO233" s="357">
        <v>0</v>
      </c>
      <c r="DP233" s="357">
        <v>0</v>
      </c>
      <c r="DQ233" s="357">
        <v>111618</v>
      </c>
      <c r="DR233" s="357">
        <v>0</v>
      </c>
      <c r="DS233" s="357">
        <v>0</v>
      </c>
      <c r="DT233" s="357">
        <v>0</v>
      </c>
      <c r="DU233" s="357">
        <v>0</v>
      </c>
      <c r="DV233" s="357">
        <v>0</v>
      </c>
      <c r="DW233" s="357">
        <v>111618</v>
      </c>
      <c r="DX233" s="357">
        <v>0</v>
      </c>
      <c r="DY233" s="357">
        <v>0</v>
      </c>
      <c r="DZ233" s="357">
        <v>111618</v>
      </c>
      <c r="EA233" s="357">
        <v>0</v>
      </c>
      <c r="EB233" s="357">
        <v>0</v>
      </c>
      <c r="EC233" s="357">
        <v>40488</v>
      </c>
      <c r="ED233" s="357">
        <v>0</v>
      </c>
      <c r="EE233" s="357">
        <v>0</v>
      </c>
      <c r="EF233" s="357">
        <v>40488</v>
      </c>
      <c r="EG233" s="357">
        <v>0</v>
      </c>
      <c r="EH233" s="357">
        <v>0</v>
      </c>
      <c r="EI233" s="357">
        <v>0</v>
      </c>
      <c r="EJ233" s="357">
        <v>0</v>
      </c>
      <c r="EK233" s="357">
        <v>457000</v>
      </c>
      <c r="EL233" s="357">
        <v>0</v>
      </c>
      <c r="EM233" s="357">
        <v>0</v>
      </c>
      <c r="EN233" s="357">
        <v>457000</v>
      </c>
      <c r="EO233" s="357">
        <v>497488</v>
      </c>
      <c r="EP233" s="357">
        <v>0</v>
      </c>
      <c r="EQ233" s="357">
        <v>0</v>
      </c>
      <c r="ER233" s="357">
        <v>0</v>
      </c>
      <c r="ES233" s="357">
        <v>0</v>
      </c>
      <c r="ET233" s="357">
        <v>0</v>
      </c>
      <c r="EU233" s="357">
        <v>497488</v>
      </c>
      <c r="EV233" s="357">
        <v>0</v>
      </c>
      <c r="EW233" s="357">
        <v>0</v>
      </c>
      <c r="EX233" s="357">
        <v>497488</v>
      </c>
      <c r="EY233" s="357">
        <v>36834892</v>
      </c>
      <c r="EZ233" s="357">
        <v>0</v>
      </c>
      <c r="FA233" s="357">
        <v>0</v>
      </c>
      <c r="FB233" s="357">
        <v>36834892</v>
      </c>
      <c r="FC233" s="277">
        <v>0</v>
      </c>
      <c r="FD233" s="205"/>
    </row>
    <row r="234" spans="1:160" ht="12.75">
      <c r="A234" s="169">
        <v>227</v>
      </c>
      <c r="B234" s="172" t="s">
        <v>384</v>
      </c>
      <c r="C234" s="258" t="s">
        <v>385</v>
      </c>
      <c r="D234" s="235">
        <v>41639</v>
      </c>
      <c r="E234" s="357">
        <v>177334876</v>
      </c>
      <c r="F234" s="357">
        <v>0</v>
      </c>
      <c r="G234" s="357">
        <v>0</v>
      </c>
      <c r="H234" s="357">
        <v>177334876</v>
      </c>
      <c r="I234" s="357">
        <v>83524727</v>
      </c>
      <c r="J234" s="357">
        <v>0</v>
      </c>
      <c r="K234" s="357">
        <v>0</v>
      </c>
      <c r="L234" s="357">
        <v>-1252871</v>
      </c>
      <c r="M234" s="357">
        <v>0</v>
      </c>
      <c r="N234" s="357">
        <v>0</v>
      </c>
      <c r="O234" s="357">
        <v>82271856</v>
      </c>
      <c r="P234" s="357">
        <v>0</v>
      </c>
      <c r="Q234" s="357">
        <v>0</v>
      </c>
      <c r="R234" s="357">
        <v>82271856</v>
      </c>
      <c r="S234" s="357">
        <v>70409</v>
      </c>
      <c r="T234" s="357">
        <v>0</v>
      </c>
      <c r="U234" s="357">
        <v>0</v>
      </c>
      <c r="V234" s="357">
        <v>70409</v>
      </c>
      <c r="W234" s="357">
        <v>49532</v>
      </c>
      <c r="X234" s="357">
        <v>0</v>
      </c>
      <c r="Y234" s="357">
        <v>0</v>
      </c>
      <c r="Z234" s="357">
        <v>49532</v>
      </c>
      <c r="AA234" s="357">
        <v>20877</v>
      </c>
      <c r="AB234" s="357">
        <v>0</v>
      </c>
      <c r="AC234" s="357">
        <v>0</v>
      </c>
      <c r="AD234" s="357">
        <v>0</v>
      </c>
      <c r="AE234" s="357">
        <v>0</v>
      </c>
      <c r="AF234" s="357">
        <v>0</v>
      </c>
      <c r="AG234" s="357">
        <v>20877</v>
      </c>
      <c r="AH234" s="357">
        <v>0</v>
      </c>
      <c r="AI234" s="357">
        <v>0</v>
      </c>
      <c r="AJ234" s="357">
        <v>20877</v>
      </c>
      <c r="AK234" s="357">
        <v>20877</v>
      </c>
      <c r="AL234" s="357">
        <v>0</v>
      </c>
      <c r="AM234" s="357">
        <v>0</v>
      </c>
      <c r="AN234" s="357">
        <v>20877</v>
      </c>
      <c r="AO234" s="357">
        <v>5340883</v>
      </c>
      <c r="AP234" s="357">
        <v>0</v>
      </c>
      <c r="AQ234" s="357">
        <v>0</v>
      </c>
      <c r="AR234" s="357">
        <v>5340883</v>
      </c>
      <c r="AS234" s="357">
        <v>15100</v>
      </c>
      <c r="AT234" s="357">
        <v>0</v>
      </c>
      <c r="AU234" s="357">
        <v>0</v>
      </c>
      <c r="AV234" s="357">
        <v>15100</v>
      </c>
      <c r="AW234" s="357">
        <v>1645788</v>
      </c>
      <c r="AX234" s="357">
        <v>0</v>
      </c>
      <c r="AY234" s="357">
        <v>0</v>
      </c>
      <c r="AZ234" s="357">
        <v>1645788</v>
      </c>
      <c r="BA234" s="357">
        <v>3695095</v>
      </c>
      <c r="BB234" s="357">
        <v>0</v>
      </c>
      <c r="BC234" s="357">
        <v>0</v>
      </c>
      <c r="BD234" s="357">
        <v>3695095</v>
      </c>
      <c r="BE234" s="357">
        <v>4404058</v>
      </c>
      <c r="BF234" s="357">
        <v>0</v>
      </c>
      <c r="BG234" s="357">
        <v>0</v>
      </c>
      <c r="BH234" s="357">
        <v>4404058</v>
      </c>
      <c r="BI234" s="357">
        <v>38066</v>
      </c>
      <c r="BJ234" s="357">
        <v>0</v>
      </c>
      <c r="BK234" s="357">
        <v>0</v>
      </c>
      <c r="BL234" s="357">
        <v>38066</v>
      </c>
      <c r="BM234" s="357">
        <v>1766</v>
      </c>
      <c r="BN234" s="357">
        <v>0</v>
      </c>
      <c r="BO234" s="357">
        <v>0</v>
      </c>
      <c r="BP234" s="357">
        <v>1766</v>
      </c>
      <c r="BQ234" s="357">
        <v>8138985</v>
      </c>
      <c r="BR234" s="357">
        <v>0</v>
      </c>
      <c r="BS234" s="357">
        <v>0</v>
      </c>
      <c r="BT234" s="357">
        <v>360000</v>
      </c>
      <c r="BU234" s="357">
        <v>0</v>
      </c>
      <c r="BV234" s="357">
        <v>0</v>
      </c>
      <c r="BW234" s="357">
        <v>8498985</v>
      </c>
      <c r="BX234" s="357">
        <v>0</v>
      </c>
      <c r="BY234" s="357">
        <v>0</v>
      </c>
      <c r="BZ234" s="357">
        <v>8498985</v>
      </c>
      <c r="CA234" s="357">
        <v>0</v>
      </c>
      <c r="CB234" s="357">
        <v>0</v>
      </c>
      <c r="CC234" s="357">
        <v>0</v>
      </c>
      <c r="CD234" s="357">
        <v>0</v>
      </c>
      <c r="CE234" s="357">
        <v>2950122</v>
      </c>
      <c r="CF234" s="357">
        <v>0</v>
      </c>
      <c r="CG234" s="357">
        <v>0</v>
      </c>
      <c r="CH234" s="357">
        <v>2950122</v>
      </c>
      <c r="CI234" s="357">
        <v>2950122</v>
      </c>
      <c r="CJ234" s="357">
        <v>0</v>
      </c>
      <c r="CK234" s="357">
        <v>0</v>
      </c>
      <c r="CL234" s="357">
        <v>1309878</v>
      </c>
      <c r="CM234" s="357">
        <v>0</v>
      </c>
      <c r="CN234" s="357">
        <v>0</v>
      </c>
      <c r="CO234" s="357">
        <v>4260000</v>
      </c>
      <c r="CP234" s="357">
        <v>0</v>
      </c>
      <c r="CQ234" s="357">
        <v>0</v>
      </c>
      <c r="CR234" s="357">
        <v>4260000</v>
      </c>
      <c r="CS234" s="357">
        <v>240214</v>
      </c>
      <c r="CT234" s="357">
        <v>0</v>
      </c>
      <c r="CU234" s="357">
        <v>0</v>
      </c>
      <c r="CV234" s="357">
        <v>240214</v>
      </c>
      <c r="CW234" s="357">
        <v>57594</v>
      </c>
      <c r="CX234" s="357">
        <v>0</v>
      </c>
      <c r="CY234" s="357">
        <v>0</v>
      </c>
      <c r="CZ234" s="357">
        <v>57594</v>
      </c>
      <c r="DA234" s="357">
        <v>0</v>
      </c>
      <c r="DB234" s="357">
        <v>0</v>
      </c>
      <c r="DC234" s="357">
        <v>0</v>
      </c>
      <c r="DD234" s="357">
        <v>0</v>
      </c>
      <c r="DE234" s="357">
        <v>0</v>
      </c>
      <c r="DF234" s="357">
        <v>0</v>
      </c>
      <c r="DG234" s="357">
        <v>0</v>
      </c>
      <c r="DH234" s="357">
        <v>0</v>
      </c>
      <c r="DI234" s="357">
        <v>0</v>
      </c>
      <c r="DJ234" s="357">
        <v>0</v>
      </c>
      <c r="DK234" s="357">
        <v>0</v>
      </c>
      <c r="DL234" s="357">
        <v>0</v>
      </c>
      <c r="DM234" s="357">
        <v>0</v>
      </c>
      <c r="DN234" s="357">
        <v>0</v>
      </c>
      <c r="DO234" s="357">
        <v>0</v>
      </c>
      <c r="DP234" s="357">
        <v>0</v>
      </c>
      <c r="DQ234" s="357">
        <v>297808</v>
      </c>
      <c r="DR234" s="357">
        <v>0</v>
      </c>
      <c r="DS234" s="357">
        <v>0</v>
      </c>
      <c r="DT234" s="357">
        <v>0</v>
      </c>
      <c r="DU234" s="357">
        <v>0</v>
      </c>
      <c r="DV234" s="357">
        <v>0</v>
      </c>
      <c r="DW234" s="357">
        <v>297808</v>
      </c>
      <c r="DX234" s="357">
        <v>0</v>
      </c>
      <c r="DY234" s="357">
        <v>0</v>
      </c>
      <c r="DZ234" s="357">
        <v>297808</v>
      </c>
      <c r="EA234" s="357">
        <v>0</v>
      </c>
      <c r="EB234" s="357">
        <v>0</v>
      </c>
      <c r="EC234" s="357">
        <v>155547</v>
      </c>
      <c r="ED234" s="357">
        <v>0</v>
      </c>
      <c r="EE234" s="357">
        <v>0</v>
      </c>
      <c r="EF234" s="357">
        <v>155547</v>
      </c>
      <c r="EG234" s="357">
        <v>88715</v>
      </c>
      <c r="EH234" s="357">
        <v>0</v>
      </c>
      <c r="EI234" s="357">
        <v>0</v>
      </c>
      <c r="EJ234" s="357">
        <v>88715</v>
      </c>
      <c r="EK234" s="357">
        <v>1538419</v>
      </c>
      <c r="EL234" s="357">
        <v>0</v>
      </c>
      <c r="EM234" s="357">
        <v>0</v>
      </c>
      <c r="EN234" s="357">
        <v>1538419</v>
      </c>
      <c r="EO234" s="357">
        <v>1782681</v>
      </c>
      <c r="EP234" s="357">
        <v>0</v>
      </c>
      <c r="EQ234" s="357">
        <v>0</v>
      </c>
      <c r="ER234" s="357">
        <v>0</v>
      </c>
      <c r="ES234" s="357">
        <v>0</v>
      </c>
      <c r="ET234" s="357">
        <v>0</v>
      </c>
      <c r="EU234" s="357">
        <v>1782681</v>
      </c>
      <c r="EV234" s="357">
        <v>0</v>
      </c>
      <c r="EW234" s="357">
        <v>0</v>
      </c>
      <c r="EX234" s="357">
        <v>1782681</v>
      </c>
      <c r="EY234" s="357">
        <v>67411505</v>
      </c>
      <c r="EZ234" s="357">
        <v>0</v>
      </c>
      <c r="FA234" s="357">
        <v>0</v>
      </c>
      <c r="FB234" s="357">
        <v>67411505</v>
      </c>
      <c r="FC234" s="277">
        <v>0</v>
      </c>
      <c r="FD234" s="205"/>
    </row>
    <row r="235" spans="1:160" ht="12.75">
      <c r="A235" s="169">
        <v>228</v>
      </c>
      <c r="B235" s="172" t="s">
        <v>386</v>
      </c>
      <c r="C235" s="258" t="s">
        <v>387</v>
      </c>
      <c r="D235" s="235">
        <v>41639</v>
      </c>
      <c r="E235" s="357">
        <v>98019058</v>
      </c>
      <c r="F235" s="357">
        <v>0</v>
      </c>
      <c r="G235" s="357">
        <v>0</v>
      </c>
      <c r="H235" s="357">
        <v>98019058</v>
      </c>
      <c r="I235" s="357">
        <v>46166976</v>
      </c>
      <c r="J235" s="357">
        <v>0</v>
      </c>
      <c r="K235" s="357">
        <v>0</v>
      </c>
      <c r="L235" s="357">
        <v>9234</v>
      </c>
      <c r="M235" s="357">
        <v>0</v>
      </c>
      <c r="N235" s="357">
        <v>0</v>
      </c>
      <c r="O235" s="357">
        <v>46176210</v>
      </c>
      <c r="P235" s="357">
        <v>0</v>
      </c>
      <c r="Q235" s="357">
        <v>0</v>
      </c>
      <c r="R235" s="357">
        <v>46176210</v>
      </c>
      <c r="S235" s="357">
        <v>142079</v>
      </c>
      <c r="T235" s="357">
        <v>0</v>
      </c>
      <c r="U235" s="357">
        <v>0</v>
      </c>
      <c r="V235" s="357">
        <v>142079</v>
      </c>
      <c r="W235" s="357">
        <v>19525</v>
      </c>
      <c r="X235" s="357">
        <v>0</v>
      </c>
      <c r="Y235" s="357">
        <v>0</v>
      </c>
      <c r="Z235" s="357">
        <v>19525</v>
      </c>
      <c r="AA235" s="357">
        <v>122554</v>
      </c>
      <c r="AB235" s="357">
        <v>0</v>
      </c>
      <c r="AC235" s="357">
        <v>0</v>
      </c>
      <c r="AD235" s="357">
        <v>306</v>
      </c>
      <c r="AE235" s="357">
        <v>0</v>
      </c>
      <c r="AF235" s="357">
        <v>0</v>
      </c>
      <c r="AG235" s="357">
        <v>122860</v>
      </c>
      <c r="AH235" s="357">
        <v>0</v>
      </c>
      <c r="AI235" s="357">
        <v>0</v>
      </c>
      <c r="AJ235" s="357">
        <v>122860</v>
      </c>
      <c r="AK235" s="357">
        <v>122860</v>
      </c>
      <c r="AL235" s="357">
        <v>0</v>
      </c>
      <c r="AM235" s="357">
        <v>0</v>
      </c>
      <c r="AN235" s="357">
        <v>122860</v>
      </c>
      <c r="AO235" s="357">
        <v>1529038</v>
      </c>
      <c r="AP235" s="357">
        <v>0</v>
      </c>
      <c r="AQ235" s="357">
        <v>0</v>
      </c>
      <c r="AR235" s="357">
        <v>1529038</v>
      </c>
      <c r="AS235" s="357">
        <v>36738</v>
      </c>
      <c r="AT235" s="357">
        <v>0</v>
      </c>
      <c r="AU235" s="357">
        <v>0</v>
      </c>
      <c r="AV235" s="357">
        <v>36738</v>
      </c>
      <c r="AW235" s="357">
        <v>556285</v>
      </c>
      <c r="AX235" s="357">
        <v>0</v>
      </c>
      <c r="AY235" s="357">
        <v>0</v>
      </c>
      <c r="AZ235" s="357">
        <v>556285</v>
      </c>
      <c r="BA235" s="357">
        <v>972753</v>
      </c>
      <c r="BB235" s="357">
        <v>0</v>
      </c>
      <c r="BC235" s="357">
        <v>0</v>
      </c>
      <c r="BD235" s="357">
        <v>972753</v>
      </c>
      <c r="BE235" s="357">
        <v>902185</v>
      </c>
      <c r="BF235" s="357">
        <v>0</v>
      </c>
      <c r="BG235" s="357">
        <v>0</v>
      </c>
      <c r="BH235" s="357">
        <v>902185</v>
      </c>
      <c r="BI235" s="357">
        <v>41664</v>
      </c>
      <c r="BJ235" s="357">
        <v>0</v>
      </c>
      <c r="BK235" s="357">
        <v>0</v>
      </c>
      <c r="BL235" s="357">
        <v>41664</v>
      </c>
      <c r="BM235" s="357">
        <v>25526</v>
      </c>
      <c r="BN235" s="357">
        <v>0</v>
      </c>
      <c r="BO235" s="357">
        <v>0</v>
      </c>
      <c r="BP235" s="357">
        <v>25526</v>
      </c>
      <c r="BQ235" s="357">
        <v>1942128</v>
      </c>
      <c r="BR235" s="357">
        <v>0</v>
      </c>
      <c r="BS235" s="357">
        <v>0</v>
      </c>
      <c r="BT235" s="357">
        <v>388</v>
      </c>
      <c r="BU235" s="357">
        <v>0</v>
      </c>
      <c r="BV235" s="357">
        <v>0</v>
      </c>
      <c r="BW235" s="357">
        <v>1942516</v>
      </c>
      <c r="BX235" s="357">
        <v>0</v>
      </c>
      <c r="BY235" s="357">
        <v>0</v>
      </c>
      <c r="BZ235" s="357">
        <v>1942516</v>
      </c>
      <c r="CA235" s="357">
        <v>386924</v>
      </c>
      <c r="CB235" s="357">
        <v>0</v>
      </c>
      <c r="CC235" s="357">
        <v>0</v>
      </c>
      <c r="CD235" s="357">
        <v>386924</v>
      </c>
      <c r="CE235" s="357">
        <v>944798</v>
      </c>
      <c r="CF235" s="357">
        <v>0</v>
      </c>
      <c r="CG235" s="357">
        <v>0</v>
      </c>
      <c r="CH235" s="357">
        <v>944798</v>
      </c>
      <c r="CI235" s="357">
        <v>1331722</v>
      </c>
      <c r="CJ235" s="357">
        <v>0</v>
      </c>
      <c r="CK235" s="357">
        <v>0</v>
      </c>
      <c r="CL235" s="357">
        <v>266</v>
      </c>
      <c r="CM235" s="357">
        <v>0</v>
      </c>
      <c r="CN235" s="357">
        <v>0</v>
      </c>
      <c r="CO235" s="357">
        <v>1331988</v>
      </c>
      <c r="CP235" s="357">
        <v>0</v>
      </c>
      <c r="CQ235" s="357">
        <v>0</v>
      </c>
      <c r="CR235" s="357">
        <v>1331988</v>
      </c>
      <c r="CS235" s="357">
        <v>55127</v>
      </c>
      <c r="CT235" s="357">
        <v>0</v>
      </c>
      <c r="CU235" s="357">
        <v>0</v>
      </c>
      <c r="CV235" s="357">
        <v>55127</v>
      </c>
      <c r="CW235" s="357">
        <v>630</v>
      </c>
      <c r="CX235" s="357">
        <v>0</v>
      </c>
      <c r="CY235" s="357">
        <v>0</v>
      </c>
      <c r="CZ235" s="357">
        <v>630</v>
      </c>
      <c r="DA235" s="357">
        <v>275</v>
      </c>
      <c r="DB235" s="357">
        <v>0</v>
      </c>
      <c r="DC235" s="357">
        <v>0</v>
      </c>
      <c r="DD235" s="357">
        <v>275</v>
      </c>
      <c r="DE235" s="357">
        <v>14644</v>
      </c>
      <c r="DF235" s="357">
        <v>0</v>
      </c>
      <c r="DG235" s="357">
        <v>0</v>
      </c>
      <c r="DH235" s="357">
        <v>14644</v>
      </c>
      <c r="DI235" s="357">
        <v>0</v>
      </c>
      <c r="DJ235" s="357">
        <v>0</v>
      </c>
      <c r="DK235" s="357">
        <v>0</v>
      </c>
      <c r="DL235" s="357">
        <v>0</v>
      </c>
      <c r="DM235" s="357">
        <v>2683</v>
      </c>
      <c r="DN235" s="357">
        <v>0</v>
      </c>
      <c r="DO235" s="357">
        <v>0</v>
      </c>
      <c r="DP235" s="357">
        <v>2683</v>
      </c>
      <c r="DQ235" s="357">
        <v>73359</v>
      </c>
      <c r="DR235" s="357">
        <v>0</v>
      </c>
      <c r="DS235" s="357">
        <v>0</v>
      </c>
      <c r="DT235" s="357">
        <v>15</v>
      </c>
      <c r="DU235" s="357">
        <v>0</v>
      </c>
      <c r="DV235" s="357">
        <v>0</v>
      </c>
      <c r="DW235" s="357">
        <v>73374</v>
      </c>
      <c r="DX235" s="357">
        <v>0</v>
      </c>
      <c r="DY235" s="357">
        <v>0</v>
      </c>
      <c r="DZ235" s="357">
        <v>73374</v>
      </c>
      <c r="EA235" s="357">
        <v>0</v>
      </c>
      <c r="EB235" s="357">
        <v>0</v>
      </c>
      <c r="EC235" s="357">
        <v>10000</v>
      </c>
      <c r="ED235" s="357">
        <v>0</v>
      </c>
      <c r="EE235" s="357">
        <v>0</v>
      </c>
      <c r="EF235" s="357">
        <v>10000</v>
      </c>
      <c r="EG235" s="357">
        <v>11946</v>
      </c>
      <c r="EH235" s="357">
        <v>0</v>
      </c>
      <c r="EI235" s="357">
        <v>0</v>
      </c>
      <c r="EJ235" s="357">
        <v>11946</v>
      </c>
      <c r="EK235" s="357">
        <v>400000</v>
      </c>
      <c r="EL235" s="357">
        <v>0</v>
      </c>
      <c r="EM235" s="357">
        <v>0</v>
      </c>
      <c r="EN235" s="357">
        <v>400000</v>
      </c>
      <c r="EO235" s="357">
        <v>421946</v>
      </c>
      <c r="EP235" s="357">
        <v>0</v>
      </c>
      <c r="EQ235" s="357">
        <v>0</v>
      </c>
      <c r="ER235" s="357">
        <v>84.39</v>
      </c>
      <c r="ES235" s="357">
        <v>0</v>
      </c>
      <c r="ET235" s="357">
        <v>0</v>
      </c>
      <c r="EU235" s="357">
        <v>422030.39</v>
      </c>
      <c r="EV235" s="357">
        <v>0</v>
      </c>
      <c r="EW235" s="357">
        <v>0</v>
      </c>
      <c r="EX235" s="357">
        <v>422030.39</v>
      </c>
      <c r="EY235" s="357">
        <v>42283441.6</v>
      </c>
      <c r="EZ235" s="357">
        <v>0</v>
      </c>
      <c r="FA235" s="357">
        <v>0</v>
      </c>
      <c r="FB235" s="357">
        <v>42283441.6</v>
      </c>
      <c r="FC235" s="277">
        <v>0</v>
      </c>
      <c r="FD235" s="205"/>
    </row>
    <row r="236" spans="1:160" ht="12.75">
      <c r="A236" s="169">
        <v>229</v>
      </c>
      <c r="B236" s="172" t="s">
        <v>388</v>
      </c>
      <c r="C236" s="258" t="s">
        <v>389</v>
      </c>
      <c r="D236" s="235">
        <v>41654</v>
      </c>
      <c r="E236" s="357">
        <v>89457591</v>
      </c>
      <c r="F236" s="357">
        <v>0</v>
      </c>
      <c r="G236" s="357">
        <v>0</v>
      </c>
      <c r="H236" s="357">
        <v>89457591</v>
      </c>
      <c r="I236" s="357">
        <v>42134525</v>
      </c>
      <c r="J236" s="357">
        <v>0</v>
      </c>
      <c r="K236" s="357">
        <v>0</v>
      </c>
      <c r="L236" s="357">
        <v>0</v>
      </c>
      <c r="M236" s="357">
        <v>0</v>
      </c>
      <c r="N236" s="357">
        <v>0</v>
      </c>
      <c r="O236" s="357">
        <v>42134525</v>
      </c>
      <c r="P236" s="357">
        <v>0</v>
      </c>
      <c r="Q236" s="357">
        <v>0</v>
      </c>
      <c r="R236" s="357">
        <v>42134525</v>
      </c>
      <c r="S236" s="357">
        <v>59183</v>
      </c>
      <c r="T236" s="357">
        <v>0</v>
      </c>
      <c r="U236" s="357">
        <v>0</v>
      </c>
      <c r="V236" s="357">
        <v>59183</v>
      </c>
      <c r="W236" s="357">
        <v>2083</v>
      </c>
      <c r="X236" s="357">
        <v>0</v>
      </c>
      <c r="Y236" s="357">
        <v>0</v>
      </c>
      <c r="Z236" s="357">
        <v>2083</v>
      </c>
      <c r="AA236" s="357">
        <v>57100</v>
      </c>
      <c r="AB236" s="357">
        <v>0</v>
      </c>
      <c r="AC236" s="357">
        <v>0</v>
      </c>
      <c r="AD236" s="357">
        <v>0</v>
      </c>
      <c r="AE236" s="357">
        <v>0</v>
      </c>
      <c r="AF236" s="357">
        <v>0</v>
      </c>
      <c r="AG236" s="357">
        <v>57100</v>
      </c>
      <c r="AH236" s="357">
        <v>0</v>
      </c>
      <c r="AI236" s="357">
        <v>0</v>
      </c>
      <c r="AJ236" s="357">
        <v>57100</v>
      </c>
      <c r="AK236" s="357">
        <v>57100</v>
      </c>
      <c r="AL236" s="357">
        <v>0</v>
      </c>
      <c r="AM236" s="357">
        <v>0</v>
      </c>
      <c r="AN236" s="357">
        <v>57100</v>
      </c>
      <c r="AO236" s="357">
        <v>2252856</v>
      </c>
      <c r="AP236" s="357">
        <v>0</v>
      </c>
      <c r="AQ236" s="357">
        <v>0</v>
      </c>
      <c r="AR236" s="357">
        <v>2252856</v>
      </c>
      <c r="AS236" s="357">
        <v>7768</v>
      </c>
      <c r="AT236" s="357">
        <v>0</v>
      </c>
      <c r="AU236" s="357">
        <v>0</v>
      </c>
      <c r="AV236" s="357">
        <v>7768</v>
      </c>
      <c r="AW236" s="357">
        <v>800661.26</v>
      </c>
      <c r="AX236" s="357">
        <v>0</v>
      </c>
      <c r="AY236" s="357">
        <v>0</v>
      </c>
      <c r="AZ236" s="357">
        <v>800661.26</v>
      </c>
      <c r="BA236" s="357">
        <v>1452194.74</v>
      </c>
      <c r="BB236" s="357">
        <v>0</v>
      </c>
      <c r="BC236" s="357">
        <v>0</v>
      </c>
      <c r="BD236" s="357">
        <v>1452194.74</v>
      </c>
      <c r="BE236" s="357">
        <v>2560256</v>
      </c>
      <c r="BF236" s="357">
        <v>0</v>
      </c>
      <c r="BG236" s="357">
        <v>0</v>
      </c>
      <c r="BH236" s="357">
        <v>2560256</v>
      </c>
      <c r="BI236" s="357">
        <v>84667</v>
      </c>
      <c r="BJ236" s="357">
        <v>0</v>
      </c>
      <c r="BK236" s="357">
        <v>0</v>
      </c>
      <c r="BL236" s="357">
        <v>84667</v>
      </c>
      <c r="BM236" s="357">
        <v>13274</v>
      </c>
      <c r="BN236" s="357">
        <v>0</v>
      </c>
      <c r="BO236" s="357">
        <v>0</v>
      </c>
      <c r="BP236" s="357">
        <v>13274</v>
      </c>
      <c r="BQ236" s="357">
        <v>4110391.74</v>
      </c>
      <c r="BR236" s="357">
        <v>0</v>
      </c>
      <c r="BS236" s="357">
        <v>0</v>
      </c>
      <c r="BT236" s="357">
        <v>0</v>
      </c>
      <c r="BU236" s="357">
        <v>0</v>
      </c>
      <c r="BV236" s="357">
        <v>0</v>
      </c>
      <c r="BW236" s="357">
        <v>4110391.74</v>
      </c>
      <c r="BX236" s="357">
        <v>0</v>
      </c>
      <c r="BY236" s="357">
        <v>0</v>
      </c>
      <c r="BZ236" s="357">
        <v>4110391.74</v>
      </c>
      <c r="CA236" s="357">
        <v>98912</v>
      </c>
      <c r="CB236" s="357">
        <v>0</v>
      </c>
      <c r="CC236" s="357">
        <v>0</v>
      </c>
      <c r="CD236" s="357">
        <v>98912</v>
      </c>
      <c r="CE236" s="357">
        <v>1340714</v>
      </c>
      <c r="CF236" s="357">
        <v>0</v>
      </c>
      <c r="CG236" s="357">
        <v>0</v>
      </c>
      <c r="CH236" s="357">
        <v>1340714</v>
      </c>
      <c r="CI236" s="357">
        <v>1439626</v>
      </c>
      <c r="CJ236" s="357">
        <v>0</v>
      </c>
      <c r="CK236" s="357">
        <v>0</v>
      </c>
      <c r="CL236" s="357">
        <v>0</v>
      </c>
      <c r="CM236" s="357">
        <v>0</v>
      </c>
      <c r="CN236" s="357">
        <v>0</v>
      </c>
      <c r="CO236" s="357">
        <v>1439626</v>
      </c>
      <c r="CP236" s="357">
        <v>0</v>
      </c>
      <c r="CQ236" s="357">
        <v>0</v>
      </c>
      <c r="CR236" s="357">
        <v>1439626</v>
      </c>
      <c r="CS236" s="357">
        <v>122171</v>
      </c>
      <c r="CT236" s="357">
        <v>0</v>
      </c>
      <c r="CU236" s="357">
        <v>0</v>
      </c>
      <c r="CV236" s="357">
        <v>122171</v>
      </c>
      <c r="CW236" s="357">
        <v>30319</v>
      </c>
      <c r="CX236" s="357">
        <v>0</v>
      </c>
      <c r="CY236" s="357">
        <v>0</v>
      </c>
      <c r="CZ236" s="357">
        <v>30319</v>
      </c>
      <c r="DA236" s="357">
        <v>0</v>
      </c>
      <c r="DB236" s="357">
        <v>0</v>
      </c>
      <c r="DC236" s="357">
        <v>0</v>
      </c>
      <c r="DD236" s="357">
        <v>0</v>
      </c>
      <c r="DE236" s="357">
        <v>0</v>
      </c>
      <c r="DF236" s="357">
        <v>0</v>
      </c>
      <c r="DG236" s="357">
        <v>0</v>
      </c>
      <c r="DH236" s="357">
        <v>0</v>
      </c>
      <c r="DI236" s="357">
        <v>7665.53</v>
      </c>
      <c r="DJ236" s="357">
        <v>0</v>
      </c>
      <c r="DK236" s="357">
        <v>0</v>
      </c>
      <c r="DL236" s="357">
        <v>7665.53</v>
      </c>
      <c r="DM236" s="357">
        <v>0</v>
      </c>
      <c r="DN236" s="357">
        <v>0</v>
      </c>
      <c r="DO236" s="357">
        <v>0</v>
      </c>
      <c r="DP236" s="357">
        <v>0</v>
      </c>
      <c r="DQ236" s="357">
        <v>160155.53</v>
      </c>
      <c r="DR236" s="357">
        <v>0</v>
      </c>
      <c r="DS236" s="357">
        <v>0</v>
      </c>
      <c r="DT236" s="357">
        <v>0</v>
      </c>
      <c r="DU236" s="357">
        <v>0</v>
      </c>
      <c r="DV236" s="357">
        <v>0</v>
      </c>
      <c r="DW236" s="357">
        <v>160155.53</v>
      </c>
      <c r="DX236" s="357">
        <v>0</v>
      </c>
      <c r="DY236" s="357">
        <v>0</v>
      </c>
      <c r="DZ236" s="357">
        <v>160155.53</v>
      </c>
      <c r="EA236" s="357">
        <v>0</v>
      </c>
      <c r="EB236" s="357">
        <v>0</v>
      </c>
      <c r="EC236" s="357">
        <v>54599</v>
      </c>
      <c r="ED236" s="357">
        <v>0</v>
      </c>
      <c r="EE236" s="357">
        <v>0</v>
      </c>
      <c r="EF236" s="357">
        <v>54599</v>
      </c>
      <c r="EG236" s="357">
        <v>4868</v>
      </c>
      <c r="EH236" s="357">
        <v>0</v>
      </c>
      <c r="EI236" s="357">
        <v>0</v>
      </c>
      <c r="EJ236" s="357">
        <v>4868</v>
      </c>
      <c r="EK236" s="357">
        <v>635685</v>
      </c>
      <c r="EL236" s="357">
        <v>0</v>
      </c>
      <c r="EM236" s="357">
        <v>0</v>
      </c>
      <c r="EN236" s="357">
        <v>635685</v>
      </c>
      <c r="EO236" s="357">
        <v>695152</v>
      </c>
      <c r="EP236" s="357">
        <v>0</v>
      </c>
      <c r="EQ236" s="357">
        <v>0</v>
      </c>
      <c r="ER236" s="357">
        <v>0</v>
      </c>
      <c r="ES236" s="357">
        <v>0</v>
      </c>
      <c r="ET236" s="357">
        <v>0</v>
      </c>
      <c r="EU236" s="357">
        <v>695152</v>
      </c>
      <c r="EV236" s="357">
        <v>0</v>
      </c>
      <c r="EW236" s="357">
        <v>0</v>
      </c>
      <c r="EX236" s="357">
        <v>695152</v>
      </c>
      <c r="EY236" s="357">
        <v>35672099.7</v>
      </c>
      <c r="EZ236" s="357">
        <v>0</v>
      </c>
      <c r="FA236" s="357">
        <v>0</v>
      </c>
      <c r="FB236" s="357">
        <v>35672099.7</v>
      </c>
      <c r="FC236" s="277">
        <v>0</v>
      </c>
      <c r="FD236" s="205"/>
    </row>
    <row r="237" spans="1:160" ht="12.75">
      <c r="A237" s="169">
        <v>230</v>
      </c>
      <c r="B237" s="172" t="s">
        <v>390</v>
      </c>
      <c r="C237" s="258" t="s">
        <v>391</v>
      </c>
      <c r="D237" s="235">
        <v>41547</v>
      </c>
      <c r="E237" s="357">
        <v>523146606</v>
      </c>
      <c r="F237" s="357">
        <v>3502537</v>
      </c>
      <c r="G237" s="357">
        <v>3433500</v>
      </c>
      <c r="H237" s="357">
        <v>530082643</v>
      </c>
      <c r="I237" s="357">
        <v>246402051</v>
      </c>
      <c r="J237" s="357">
        <v>1649695</v>
      </c>
      <c r="K237" s="357">
        <v>1617179</v>
      </c>
      <c r="L237" s="357">
        <v>286424</v>
      </c>
      <c r="M237" s="357">
        <v>0</v>
      </c>
      <c r="N237" s="357">
        <v>0</v>
      </c>
      <c r="O237" s="357">
        <v>246688475</v>
      </c>
      <c r="P237" s="357">
        <v>1649695</v>
      </c>
      <c r="Q237" s="357">
        <v>1617179</v>
      </c>
      <c r="R237" s="357">
        <v>249955349</v>
      </c>
      <c r="S237" s="357">
        <v>121399</v>
      </c>
      <c r="T237" s="357">
        <v>0</v>
      </c>
      <c r="U237" s="357">
        <v>0</v>
      </c>
      <c r="V237" s="357">
        <v>121399</v>
      </c>
      <c r="W237" s="357">
        <v>76762</v>
      </c>
      <c r="X237" s="357">
        <v>0</v>
      </c>
      <c r="Y237" s="357">
        <v>0</v>
      </c>
      <c r="Z237" s="357">
        <v>76762</v>
      </c>
      <c r="AA237" s="357">
        <v>44637</v>
      </c>
      <c r="AB237" s="357">
        <v>0</v>
      </c>
      <c r="AC237" s="357">
        <v>0</v>
      </c>
      <c r="AD237" s="357">
        <v>0</v>
      </c>
      <c r="AE237" s="357">
        <v>0</v>
      </c>
      <c r="AF237" s="357">
        <v>0</v>
      </c>
      <c r="AG237" s="357">
        <v>44637</v>
      </c>
      <c r="AH237" s="357">
        <v>0</v>
      </c>
      <c r="AI237" s="357">
        <v>0</v>
      </c>
      <c r="AJ237" s="357">
        <v>44637</v>
      </c>
      <c r="AK237" s="357">
        <v>44637</v>
      </c>
      <c r="AL237" s="357">
        <v>0</v>
      </c>
      <c r="AM237" s="357">
        <v>0</v>
      </c>
      <c r="AN237" s="357">
        <v>44637</v>
      </c>
      <c r="AO237" s="357">
        <v>10160967</v>
      </c>
      <c r="AP237" s="357">
        <v>27114</v>
      </c>
      <c r="AQ237" s="357">
        <v>0</v>
      </c>
      <c r="AR237" s="357">
        <v>10188081</v>
      </c>
      <c r="AS237" s="357">
        <v>0</v>
      </c>
      <c r="AT237" s="357">
        <v>0</v>
      </c>
      <c r="AU237" s="357">
        <v>0</v>
      </c>
      <c r="AV237" s="357">
        <v>0</v>
      </c>
      <c r="AW237" s="357">
        <v>5090586</v>
      </c>
      <c r="AX237" s="357">
        <v>33596</v>
      </c>
      <c r="AY237" s="357">
        <v>0</v>
      </c>
      <c r="AZ237" s="357">
        <v>5124182</v>
      </c>
      <c r="BA237" s="357">
        <v>5070381</v>
      </c>
      <c r="BB237" s="357">
        <v>-6482</v>
      </c>
      <c r="BC237" s="357">
        <v>0</v>
      </c>
      <c r="BD237" s="357">
        <v>5063899</v>
      </c>
      <c r="BE237" s="357">
        <v>17231888</v>
      </c>
      <c r="BF237" s="357">
        <v>31402</v>
      </c>
      <c r="BG237" s="357">
        <v>0</v>
      </c>
      <c r="BH237" s="357">
        <v>17263290</v>
      </c>
      <c r="BI237" s="357">
        <v>20493</v>
      </c>
      <c r="BJ237" s="357">
        <v>0</v>
      </c>
      <c r="BK237" s="357">
        <v>0</v>
      </c>
      <c r="BL237" s="357">
        <v>20493</v>
      </c>
      <c r="BM237" s="357">
        <v>0</v>
      </c>
      <c r="BN237" s="357">
        <v>0</v>
      </c>
      <c r="BO237" s="357">
        <v>0</v>
      </c>
      <c r="BP237" s="357">
        <v>0</v>
      </c>
      <c r="BQ237" s="357">
        <v>22322762</v>
      </c>
      <c r="BR237" s="357">
        <v>24920</v>
      </c>
      <c r="BS237" s="357">
        <v>0</v>
      </c>
      <c r="BT237" s="357">
        <v>1700000</v>
      </c>
      <c r="BU237" s="357">
        <v>0</v>
      </c>
      <c r="BV237" s="357">
        <v>0</v>
      </c>
      <c r="BW237" s="357">
        <v>24022762</v>
      </c>
      <c r="BX237" s="357">
        <v>24920</v>
      </c>
      <c r="BY237" s="357">
        <v>0</v>
      </c>
      <c r="BZ237" s="357">
        <v>24047682</v>
      </c>
      <c r="CA237" s="357">
        <v>958304</v>
      </c>
      <c r="CB237" s="357">
        <v>10327</v>
      </c>
      <c r="CC237" s="357">
        <v>75000</v>
      </c>
      <c r="CD237" s="357">
        <v>1043631</v>
      </c>
      <c r="CE237" s="357">
        <v>8561686</v>
      </c>
      <c r="CF237" s="357">
        <v>426588</v>
      </c>
      <c r="CG237" s="357">
        <v>0</v>
      </c>
      <c r="CH237" s="357">
        <v>8988274</v>
      </c>
      <c r="CI237" s="357">
        <v>9519990</v>
      </c>
      <c r="CJ237" s="357">
        <v>436915</v>
      </c>
      <c r="CK237" s="357">
        <v>75000</v>
      </c>
      <c r="CL237" s="357">
        <v>1090533</v>
      </c>
      <c r="CM237" s="357">
        <v>9467</v>
      </c>
      <c r="CN237" s="357">
        <v>0</v>
      </c>
      <c r="CO237" s="357">
        <v>10610523</v>
      </c>
      <c r="CP237" s="357">
        <v>446382</v>
      </c>
      <c r="CQ237" s="357">
        <v>75000</v>
      </c>
      <c r="CR237" s="357">
        <v>11131905</v>
      </c>
      <c r="CS237" s="357">
        <v>6474</v>
      </c>
      <c r="CT237" s="357">
        <v>0</v>
      </c>
      <c r="CU237" s="357">
        <v>0</v>
      </c>
      <c r="CV237" s="357">
        <v>6474</v>
      </c>
      <c r="CW237" s="357">
        <v>445000</v>
      </c>
      <c r="CX237" s="357">
        <v>0</v>
      </c>
      <c r="CY237" s="357">
        <v>55000</v>
      </c>
      <c r="CZ237" s="357">
        <v>500000</v>
      </c>
      <c r="DA237" s="357">
        <v>0</v>
      </c>
      <c r="DB237" s="357">
        <v>0</v>
      </c>
      <c r="DC237" s="357">
        <v>0</v>
      </c>
      <c r="DD237" s="357">
        <v>0</v>
      </c>
      <c r="DE237" s="357">
        <v>0</v>
      </c>
      <c r="DF237" s="357">
        <v>0</v>
      </c>
      <c r="DG237" s="357">
        <v>0</v>
      </c>
      <c r="DH237" s="357">
        <v>0</v>
      </c>
      <c r="DI237" s="357">
        <v>0</v>
      </c>
      <c r="DJ237" s="357">
        <v>0</v>
      </c>
      <c r="DK237" s="357">
        <v>0</v>
      </c>
      <c r="DL237" s="357">
        <v>0</v>
      </c>
      <c r="DM237" s="357">
        <v>0</v>
      </c>
      <c r="DN237" s="357">
        <v>0</v>
      </c>
      <c r="DO237" s="357">
        <v>0</v>
      </c>
      <c r="DP237" s="357">
        <v>0</v>
      </c>
      <c r="DQ237" s="357">
        <v>451474</v>
      </c>
      <c r="DR237" s="357">
        <v>0</v>
      </c>
      <c r="DS237" s="357">
        <v>55000</v>
      </c>
      <c r="DT237" s="357">
        <v>0</v>
      </c>
      <c r="DU237" s="357">
        <v>0</v>
      </c>
      <c r="DV237" s="357">
        <v>0</v>
      </c>
      <c r="DW237" s="357">
        <v>451474</v>
      </c>
      <c r="DX237" s="357">
        <v>0</v>
      </c>
      <c r="DY237" s="357">
        <v>55000</v>
      </c>
      <c r="DZ237" s="357">
        <v>506474</v>
      </c>
      <c r="EA237" s="357">
        <v>55000</v>
      </c>
      <c r="EB237" s="357">
        <v>0</v>
      </c>
      <c r="EC237" s="357">
        <v>200000</v>
      </c>
      <c r="ED237" s="357">
        <v>0</v>
      </c>
      <c r="EE237" s="357">
        <v>0</v>
      </c>
      <c r="EF237" s="357">
        <v>200000</v>
      </c>
      <c r="EG237" s="357">
        <v>0</v>
      </c>
      <c r="EH237" s="357">
        <v>0</v>
      </c>
      <c r="EI237" s="357">
        <v>0</v>
      </c>
      <c r="EJ237" s="357">
        <v>0</v>
      </c>
      <c r="EK237" s="357">
        <v>975289</v>
      </c>
      <c r="EL237" s="357">
        <v>24711</v>
      </c>
      <c r="EM237" s="357">
        <v>0</v>
      </c>
      <c r="EN237" s="357">
        <v>1000000</v>
      </c>
      <c r="EO237" s="357">
        <v>1175289</v>
      </c>
      <c r="EP237" s="357">
        <v>24711</v>
      </c>
      <c r="EQ237" s="357">
        <v>0</v>
      </c>
      <c r="ER237" s="357">
        <v>0</v>
      </c>
      <c r="ES237" s="357">
        <v>0</v>
      </c>
      <c r="ET237" s="357">
        <v>0</v>
      </c>
      <c r="EU237" s="357">
        <v>1175289</v>
      </c>
      <c r="EV237" s="357">
        <v>24711</v>
      </c>
      <c r="EW237" s="357">
        <v>0</v>
      </c>
      <c r="EX237" s="357">
        <v>1200000</v>
      </c>
      <c r="EY237" s="357">
        <v>210383790</v>
      </c>
      <c r="EZ237" s="357">
        <v>1153682</v>
      </c>
      <c r="FA237" s="357">
        <v>1487179</v>
      </c>
      <c r="FB237" s="357">
        <v>213024651</v>
      </c>
      <c r="FC237" s="277">
        <v>0</v>
      </c>
      <c r="FD237" s="205"/>
    </row>
    <row r="238" spans="1:160" ht="12.75">
      <c r="A238" s="169">
        <v>231</v>
      </c>
      <c r="B238" s="172" t="s">
        <v>392</v>
      </c>
      <c r="C238" s="258" t="s">
        <v>393</v>
      </c>
      <c r="D238" s="235">
        <v>41647</v>
      </c>
      <c r="E238" s="357">
        <v>73773424</v>
      </c>
      <c r="F238" s="357">
        <v>0</v>
      </c>
      <c r="G238" s="357">
        <v>0</v>
      </c>
      <c r="H238" s="357">
        <v>73773424</v>
      </c>
      <c r="I238" s="357">
        <v>34747283</v>
      </c>
      <c r="J238" s="357">
        <v>0</v>
      </c>
      <c r="K238" s="357">
        <v>0</v>
      </c>
      <c r="L238" s="357">
        <v>-496886</v>
      </c>
      <c r="M238" s="357">
        <v>0</v>
      </c>
      <c r="N238" s="357">
        <v>0</v>
      </c>
      <c r="O238" s="357">
        <v>34250397</v>
      </c>
      <c r="P238" s="357">
        <v>0</v>
      </c>
      <c r="Q238" s="357">
        <v>0</v>
      </c>
      <c r="R238" s="357">
        <v>34250397</v>
      </c>
      <c r="S238" s="357">
        <v>43621</v>
      </c>
      <c r="T238" s="357">
        <v>0</v>
      </c>
      <c r="U238" s="357">
        <v>0</v>
      </c>
      <c r="V238" s="357">
        <v>43621</v>
      </c>
      <c r="W238" s="357">
        <v>1700</v>
      </c>
      <c r="X238" s="357">
        <v>0</v>
      </c>
      <c r="Y238" s="357">
        <v>0</v>
      </c>
      <c r="Z238" s="357">
        <v>1700</v>
      </c>
      <c r="AA238" s="357">
        <v>41921</v>
      </c>
      <c r="AB238" s="357">
        <v>0</v>
      </c>
      <c r="AC238" s="357">
        <v>0</v>
      </c>
      <c r="AD238" s="357">
        <v>-7965</v>
      </c>
      <c r="AE238" s="357">
        <v>0</v>
      </c>
      <c r="AF238" s="357">
        <v>0</v>
      </c>
      <c r="AG238" s="357">
        <v>33956</v>
      </c>
      <c r="AH238" s="357">
        <v>0</v>
      </c>
      <c r="AI238" s="357">
        <v>0</v>
      </c>
      <c r="AJ238" s="357">
        <v>33956</v>
      </c>
      <c r="AK238" s="357">
        <v>33956</v>
      </c>
      <c r="AL238" s="357">
        <v>0</v>
      </c>
      <c r="AM238" s="357">
        <v>0</v>
      </c>
      <c r="AN238" s="357">
        <v>33956</v>
      </c>
      <c r="AO238" s="357">
        <v>2437600</v>
      </c>
      <c r="AP238" s="357">
        <v>0</v>
      </c>
      <c r="AQ238" s="357">
        <v>0</v>
      </c>
      <c r="AR238" s="357">
        <v>2437600</v>
      </c>
      <c r="AS238" s="357">
        <v>36564</v>
      </c>
      <c r="AT238" s="357">
        <v>0</v>
      </c>
      <c r="AU238" s="357">
        <v>0</v>
      </c>
      <c r="AV238" s="357">
        <v>36564</v>
      </c>
      <c r="AW238" s="357">
        <v>665453</v>
      </c>
      <c r="AX238" s="357">
        <v>0</v>
      </c>
      <c r="AY238" s="357">
        <v>0</v>
      </c>
      <c r="AZ238" s="357">
        <v>665453</v>
      </c>
      <c r="BA238" s="357">
        <v>1772147</v>
      </c>
      <c r="BB238" s="357">
        <v>0</v>
      </c>
      <c r="BC238" s="357">
        <v>0</v>
      </c>
      <c r="BD238" s="357">
        <v>1772147</v>
      </c>
      <c r="BE238" s="357">
        <v>2281275.64</v>
      </c>
      <c r="BF238" s="357">
        <v>0</v>
      </c>
      <c r="BG238" s="357">
        <v>0</v>
      </c>
      <c r="BH238" s="357">
        <v>2281275.64</v>
      </c>
      <c r="BI238" s="357">
        <v>93642.96</v>
      </c>
      <c r="BJ238" s="357">
        <v>0</v>
      </c>
      <c r="BK238" s="357">
        <v>0</v>
      </c>
      <c r="BL238" s="357">
        <v>93642.96</v>
      </c>
      <c r="BM238" s="357">
        <v>23805.37</v>
      </c>
      <c r="BN238" s="357">
        <v>0</v>
      </c>
      <c r="BO238" s="357">
        <v>0</v>
      </c>
      <c r="BP238" s="357">
        <v>23805.37</v>
      </c>
      <c r="BQ238" s="357">
        <v>4170870.97</v>
      </c>
      <c r="BR238" s="357">
        <v>0</v>
      </c>
      <c r="BS238" s="357">
        <v>0</v>
      </c>
      <c r="BT238" s="357">
        <v>287790.1</v>
      </c>
      <c r="BU238" s="357">
        <v>0</v>
      </c>
      <c r="BV238" s="357">
        <v>0</v>
      </c>
      <c r="BW238" s="357">
        <v>4458661.07</v>
      </c>
      <c r="BX238" s="357">
        <v>0</v>
      </c>
      <c r="BY238" s="357">
        <v>0</v>
      </c>
      <c r="BZ238" s="357">
        <v>4458661.07</v>
      </c>
      <c r="CA238" s="357">
        <v>735173</v>
      </c>
      <c r="CB238" s="357">
        <v>0</v>
      </c>
      <c r="CC238" s="357">
        <v>0</v>
      </c>
      <c r="CD238" s="357">
        <v>735173</v>
      </c>
      <c r="CE238" s="357">
        <v>1121301</v>
      </c>
      <c r="CF238" s="357">
        <v>0</v>
      </c>
      <c r="CG238" s="357">
        <v>0</v>
      </c>
      <c r="CH238" s="357">
        <v>1121301</v>
      </c>
      <c r="CI238" s="357">
        <v>1856474</v>
      </c>
      <c r="CJ238" s="357">
        <v>0</v>
      </c>
      <c r="CK238" s="357">
        <v>0</v>
      </c>
      <c r="CL238" s="357">
        <v>556526</v>
      </c>
      <c r="CM238" s="357">
        <v>0</v>
      </c>
      <c r="CN238" s="357">
        <v>0</v>
      </c>
      <c r="CO238" s="357">
        <v>2413000</v>
      </c>
      <c r="CP238" s="357">
        <v>0</v>
      </c>
      <c r="CQ238" s="357">
        <v>0</v>
      </c>
      <c r="CR238" s="357">
        <v>2413000</v>
      </c>
      <c r="CS238" s="357">
        <v>44127</v>
      </c>
      <c r="CT238" s="357">
        <v>0</v>
      </c>
      <c r="CU238" s="357">
        <v>0</v>
      </c>
      <c r="CV238" s="357">
        <v>44127</v>
      </c>
      <c r="CW238" s="357">
        <v>3946</v>
      </c>
      <c r="CX238" s="357">
        <v>0</v>
      </c>
      <c r="CY238" s="357">
        <v>0</v>
      </c>
      <c r="CZ238" s="357">
        <v>3946</v>
      </c>
      <c r="DA238" s="357">
        <v>2418</v>
      </c>
      <c r="DB238" s="357">
        <v>0</v>
      </c>
      <c r="DC238" s="357">
        <v>0</v>
      </c>
      <c r="DD238" s="357">
        <v>2418</v>
      </c>
      <c r="DE238" s="357">
        <v>805.88</v>
      </c>
      <c r="DF238" s="357">
        <v>0</v>
      </c>
      <c r="DG238" s="357">
        <v>0</v>
      </c>
      <c r="DH238" s="357">
        <v>805.88</v>
      </c>
      <c r="DI238" s="357">
        <v>0</v>
      </c>
      <c r="DJ238" s="357">
        <v>0</v>
      </c>
      <c r="DK238" s="357">
        <v>0</v>
      </c>
      <c r="DL238" s="357">
        <v>0</v>
      </c>
      <c r="DM238" s="357">
        <v>40062</v>
      </c>
      <c r="DN238" s="357">
        <v>0</v>
      </c>
      <c r="DO238" s="357">
        <v>0</v>
      </c>
      <c r="DP238" s="357">
        <v>40062</v>
      </c>
      <c r="DQ238" s="357">
        <v>91358.88</v>
      </c>
      <c r="DR238" s="357">
        <v>0</v>
      </c>
      <c r="DS238" s="357">
        <v>0</v>
      </c>
      <c r="DT238" s="357">
        <v>31976</v>
      </c>
      <c r="DU238" s="357">
        <v>0</v>
      </c>
      <c r="DV238" s="357">
        <v>0</v>
      </c>
      <c r="DW238" s="357">
        <v>123334.88</v>
      </c>
      <c r="DX238" s="357">
        <v>0</v>
      </c>
      <c r="DY238" s="357">
        <v>0</v>
      </c>
      <c r="DZ238" s="357">
        <v>123334.88</v>
      </c>
      <c r="EA238" s="357">
        <v>0</v>
      </c>
      <c r="EB238" s="357">
        <v>0</v>
      </c>
      <c r="EC238" s="357">
        <v>27648</v>
      </c>
      <c r="ED238" s="357">
        <v>0</v>
      </c>
      <c r="EE238" s="357">
        <v>0</v>
      </c>
      <c r="EF238" s="357">
        <v>27648</v>
      </c>
      <c r="EG238" s="357">
        <v>24921</v>
      </c>
      <c r="EH238" s="357">
        <v>0</v>
      </c>
      <c r="EI238" s="357">
        <v>0</v>
      </c>
      <c r="EJ238" s="357">
        <v>24921</v>
      </c>
      <c r="EK238" s="357">
        <v>430478</v>
      </c>
      <c r="EL238" s="357">
        <v>0</v>
      </c>
      <c r="EM238" s="357">
        <v>0</v>
      </c>
      <c r="EN238" s="357">
        <v>430478</v>
      </c>
      <c r="EO238" s="357">
        <v>483047</v>
      </c>
      <c r="EP238" s="357">
        <v>0</v>
      </c>
      <c r="EQ238" s="357">
        <v>0</v>
      </c>
      <c r="ER238" s="357">
        <v>-48305</v>
      </c>
      <c r="ES238" s="357">
        <v>0</v>
      </c>
      <c r="ET238" s="357">
        <v>0</v>
      </c>
      <c r="EU238" s="357">
        <v>434742</v>
      </c>
      <c r="EV238" s="357">
        <v>0</v>
      </c>
      <c r="EW238" s="357">
        <v>0</v>
      </c>
      <c r="EX238" s="357">
        <v>434742</v>
      </c>
      <c r="EY238" s="357">
        <v>26786703.1</v>
      </c>
      <c r="EZ238" s="357">
        <v>0</v>
      </c>
      <c r="FA238" s="357">
        <v>0</v>
      </c>
      <c r="FB238" s="357">
        <v>26786703.1</v>
      </c>
      <c r="FC238" s="277">
        <v>0</v>
      </c>
      <c r="FD238" s="205"/>
    </row>
    <row r="239" spans="1:160" ht="12.75">
      <c r="A239" s="169">
        <v>232</v>
      </c>
      <c r="B239" s="172" t="s">
        <v>394</v>
      </c>
      <c r="C239" s="258" t="s">
        <v>395</v>
      </c>
      <c r="D239" s="235">
        <v>41639</v>
      </c>
      <c r="E239" s="357">
        <v>199747925</v>
      </c>
      <c r="F239" s="357">
        <v>0</v>
      </c>
      <c r="G239" s="357">
        <v>0</v>
      </c>
      <c r="H239" s="357">
        <v>199747925</v>
      </c>
      <c r="I239" s="357">
        <v>94081273</v>
      </c>
      <c r="J239" s="357">
        <v>0</v>
      </c>
      <c r="K239" s="357">
        <v>0</v>
      </c>
      <c r="L239" s="357">
        <v>188400</v>
      </c>
      <c r="M239" s="357">
        <v>0</v>
      </c>
      <c r="N239" s="357">
        <v>0</v>
      </c>
      <c r="O239" s="357">
        <v>94269673</v>
      </c>
      <c r="P239" s="357">
        <v>0</v>
      </c>
      <c r="Q239" s="357">
        <v>0</v>
      </c>
      <c r="R239" s="357">
        <v>94269673</v>
      </c>
      <c r="S239" s="357">
        <v>177824</v>
      </c>
      <c r="T239" s="357">
        <v>0</v>
      </c>
      <c r="U239" s="357">
        <v>0</v>
      </c>
      <c r="V239" s="357">
        <v>177824</v>
      </c>
      <c r="W239" s="357">
        <v>27397</v>
      </c>
      <c r="X239" s="357">
        <v>0</v>
      </c>
      <c r="Y239" s="357">
        <v>0</v>
      </c>
      <c r="Z239" s="357">
        <v>27397</v>
      </c>
      <c r="AA239" s="357">
        <v>150427</v>
      </c>
      <c r="AB239" s="357">
        <v>0</v>
      </c>
      <c r="AC239" s="357">
        <v>0</v>
      </c>
      <c r="AD239" s="357">
        <v>0</v>
      </c>
      <c r="AE239" s="357">
        <v>0</v>
      </c>
      <c r="AF239" s="357">
        <v>0</v>
      </c>
      <c r="AG239" s="357">
        <v>150427</v>
      </c>
      <c r="AH239" s="357">
        <v>0</v>
      </c>
      <c r="AI239" s="357">
        <v>0</v>
      </c>
      <c r="AJ239" s="357">
        <v>150427</v>
      </c>
      <c r="AK239" s="357">
        <v>150427</v>
      </c>
      <c r="AL239" s="357">
        <v>0</v>
      </c>
      <c r="AM239" s="357">
        <v>0</v>
      </c>
      <c r="AN239" s="357">
        <v>150427</v>
      </c>
      <c r="AO239" s="357">
        <v>7568157</v>
      </c>
      <c r="AP239" s="357">
        <v>0</v>
      </c>
      <c r="AQ239" s="357">
        <v>0</v>
      </c>
      <c r="AR239" s="357">
        <v>7568157</v>
      </c>
      <c r="AS239" s="357">
        <v>302726</v>
      </c>
      <c r="AT239" s="357">
        <v>0</v>
      </c>
      <c r="AU239" s="357">
        <v>0</v>
      </c>
      <c r="AV239" s="357">
        <v>302726</v>
      </c>
      <c r="AW239" s="357">
        <v>1709802</v>
      </c>
      <c r="AX239" s="357">
        <v>0</v>
      </c>
      <c r="AY239" s="357">
        <v>0</v>
      </c>
      <c r="AZ239" s="357">
        <v>1709802</v>
      </c>
      <c r="BA239" s="357">
        <v>5858355</v>
      </c>
      <c r="BB239" s="357">
        <v>0</v>
      </c>
      <c r="BC239" s="357">
        <v>0</v>
      </c>
      <c r="BD239" s="357">
        <v>5858355</v>
      </c>
      <c r="BE239" s="357">
        <v>5691581.03</v>
      </c>
      <c r="BF239" s="357">
        <v>0</v>
      </c>
      <c r="BG239" s="357">
        <v>0</v>
      </c>
      <c r="BH239" s="357">
        <v>5691581.03</v>
      </c>
      <c r="BI239" s="357">
        <v>165748</v>
      </c>
      <c r="BJ239" s="357">
        <v>0</v>
      </c>
      <c r="BK239" s="357">
        <v>0</v>
      </c>
      <c r="BL239" s="357">
        <v>165748</v>
      </c>
      <c r="BM239" s="357">
        <v>108802</v>
      </c>
      <c r="BN239" s="357">
        <v>0</v>
      </c>
      <c r="BO239" s="357">
        <v>0</v>
      </c>
      <c r="BP239" s="357">
        <v>108802</v>
      </c>
      <c r="BQ239" s="357">
        <v>11824486</v>
      </c>
      <c r="BR239" s="357">
        <v>0</v>
      </c>
      <c r="BS239" s="357">
        <v>0</v>
      </c>
      <c r="BT239" s="357">
        <v>0</v>
      </c>
      <c r="BU239" s="357">
        <v>0</v>
      </c>
      <c r="BV239" s="357">
        <v>0</v>
      </c>
      <c r="BW239" s="357">
        <v>11824486</v>
      </c>
      <c r="BX239" s="357">
        <v>0</v>
      </c>
      <c r="BY239" s="357">
        <v>0</v>
      </c>
      <c r="BZ239" s="357">
        <v>11824486</v>
      </c>
      <c r="CA239" s="357">
        <v>71416.82</v>
      </c>
      <c r="CB239" s="357">
        <v>0</v>
      </c>
      <c r="CC239" s="357">
        <v>0</v>
      </c>
      <c r="CD239" s="357">
        <v>71416.82</v>
      </c>
      <c r="CE239" s="357">
        <v>2158094</v>
      </c>
      <c r="CF239" s="357">
        <v>0</v>
      </c>
      <c r="CG239" s="357">
        <v>0</v>
      </c>
      <c r="CH239" s="357">
        <v>2158094</v>
      </c>
      <c r="CI239" s="357">
        <v>2229510.82</v>
      </c>
      <c r="CJ239" s="357">
        <v>0</v>
      </c>
      <c r="CK239" s="357">
        <v>0</v>
      </c>
      <c r="CL239" s="357">
        <v>0</v>
      </c>
      <c r="CM239" s="357">
        <v>0</v>
      </c>
      <c r="CN239" s="357">
        <v>0</v>
      </c>
      <c r="CO239" s="357">
        <v>2229510.82</v>
      </c>
      <c r="CP239" s="357">
        <v>0</v>
      </c>
      <c r="CQ239" s="357">
        <v>0</v>
      </c>
      <c r="CR239" s="357">
        <v>2229510.82</v>
      </c>
      <c r="CS239" s="357">
        <v>422617</v>
      </c>
      <c r="CT239" s="357">
        <v>0</v>
      </c>
      <c r="CU239" s="357">
        <v>0</v>
      </c>
      <c r="CV239" s="357">
        <v>422617</v>
      </c>
      <c r="CW239" s="357">
        <v>275786</v>
      </c>
      <c r="CX239" s="357">
        <v>0</v>
      </c>
      <c r="CY239" s="357">
        <v>0</v>
      </c>
      <c r="CZ239" s="357">
        <v>275786</v>
      </c>
      <c r="DA239" s="357">
        <v>30047</v>
      </c>
      <c r="DB239" s="357">
        <v>0</v>
      </c>
      <c r="DC239" s="357">
        <v>0</v>
      </c>
      <c r="DD239" s="357">
        <v>30047</v>
      </c>
      <c r="DE239" s="357">
        <v>8516</v>
      </c>
      <c r="DF239" s="357">
        <v>0</v>
      </c>
      <c r="DG239" s="357">
        <v>0</v>
      </c>
      <c r="DH239" s="357">
        <v>8516</v>
      </c>
      <c r="DI239" s="357">
        <v>0</v>
      </c>
      <c r="DJ239" s="357">
        <v>0</v>
      </c>
      <c r="DK239" s="357">
        <v>0</v>
      </c>
      <c r="DL239" s="357">
        <v>0</v>
      </c>
      <c r="DM239" s="357">
        <v>0</v>
      </c>
      <c r="DN239" s="357">
        <v>0</v>
      </c>
      <c r="DO239" s="357">
        <v>0</v>
      </c>
      <c r="DP239" s="357">
        <v>0</v>
      </c>
      <c r="DQ239" s="357">
        <v>736966</v>
      </c>
      <c r="DR239" s="357">
        <v>0</v>
      </c>
      <c r="DS239" s="357">
        <v>0</v>
      </c>
      <c r="DT239" s="357">
        <v>0</v>
      </c>
      <c r="DU239" s="357">
        <v>0</v>
      </c>
      <c r="DV239" s="357">
        <v>0</v>
      </c>
      <c r="DW239" s="357">
        <v>736966</v>
      </c>
      <c r="DX239" s="357">
        <v>0</v>
      </c>
      <c r="DY239" s="357">
        <v>0</v>
      </c>
      <c r="DZ239" s="357">
        <v>736966</v>
      </c>
      <c r="EA239" s="357">
        <v>0</v>
      </c>
      <c r="EB239" s="357">
        <v>0</v>
      </c>
      <c r="EC239" s="357">
        <v>65598</v>
      </c>
      <c r="ED239" s="357">
        <v>0</v>
      </c>
      <c r="EE239" s="357">
        <v>0</v>
      </c>
      <c r="EF239" s="357">
        <v>65598</v>
      </c>
      <c r="EG239" s="357">
        <v>256177</v>
      </c>
      <c r="EH239" s="357">
        <v>0</v>
      </c>
      <c r="EI239" s="357">
        <v>0</v>
      </c>
      <c r="EJ239" s="357">
        <v>256177</v>
      </c>
      <c r="EK239" s="357">
        <v>1119600</v>
      </c>
      <c r="EL239" s="357">
        <v>0</v>
      </c>
      <c r="EM239" s="357">
        <v>0</v>
      </c>
      <c r="EN239" s="357">
        <v>1119600</v>
      </c>
      <c r="EO239" s="357">
        <v>1441375</v>
      </c>
      <c r="EP239" s="357">
        <v>0</v>
      </c>
      <c r="EQ239" s="357">
        <v>0</v>
      </c>
      <c r="ER239" s="357">
        <v>0</v>
      </c>
      <c r="ES239" s="357">
        <v>0</v>
      </c>
      <c r="ET239" s="357">
        <v>0</v>
      </c>
      <c r="EU239" s="357">
        <v>1441375</v>
      </c>
      <c r="EV239" s="357">
        <v>0</v>
      </c>
      <c r="EW239" s="357">
        <v>0</v>
      </c>
      <c r="EX239" s="357">
        <v>1441375</v>
      </c>
      <c r="EY239" s="357">
        <v>77886908.2</v>
      </c>
      <c r="EZ239" s="357">
        <v>0</v>
      </c>
      <c r="FA239" s="357">
        <v>0</v>
      </c>
      <c r="FB239" s="357">
        <v>77886908.2</v>
      </c>
      <c r="FC239" s="277">
        <v>0</v>
      </c>
      <c r="FD239" s="205"/>
    </row>
    <row r="240" spans="1:160" ht="12.75">
      <c r="A240" s="169">
        <v>233</v>
      </c>
      <c r="B240" s="172" t="s">
        <v>396</v>
      </c>
      <c r="C240" s="258" t="s">
        <v>397</v>
      </c>
      <c r="D240" s="235">
        <v>41639</v>
      </c>
      <c r="E240" s="357">
        <v>221765666</v>
      </c>
      <c r="F240" s="357">
        <v>0</v>
      </c>
      <c r="G240" s="357">
        <v>0</v>
      </c>
      <c r="H240" s="357">
        <v>221765666</v>
      </c>
      <c r="I240" s="357">
        <v>104451629</v>
      </c>
      <c r="J240" s="357">
        <v>0</v>
      </c>
      <c r="K240" s="357">
        <v>0</v>
      </c>
      <c r="L240" s="357">
        <v>823096</v>
      </c>
      <c r="M240" s="357">
        <v>0</v>
      </c>
      <c r="N240" s="357">
        <v>0</v>
      </c>
      <c r="O240" s="357">
        <v>105274725</v>
      </c>
      <c r="P240" s="357">
        <v>0</v>
      </c>
      <c r="Q240" s="357">
        <v>0</v>
      </c>
      <c r="R240" s="357">
        <v>105274725</v>
      </c>
      <c r="S240" s="357">
        <v>68322</v>
      </c>
      <c r="T240" s="357">
        <v>0</v>
      </c>
      <c r="U240" s="357">
        <v>0</v>
      </c>
      <c r="V240" s="357">
        <v>68322</v>
      </c>
      <c r="W240" s="357">
        <v>327340</v>
      </c>
      <c r="X240" s="357">
        <v>0</v>
      </c>
      <c r="Y240" s="357">
        <v>0</v>
      </c>
      <c r="Z240" s="357">
        <v>327340</v>
      </c>
      <c r="AA240" s="357">
        <v>-259018</v>
      </c>
      <c r="AB240" s="357">
        <v>0</v>
      </c>
      <c r="AC240" s="357">
        <v>0</v>
      </c>
      <c r="AD240" s="357">
        <v>0</v>
      </c>
      <c r="AE240" s="357">
        <v>0</v>
      </c>
      <c r="AF240" s="357">
        <v>0</v>
      </c>
      <c r="AG240" s="357">
        <v>-259018</v>
      </c>
      <c r="AH240" s="357">
        <v>0</v>
      </c>
      <c r="AI240" s="357">
        <v>0</v>
      </c>
      <c r="AJ240" s="357">
        <v>-259018</v>
      </c>
      <c r="AK240" s="357">
        <v>-259018</v>
      </c>
      <c r="AL240" s="357">
        <v>0</v>
      </c>
      <c r="AM240" s="357">
        <v>0</v>
      </c>
      <c r="AN240" s="357">
        <v>-259018</v>
      </c>
      <c r="AO240" s="357">
        <v>1056249</v>
      </c>
      <c r="AP240" s="357">
        <v>0</v>
      </c>
      <c r="AQ240" s="357">
        <v>0</v>
      </c>
      <c r="AR240" s="357">
        <v>1056249</v>
      </c>
      <c r="AS240" s="357">
        <v>0</v>
      </c>
      <c r="AT240" s="357">
        <v>0</v>
      </c>
      <c r="AU240" s="357">
        <v>0</v>
      </c>
      <c r="AV240" s="357">
        <v>0</v>
      </c>
      <c r="AW240" s="357">
        <v>2320616</v>
      </c>
      <c r="AX240" s="357">
        <v>0</v>
      </c>
      <c r="AY240" s="357">
        <v>0</v>
      </c>
      <c r="AZ240" s="357">
        <v>2320616</v>
      </c>
      <c r="BA240" s="357">
        <v>-1264367</v>
      </c>
      <c r="BB240" s="357">
        <v>0</v>
      </c>
      <c r="BC240" s="357">
        <v>0</v>
      </c>
      <c r="BD240" s="357">
        <v>-1264367</v>
      </c>
      <c r="BE240" s="357">
        <v>3075960</v>
      </c>
      <c r="BF240" s="357">
        <v>0</v>
      </c>
      <c r="BG240" s="357">
        <v>0</v>
      </c>
      <c r="BH240" s="357">
        <v>3075960</v>
      </c>
      <c r="BI240" s="357">
        <v>0</v>
      </c>
      <c r="BJ240" s="357">
        <v>0</v>
      </c>
      <c r="BK240" s="357">
        <v>0</v>
      </c>
      <c r="BL240" s="357">
        <v>0</v>
      </c>
      <c r="BM240" s="357">
        <v>0</v>
      </c>
      <c r="BN240" s="357">
        <v>0</v>
      </c>
      <c r="BO240" s="357">
        <v>0</v>
      </c>
      <c r="BP240" s="357">
        <v>0</v>
      </c>
      <c r="BQ240" s="357">
        <v>1811593</v>
      </c>
      <c r="BR240" s="357">
        <v>0</v>
      </c>
      <c r="BS240" s="357">
        <v>0</v>
      </c>
      <c r="BT240" s="357">
        <v>0</v>
      </c>
      <c r="BU240" s="357">
        <v>0</v>
      </c>
      <c r="BV240" s="357">
        <v>0</v>
      </c>
      <c r="BW240" s="357">
        <v>1811593</v>
      </c>
      <c r="BX240" s="357">
        <v>0</v>
      </c>
      <c r="BY240" s="357">
        <v>0</v>
      </c>
      <c r="BZ240" s="357">
        <v>1811593</v>
      </c>
      <c r="CA240" s="357">
        <v>0</v>
      </c>
      <c r="CB240" s="357">
        <v>0</v>
      </c>
      <c r="CC240" s="357">
        <v>0</v>
      </c>
      <c r="CD240" s="357">
        <v>0</v>
      </c>
      <c r="CE240" s="357">
        <v>6721872</v>
      </c>
      <c r="CF240" s="357">
        <v>0</v>
      </c>
      <c r="CG240" s="357">
        <v>0</v>
      </c>
      <c r="CH240" s="357">
        <v>6721872</v>
      </c>
      <c r="CI240" s="357">
        <v>6721872</v>
      </c>
      <c r="CJ240" s="357">
        <v>0</v>
      </c>
      <c r="CK240" s="357">
        <v>0</v>
      </c>
      <c r="CL240" s="357">
        <v>0</v>
      </c>
      <c r="CM240" s="357">
        <v>0</v>
      </c>
      <c r="CN240" s="357">
        <v>0</v>
      </c>
      <c r="CO240" s="357">
        <v>6721872</v>
      </c>
      <c r="CP240" s="357">
        <v>0</v>
      </c>
      <c r="CQ240" s="357">
        <v>0</v>
      </c>
      <c r="CR240" s="357">
        <v>6721872</v>
      </c>
      <c r="CS240" s="357">
        <v>261591</v>
      </c>
      <c r="CT240" s="357">
        <v>0</v>
      </c>
      <c r="CU240" s="357">
        <v>0</v>
      </c>
      <c r="CV240" s="357">
        <v>261591</v>
      </c>
      <c r="CW240" s="357">
        <v>96032</v>
      </c>
      <c r="CX240" s="357">
        <v>0</v>
      </c>
      <c r="CY240" s="357">
        <v>0</v>
      </c>
      <c r="CZ240" s="357">
        <v>96032</v>
      </c>
      <c r="DA240" s="357">
        <v>0</v>
      </c>
      <c r="DB240" s="357">
        <v>0</v>
      </c>
      <c r="DC240" s="357">
        <v>0</v>
      </c>
      <c r="DD240" s="357">
        <v>0</v>
      </c>
      <c r="DE240" s="357">
        <v>0</v>
      </c>
      <c r="DF240" s="357">
        <v>0</v>
      </c>
      <c r="DG240" s="357">
        <v>0</v>
      </c>
      <c r="DH240" s="357">
        <v>0</v>
      </c>
      <c r="DI240" s="357">
        <v>0</v>
      </c>
      <c r="DJ240" s="357">
        <v>0</v>
      </c>
      <c r="DK240" s="357">
        <v>0</v>
      </c>
      <c r="DL240" s="357">
        <v>0</v>
      </c>
      <c r="DM240" s="357">
        <v>0</v>
      </c>
      <c r="DN240" s="357">
        <v>0</v>
      </c>
      <c r="DO240" s="357">
        <v>0</v>
      </c>
      <c r="DP240" s="357">
        <v>0</v>
      </c>
      <c r="DQ240" s="357">
        <v>357623</v>
      </c>
      <c r="DR240" s="357">
        <v>0</v>
      </c>
      <c r="DS240" s="357">
        <v>0</v>
      </c>
      <c r="DT240" s="357">
        <v>67377</v>
      </c>
      <c r="DU240" s="357">
        <v>0</v>
      </c>
      <c r="DV240" s="357">
        <v>0</v>
      </c>
      <c r="DW240" s="357">
        <v>425000</v>
      </c>
      <c r="DX240" s="357">
        <v>0</v>
      </c>
      <c r="DY240" s="357">
        <v>0</v>
      </c>
      <c r="DZ240" s="357">
        <v>425000</v>
      </c>
      <c r="EA240" s="357">
        <v>0</v>
      </c>
      <c r="EB240" s="357">
        <v>0</v>
      </c>
      <c r="EC240" s="357">
        <v>613242</v>
      </c>
      <c r="ED240" s="357">
        <v>0</v>
      </c>
      <c r="EE240" s="357">
        <v>0</v>
      </c>
      <c r="EF240" s="357">
        <v>613242</v>
      </c>
      <c r="EG240" s="357">
        <v>26560</v>
      </c>
      <c r="EH240" s="357">
        <v>0</v>
      </c>
      <c r="EI240" s="357">
        <v>0</v>
      </c>
      <c r="EJ240" s="357">
        <v>26560</v>
      </c>
      <c r="EK240" s="357">
        <v>624065</v>
      </c>
      <c r="EL240" s="357">
        <v>0</v>
      </c>
      <c r="EM240" s="357">
        <v>0</v>
      </c>
      <c r="EN240" s="357">
        <v>624065</v>
      </c>
      <c r="EO240" s="357">
        <v>1263867</v>
      </c>
      <c r="EP240" s="357">
        <v>0</v>
      </c>
      <c r="EQ240" s="357">
        <v>0</v>
      </c>
      <c r="ER240" s="357">
        <v>0</v>
      </c>
      <c r="ES240" s="357">
        <v>0</v>
      </c>
      <c r="ET240" s="357">
        <v>0</v>
      </c>
      <c r="EU240" s="357">
        <v>1263867</v>
      </c>
      <c r="EV240" s="357">
        <v>0</v>
      </c>
      <c r="EW240" s="357">
        <v>0</v>
      </c>
      <c r="EX240" s="357">
        <v>1263867</v>
      </c>
      <c r="EY240" s="357">
        <v>95311411</v>
      </c>
      <c r="EZ240" s="357">
        <v>0</v>
      </c>
      <c r="FA240" s="357">
        <v>0</v>
      </c>
      <c r="FB240" s="357">
        <v>95311411</v>
      </c>
      <c r="FC240" s="277">
        <v>0</v>
      </c>
      <c r="FD240" s="205"/>
    </row>
    <row r="241" spans="1:160" ht="12.75">
      <c r="A241" s="169">
        <v>234</v>
      </c>
      <c r="B241" s="172" t="s">
        <v>398</v>
      </c>
      <c r="C241" s="258" t="s">
        <v>399</v>
      </c>
      <c r="D241" s="235">
        <v>41639</v>
      </c>
      <c r="E241" s="357">
        <v>256417608</v>
      </c>
      <c r="F241" s="357">
        <v>0</v>
      </c>
      <c r="G241" s="357">
        <v>0</v>
      </c>
      <c r="H241" s="357">
        <v>256417608</v>
      </c>
      <c r="I241" s="357">
        <v>120772693</v>
      </c>
      <c r="J241" s="357">
        <v>0</v>
      </c>
      <c r="K241" s="357">
        <v>0</v>
      </c>
      <c r="L241" s="357">
        <v>2986619</v>
      </c>
      <c r="M241" s="357">
        <v>0</v>
      </c>
      <c r="N241" s="357">
        <v>0</v>
      </c>
      <c r="O241" s="357">
        <v>123759312</v>
      </c>
      <c r="P241" s="357">
        <v>0</v>
      </c>
      <c r="Q241" s="357">
        <v>0</v>
      </c>
      <c r="R241" s="357">
        <v>123759312</v>
      </c>
      <c r="S241" s="357">
        <v>47175</v>
      </c>
      <c r="T241" s="357">
        <v>0</v>
      </c>
      <c r="U241" s="357">
        <v>0</v>
      </c>
      <c r="V241" s="357">
        <v>47175</v>
      </c>
      <c r="W241" s="357">
        <v>8571</v>
      </c>
      <c r="X241" s="357">
        <v>0</v>
      </c>
      <c r="Y241" s="357">
        <v>0</v>
      </c>
      <c r="Z241" s="357">
        <v>8571</v>
      </c>
      <c r="AA241" s="357">
        <v>38604</v>
      </c>
      <c r="AB241" s="357">
        <v>0</v>
      </c>
      <c r="AC241" s="357">
        <v>0</v>
      </c>
      <c r="AD241" s="357">
        <v>-1245000</v>
      </c>
      <c r="AE241" s="357">
        <v>0</v>
      </c>
      <c r="AF241" s="357">
        <v>0</v>
      </c>
      <c r="AG241" s="357">
        <v>-1206396</v>
      </c>
      <c r="AH241" s="357">
        <v>0</v>
      </c>
      <c r="AI241" s="357">
        <v>0</v>
      </c>
      <c r="AJ241" s="357">
        <v>-1206396</v>
      </c>
      <c r="AK241" s="357">
        <v>-1206396</v>
      </c>
      <c r="AL241" s="357">
        <v>0</v>
      </c>
      <c r="AM241" s="357">
        <v>0</v>
      </c>
      <c r="AN241" s="357">
        <v>-1206396</v>
      </c>
      <c r="AO241" s="357">
        <v>2035018</v>
      </c>
      <c r="AP241" s="357">
        <v>0</v>
      </c>
      <c r="AQ241" s="357">
        <v>0</v>
      </c>
      <c r="AR241" s="357">
        <v>2035018</v>
      </c>
      <c r="AS241" s="357">
        <v>28500</v>
      </c>
      <c r="AT241" s="357">
        <v>0</v>
      </c>
      <c r="AU241" s="357">
        <v>0</v>
      </c>
      <c r="AV241" s="357">
        <v>28500</v>
      </c>
      <c r="AW241" s="357">
        <v>2626363</v>
      </c>
      <c r="AX241" s="357">
        <v>0</v>
      </c>
      <c r="AY241" s="357">
        <v>0</v>
      </c>
      <c r="AZ241" s="357">
        <v>2626363</v>
      </c>
      <c r="BA241" s="357">
        <v>-591345</v>
      </c>
      <c r="BB241" s="357">
        <v>0</v>
      </c>
      <c r="BC241" s="357">
        <v>0</v>
      </c>
      <c r="BD241" s="357">
        <v>-591345</v>
      </c>
      <c r="BE241" s="357">
        <v>3851612</v>
      </c>
      <c r="BF241" s="357">
        <v>0</v>
      </c>
      <c r="BG241" s="357">
        <v>0</v>
      </c>
      <c r="BH241" s="357">
        <v>3851612</v>
      </c>
      <c r="BI241" s="357">
        <v>80108</v>
      </c>
      <c r="BJ241" s="357">
        <v>0</v>
      </c>
      <c r="BK241" s="357">
        <v>0</v>
      </c>
      <c r="BL241" s="357">
        <v>80108</v>
      </c>
      <c r="BM241" s="357">
        <v>964</v>
      </c>
      <c r="BN241" s="357">
        <v>0</v>
      </c>
      <c r="BO241" s="357">
        <v>0</v>
      </c>
      <c r="BP241" s="357">
        <v>964</v>
      </c>
      <c r="BQ241" s="357">
        <v>3341339</v>
      </c>
      <c r="BR241" s="357">
        <v>0</v>
      </c>
      <c r="BS241" s="357">
        <v>0</v>
      </c>
      <c r="BT241" s="357">
        <v>-71853</v>
      </c>
      <c r="BU241" s="357">
        <v>0</v>
      </c>
      <c r="BV241" s="357">
        <v>0</v>
      </c>
      <c r="BW241" s="357">
        <v>3269486</v>
      </c>
      <c r="BX241" s="357">
        <v>0</v>
      </c>
      <c r="BY241" s="357">
        <v>0</v>
      </c>
      <c r="BZ241" s="357">
        <v>3269486</v>
      </c>
      <c r="CA241" s="357">
        <v>227742</v>
      </c>
      <c r="CB241" s="357">
        <v>0</v>
      </c>
      <c r="CC241" s="357">
        <v>0</v>
      </c>
      <c r="CD241" s="357">
        <v>227742</v>
      </c>
      <c r="CE241" s="357">
        <v>4767002</v>
      </c>
      <c r="CF241" s="357">
        <v>0</v>
      </c>
      <c r="CG241" s="357">
        <v>0</v>
      </c>
      <c r="CH241" s="357">
        <v>4767002</v>
      </c>
      <c r="CI241" s="357">
        <v>4994744</v>
      </c>
      <c r="CJ241" s="357">
        <v>0</v>
      </c>
      <c r="CK241" s="357">
        <v>0</v>
      </c>
      <c r="CL241" s="357">
        <v>0</v>
      </c>
      <c r="CM241" s="357">
        <v>0</v>
      </c>
      <c r="CN241" s="357">
        <v>0</v>
      </c>
      <c r="CO241" s="357">
        <v>4994744</v>
      </c>
      <c r="CP241" s="357">
        <v>0</v>
      </c>
      <c r="CQ241" s="357">
        <v>0</v>
      </c>
      <c r="CR241" s="357">
        <v>4994744</v>
      </c>
      <c r="CS241" s="357">
        <v>44498</v>
      </c>
      <c r="CT241" s="357">
        <v>0</v>
      </c>
      <c r="CU241" s="357">
        <v>0</v>
      </c>
      <c r="CV241" s="357">
        <v>44498</v>
      </c>
      <c r="CW241" s="357">
        <v>322681</v>
      </c>
      <c r="CX241" s="357">
        <v>0</v>
      </c>
      <c r="CY241" s="357">
        <v>0</v>
      </c>
      <c r="CZ241" s="357">
        <v>322681</v>
      </c>
      <c r="DA241" s="357">
        <v>0</v>
      </c>
      <c r="DB241" s="357">
        <v>0</v>
      </c>
      <c r="DC241" s="357">
        <v>0</v>
      </c>
      <c r="DD241" s="357">
        <v>0</v>
      </c>
      <c r="DE241" s="357">
        <v>0</v>
      </c>
      <c r="DF241" s="357">
        <v>0</v>
      </c>
      <c r="DG241" s="357">
        <v>0</v>
      </c>
      <c r="DH241" s="357">
        <v>0</v>
      </c>
      <c r="DI241" s="357">
        <v>0</v>
      </c>
      <c r="DJ241" s="357">
        <v>0</v>
      </c>
      <c r="DK241" s="357">
        <v>0</v>
      </c>
      <c r="DL241" s="357">
        <v>0</v>
      </c>
      <c r="DM241" s="357">
        <v>0</v>
      </c>
      <c r="DN241" s="357">
        <v>0</v>
      </c>
      <c r="DO241" s="357">
        <v>0</v>
      </c>
      <c r="DP241" s="357">
        <v>0</v>
      </c>
      <c r="DQ241" s="357">
        <v>367179</v>
      </c>
      <c r="DR241" s="357">
        <v>0</v>
      </c>
      <c r="DS241" s="357">
        <v>0</v>
      </c>
      <c r="DT241" s="357">
        <v>0</v>
      </c>
      <c r="DU241" s="357">
        <v>0</v>
      </c>
      <c r="DV241" s="357">
        <v>0</v>
      </c>
      <c r="DW241" s="357">
        <v>367179</v>
      </c>
      <c r="DX241" s="357">
        <v>0</v>
      </c>
      <c r="DY241" s="357">
        <v>0</v>
      </c>
      <c r="DZ241" s="357">
        <v>367179</v>
      </c>
      <c r="EA241" s="357">
        <v>0</v>
      </c>
      <c r="EB241" s="357">
        <v>0</v>
      </c>
      <c r="EC241" s="357">
        <v>275000</v>
      </c>
      <c r="ED241" s="357">
        <v>0</v>
      </c>
      <c r="EE241" s="357">
        <v>0</v>
      </c>
      <c r="EF241" s="357">
        <v>275000</v>
      </c>
      <c r="EG241" s="357">
        <v>45000</v>
      </c>
      <c r="EH241" s="357">
        <v>0</v>
      </c>
      <c r="EI241" s="357">
        <v>0</v>
      </c>
      <c r="EJ241" s="357">
        <v>45000</v>
      </c>
      <c r="EK241" s="357">
        <v>775000</v>
      </c>
      <c r="EL241" s="357">
        <v>0</v>
      </c>
      <c r="EM241" s="357">
        <v>0</v>
      </c>
      <c r="EN241" s="357">
        <v>775000</v>
      </c>
      <c r="EO241" s="357">
        <v>1095000</v>
      </c>
      <c r="EP241" s="357">
        <v>0</v>
      </c>
      <c r="EQ241" s="357">
        <v>0</v>
      </c>
      <c r="ER241" s="357">
        <v>0</v>
      </c>
      <c r="ES241" s="357">
        <v>0</v>
      </c>
      <c r="ET241" s="357">
        <v>0</v>
      </c>
      <c r="EU241" s="357">
        <v>1095000</v>
      </c>
      <c r="EV241" s="357">
        <v>0</v>
      </c>
      <c r="EW241" s="357">
        <v>0</v>
      </c>
      <c r="EX241" s="357">
        <v>1095000</v>
      </c>
      <c r="EY241" s="357">
        <v>115239299</v>
      </c>
      <c r="EZ241" s="357">
        <v>0</v>
      </c>
      <c r="FA241" s="357">
        <v>0</v>
      </c>
      <c r="FB241" s="357">
        <v>115239299</v>
      </c>
      <c r="FC241" s="277">
        <v>0</v>
      </c>
      <c r="FD241" s="205"/>
    </row>
    <row r="242" spans="1:160" ht="12.75">
      <c r="A242" s="169">
        <v>235</v>
      </c>
      <c r="B242" s="172" t="s">
        <v>400</v>
      </c>
      <c r="C242" s="258" t="s">
        <v>401</v>
      </c>
      <c r="D242" s="235">
        <v>250913</v>
      </c>
      <c r="E242" s="357">
        <v>66713620</v>
      </c>
      <c r="F242" s="357">
        <v>0</v>
      </c>
      <c r="G242" s="357">
        <v>0</v>
      </c>
      <c r="H242" s="357">
        <v>66713620</v>
      </c>
      <c r="I242" s="357">
        <v>31422115</v>
      </c>
      <c r="J242" s="357">
        <v>0</v>
      </c>
      <c r="K242" s="357">
        <v>0</v>
      </c>
      <c r="L242" s="357">
        <v>0</v>
      </c>
      <c r="M242" s="357">
        <v>0</v>
      </c>
      <c r="N242" s="357">
        <v>0</v>
      </c>
      <c r="O242" s="357">
        <v>31422115</v>
      </c>
      <c r="P242" s="357">
        <v>0</v>
      </c>
      <c r="Q242" s="357">
        <v>0</v>
      </c>
      <c r="R242" s="357">
        <v>31422115</v>
      </c>
      <c r="S242" s="357">
        <v>26737</v>
      </c>
      <c r="T242" s="357">
        <v>0</v>
      </c>
      <c r="U242" s="357">
        <v>0</v>
      </c>
      <c r="V242" s="357">
        <v>26737</v>
      </c>
      <c r="W242" s="357">
        <v>10251</v>
      </c>
      <c r="X242" s="357">
        <v>0</v>
      </c>
      <c r="Y242" s="357">
        <v>0</v>
      </c>
      <c r="Z242" s="357">
        <v>10251</v>
      </c>
      <c r="AA242" s="357">
        <v>16486</v>
      </c>
      <c r="AB242" s="357">
        <v>0</v>
      </c>
      <c r="AC242" s="357">
        <v>0</v>
      </c>
      <c r="AD242" s="357">
        <v>0</v>
      </c>
      <c r="AE242" s="357">
        <v>0</v>
      </c>
      <c r="AF242" s="357">
        <v>0</v>
      </c>
      <c r="AG242" s="357">
        <v>16486</v>
      </c>
      <c r="AH242" s="357">
        <v>0</v>
      </c>
      <c r="AI242" s="357">
        <v>0</v>
      </c>
      <c r="AJ242" s="357">
        <v>16486</v>
      </c>
      <c r="AK242" s="357">
        <v>16486</v>
      </c>
      <c r="AL242" s="357">
        <v>0</v>
      </c>
      <c r="AM242" s="357">
        <v>0</v>
      </c>
      <c r="AN242" s="357">
        <v>16486</v>
      </c>
      <c r="AO242" s="357">
        <v>853661</v>
      </c>
      <c r="AP242" s="357">
        <v>0</v>
      </c>
      <c r="AQ242" s="357">
        <v>0</v>
      </c>
      <c r="AR242" s="357">
        <v>853661</v>
      </c>
      <c r="AS242" s="357">
        <v>0</v>
      </c>
      <c r="AT242" s="357">
        <v>0</v>
      </c>
      <c r="AU242" s="357">
        <v>0</v>
      </c>
      <c r="AV242" s="357">
        <v>0</v>
      </c>
      <c r="AW242" s="357">
        <v>716884</v>
      </c>
      <c r="AX242" s="357">
        <v>0</v>
      </c>
      <c r="AY242" s="357">
        <v>0</v>
      </c>
      <c r="AZ242" s="357">
        <v>716884</v>
      </c>
      <c r="BA242" s="357">
        <v>136777</v>
      </c>
      <c r="BB242" s="357">
        <v>0</v>
      </c>
      <c r="BC242" s="357">
        <v>0</v>
      </c>
      <c r="BD242" s="357">
        <v>136777</v>
      </c>
      <c r="BE242" s="357">
        <v>1784845</v>
      </c>
      <c r="BF242" s="357">
        <v>0</v>
      </c>
      <c r="BG242" s="357">
        <v>0</v>
      </c>
      <c r="BH242" s="357">
        <v>1784845</v>
      </c>
      <c r="BI242" s="357">
        <v>58418</v>
      </c>
      <c r="BJ242" s="357">
        <v>0</v>
      </c>
      <c r="BK242" s="357">
        <v>0</v>
      </c>
      <c r="BL242" s="357">
        <v>58418</v>
      </c>
      <c r="BM242" s="357">
        <v>1133</v>
      </c>
      <c r="BN242" s="357">
        <v>0</v>
      </c>
      <c r="BO242" s="357">
        <v>0</v>
      </c>
      <c r="BP242" s="357">
        <v>1133</v>
      </c>
      <c r="BQ242" s="357">
        <v>1981173</v>
      </c>
      <c r="BR242" s="357">
        <v>0</v>
      </c>
      <c r="BS242" s="357">
        <v>0</v>
      </c>
      <c r="BT242" s="357">
        <v>0</v>
      </c>
      <c r="BU242" s="357">
        <v>0</v>
      </c>
      <c r="BV242" s="357">
        <v>0</v>
      </c>
      <c r="BW242" s="357">
        <v>1981173</v>
      </c>
      <c r="BX242" s="357">
        <v>0</v>
      </c>
      <c r="BY242" s="357">
        <v>0</v>
      </c>
      <c r="BZ242" s="357">
        <v>1981173</v>
      </c>
      <c r="CA242" s="357">
        <v>0</v>
      </c>
      <c r="CB242" s="357">
        <v>0</v>
      </c>
      <c r="CC242" s="357">
        <v>0</v>
      </c>
      <c r="CD242" s="357">
        <v>0</v>
      </c>
      <c r="CE242" s="357">
        <v>2035882</v>
      </c>
      <c r="CF242" s="357">
        <v>0</v>
      </c>
      <c r="CG242" s="357">
        <v>0</v>
      </c>
      <c r="CH242" s="357">
        <v>2035882</v>
      </c>
      <c r="CI242" s="357">
        <v>2035882</v>
      </c>
      <c r="CJ242" s="357">
        <v>0</v>
      </c>
      <c r="CK242" s="357">
        <v>0</v>
      </c>
      <c r="CL242" s="357">
        <v>0</v>
      </c>
      <c r="CM242" s="357">
        <v>0</v>
      </c>
      <c r="CN242" s="357">
        <v>0</v>
      </c>
      <c r="CO242" s="357">
        <v>2035882</v>
      </c>
      <c r="CP242" s="357">
        <v>0</v>
      </c>
      <c r="CQ242" s="357">
        <v>0</v>
      </c>
      <c r="CR242" s="357">
        <v>2035882</v>
      </c>
      <c r="CS242" s="357">
        <v>16898</v>
      </c>
      <c r="CT242" s="357">
        <v>0</v>
      </c>
      <c r="CU242" s="357">
        <v>0</v>
      </c>
      <c r="CV242" s="357">
        <v>16898</v>
      </c>
      <c r="CW242" s="357">
        <v>26992</v>
      </c>
      <c r="CX242" s="357">
        <v>0</v>
      </c>
      <c r="CY242" s="357">
        <v>0</v>
      </c>
      <c r="CZ242" s="357">
        <v>26992</v>
      </c>
      <c r="DA242" s="357">
        <v>255</v>
      </c>
      <c r="DB242" s="357">
        <v>0</v>
      </c>
      <c r="DC242" s="357">
        <v>0</v>
      </c>
      <c r="DD242" s="357">
        <v>255</v>
      </c>
      <c r="DE242" s="357">
        <v>0</v>
      </c>
      <c r="DF242" s="357">
        <v>0</v>
      </c>
      <c r="DG242" s="357">
        <v>0</v>
      </c>
      <c r="DH242" s="357">
        <v>0</v>
      </c>
      <c r="DI242" s="357">
        <v>0</v>
      </c>
      <c r="DJ242" s="357">
        <v>0</v>
      </c>
      <c r="DK242" s="357">
        <v>0</v>
      </c>
      <c r="DL242" s="357">
        <v>0</v>
      </c>
      <c r="DM242" s="357">
        <v>0</v>
      </c>
      <c r="DN242" s="357">
        <v>0</v>
      </c>
      <c r="DO242" s="357">
        <v>0</v>
      </c>
      <c r="DP242" s="357">
        <v>0</v>
      </c>
      <c r="DQ242" s="357">
        <v>44145</v>
      </c>
      <c r="DR242" s="357">
        <v>0</v>
      </c>
      <c r="DS242" s="357">
        <v>0</v>
      </c>
      <c r="DT242" s="357">
        <v>0</v>
      </c>
      <c r="DU242" s="357">
        <v>0</v>
      </c>
      <c r="DV242" s="357">
        <v>0</v>
      </c>
      <c r="DW242" s="357">
        <v>44145</v>
      </c>
      <c r="DX242" s="357">
        <v>0</v>
      </c>
      <c r="DY242" s="357">
        <v>0</v>
      </c>
      <c r="DZ242" s="357">
        <v>44145</v>
      </c>
      <c r="EA242" s="357">
        <v>0</v>
      </c>
      <c r="EB242" s="357">
        <v>0</v>
      </c>
      <c r="EC242" s="357">
        <v>0</v>
      </c>
      <c r="ED242" s="357">
        <v>0</v>
      </c>
      <c r="EE242" s="357">
        <v>0</v>
      </c>
      <c r="EF242" s="357">
        <v>0</v>
      </c>
      <c r="EG242" s="357">
        <v>0</v>
      </c>
      <c r="EH242" s="357">
        <v>0</v>
      </c>
      <c r="EI242" s="357">
        <v>0</v>
      </c>
      <c r="EJ242" s="357">
        <v>0</v>
      </c>
      <c r="EK242" s="357">
        <v>268000</v>
      </c>
      <c r="EL242" s="357">
        <v>0</v>
      </c>
      <c r="EM242" s="357">
        <v>0</v>
      </c>
      <c r="EN242" s="357">
        <v>268000</v>
      </c>
      <c r="EO242" s="357">
        <v>268000</v>
      </c>
      <c r="EP242" s="357">
        <v>0</v>
      </c>
      <c r="EQ242" s="357">
        <v>0</v>
      </c>
      <c r="ER242" s="357">
        <v>0</v>
      </c>
      <c r="ES242" s="357">
        <v>0</v>
      </c>
      <c r="ET242" s="357">
        <v>0</v>
      </c>
      <c r="EU242" s="357">
        <v>268000</v>
      </c>
      <c r="EV242" s="357">
        <v>0</v>
      </c>
      <c r="EW242" s="357">
        <v>0</v>
      </c>
      <c r="EX242" s="357">
        <v>268000</v>
      </c>
      <c r="EY242" s="357">
        <v>27076429</v>
      </c>
      <c r="EZ242" s="357">
        <v>0</v>
      </c>
      <c r="FA242" s="357">
        <v>0</v>
      </c>
      <c r="FB242" s="357">
        <v>27076429</v>
      </c>
      <c r="FC242" s="277">
        <v>0</v>
      </c>
      <c r="FD242" s="205"/>
    </row>
    <row r="243" spans="1:160" ht="12.75">
      <c r="A243" s="169">
        <v>236</v>
      </c>
      <c r="B243" s="172" t="s">
        <v>402</v>
      </c>
      <c r="C243" s="258" t="s">
        <v>403</v>
      </c>
      <c r="D243" s="235">
        <v>41663</v>
      </c>
      <c r="E243" s="357">
        <v>174257804</v>
      </c>
      <c r="F243" s="357">
        <v>0</v>
      </c>
      <c r="G243" s="357">
        <v>0</v>
      </c>
      <c r="H243" s="357">
        <v>174257804</v>
      </c>
      <c r="I243" s="357">
        <v>82075426</v>
      </c>
      <c r="J243" s="357">
        <v>0</v>
      </c>
      <c r="K243" s="357">
        <v>0</v>
      </c>
      <c r="L243" s="357">
        <v>-246230</v>
      </c>
      <c r="M243" s="357">
        <v>0</v>
      </c>
      <c r="N243" s="357">
        <v>0</v>
      </c>
      <c r="O243" s="357">
        <v>81829196</v>
      </c>
      <c r="P243" s="357">
        <v>0</v>
      </c>
      <c r="Q243" s="357">
        <v>0</v>
      </c>
      <c r="R243" s="357">
        <v>81829196</v>
      </c>
      <c r="S243" s="357">
        <v>118627</v>
      </c>
      <c r="T243" s="357">
        <v>0</v>
      </c>
      <c r="U243" s="357">
        <v>0</v>
      </c>
      <c r="V243" s="357">
        <v>118627</v>
      </c>
      <c r="W243" s="357">
        <v>43534</v>
      </c>
      <c r="X243" s="357">
        <v>0</v>
      </c>
      <c r="Y243" s="357">
        <v>0</v>
      </c>
      <c r="Z243" s="357">
        <v>43534</v>
      </c>
      <c r="AA243" s="357">
        <v>75093</v>
      </c>
      <c r="AB243" s="357">
        <v>0</v>
      </c>
      <c r="AC243" s="357">
        <v>0</v>
      </c>
      <c r="AD243" s="357">
        <v>0</v>
      </c>
      <c r="AE243" s="357">
        <v>0</v>
      </c>
      <c r="AF243" s="357">
        <v>0</v>
      </c>
      <c r="AG243" s="357">
        <v>75093</v>
      </c>
      <c r="AH243" s="357">
        <v>0</v>
      </c>
      <c r="AI243" s="357">
        <v>0</v>
      </c>
      <c r="AJ243" s="357">
        <v>75093</v>
      </c>
      <c r="AK243" s="357">
        <v>75093</v>
      </c>
      <c r="AL243" s="357">
        <v>0</v>
      </c>
      <c r="AM243" s="357">
        <v>0</v>
      </c>
      <c r="AN243" s="357">
        <v>75093</v>
      </c>
      <c r="AO243" s="357">
        <v>2508217</v>
      </c>
      <c r="AP243" s="357">
        <v>0</v>
      </c>
      <c r="AQ243" s="357">
        <v>0</v>
      </c>
      <c r="AR243" s="357">
        <v>2508217</v>
      </c>
      <c r="AS243" s="357">
        <v>0</v>
      </c>
      <c r="AT243" s="357">
        <v>0</v>
      </c>
      <c r="AU243" s="357">
        <v>0</v>
      </c>
      <c r="AV243" s="357">
        <v>0</v>
      </c>
      <c r="AW243" s="357">
        <v>1370723</v>
      </c>
      <c r="AX243" s="357">
        <v>0</v>
      </c>
      <c r="AY243" s="357">
        <v>0</v>
      </c>
      <c r="AZ243" s="357">
        <v>1370723</v>
      </c>
      <c r="BA243" s="357">
        <v>1137494</v>
      </c>
      <c r="BB243" s="357">
        <v>0</v>
      </c>
      <c r="BC243" s="357">
        <v>0</v>
      </c>
      <c r="BD243" s="357">
        <v>1137494</v>
      </c>
      <c r="BE243" s="357">
        <v>8294775</v>
      </c>
      <c r="BF243" s="357">
        <v>0</v>
      </c>
      <c r="BG243" s="357">
        <v>0</v>
      </c>
      <c r="BH243" s="357">
        <v>8294775</v>
      </c>
      <c r="BI243" s="357">
        <v>36697</v>
      </c>
      <c r="BJ243" s="357">
        <v>0</v>
      </c>
      <c r="BK243" s="357">
        <v>0</v>
      </c>
      <c r="BL243" s="357">
        <v>36697</v>
      </c>
      <c r="BM243" s="357">
        <v>81116</v>
      </c>
      <c r="BN243" s="357">
        <v>0</v>
      </c>
      <c r="BO243" s="357">
        <v>0</v>
      </c>
      <c r="BP243" s="357">
        <v>81116</v>
      </c>
      <c r="BQ243" s="357">
        <v>9550082</v>
      </c>
      <c r="BR243" s="357">
        <v>0</v>
      </c>
      <c r="BS243" s="357">
        <v>0</v>
      </c>
      <c r="BT243" s="357">
        <v>458404</v>
      </c>
      <c r="BU243" s="357">
        <v>0</v>
      </c>
      <c r="BV243" s="357">
        <v>0</v>
      </c>
      <c r="BW243" s="357">
        <v>10008486</v>
      </c>
      <c r="BX243" s="357">
        <v>0</v>
      </c>
      <c r="BY243" s="357">
        <v>0</v>
      </c>
      <c r="BZ243" s="357">
        <v>10008486</v>
      </c>
      <c r="CA243" s="357">
        <v>33355</v>
      </c>
      <c r="CB243" s="357">
        <v>0</v>
      </c>
      <c r="CC243" s="357">
        <v>0</v>
      </c>
      <c r="CD243" s="357">
        <v>33355</v>
      </c>
      <c r="CE243" s="357">
        <v>1582144</v>
      </c>
      <c r="CF243" s="357">
        <v>0</v>
      </c>
      <c r="CG243" s="357">
        <v>0</v>
      </c>
      <c r="CH243" s="357">
        <v>1582144</v>
      </c>
      <c r="CI243" s="357">
        <v>1615499</v>
      </c>
      <c r="CJ243" s="357">
        <v>0</v>
      </c>
      <c r="CK243" s="357">
        <v>0</v>
      </c>
      <c r="CL243" s="357">
        <v>0</v>
      </c>
      <c r="CM243" s="357">
        <v>0</v>
      </c>
      <c r="CN243" s="357">
        <v>0</v>
      </c>
      <c r="CO243" s="357">
        <v>1615499</v>
      </c>
      <c r="CP243" s="357">
        <v>0</v>
      </c>
      <c r="CQ243" s="357">
        <v>0</v>
      </c>
      <c r="CR243" s="357">
        <v>1615499</v>
      </c>
      <c r="CS243" s="357">
        <v>106648</v>
      </c>
      <c r="CT243" s="357">
        <v>0</v>
      </c>
      <c r="CU243" s="357">
        <v>0</v>
      </c>
      <c r="CV243" s="357">
        <v>106648</v>
      </c>
      <c r="CW243" s="357">
        <v>53652</v>
      </c>
      <c r="CX243" s="357">
        <v>0</v>
      </c>
      <c r="CY243" s="357">
        <v>0</v>
      </c>
      <c r="CZ243" s="357">
        <v>53652</v>
      </c>
      <c r="DA243" s="357">
        <v>0</v>
      </c>
      <c r="DB243" s="357">
        <v>0</v>
      </c>
      <c r="DC243" s="357">
        <v>0</v>
      </c>
      <c r="DD243" s="357">
        <v>0</v>
      </c>
      <c r="DE243" s="357">
        <v>82567</v>
      </c>
      <c r="DF243" s="357">
        <v>0</v>
      </c>
      <c r="DG243" s="357">
        <v>0</v>
      </c>
      <c r="DH243" s="357">
        <v>82567</v>
      </c>
      <c r="DI243" s="357">
        <v>48305</v>
      </c>
      <c r="DJ243" s="357">
        <v>0</v>
      </c>
      <c r="DK243" s="357">
        <v>0</v>
      </c>
      <c r="DL243" s="357">
        <v>48305</v>
      </c>
      <c r="DM243" s="357">
        <v>0</v>
      </c>
      <c r="DN243" s="357">
        <v>0</v>
      </c>
      <c r="DO243" s="357">
        <v>0</v>
      </c>
      <c r="DP243" s="357">
        <v>0</v>
      </c>
      <c r="DQ243" s="357">
        <v>291172</v>
      </c>
      <c r="DR243" s="357">
        <v>0</v>
      </c>
      <c r="DS243" s="357">
        <v>0</v>
      </c>
      <c r="DT243" s="357">
        <v>29700</v>
      </c>
      <c r="DU243" s="357">
        <v>0</v>
      </c>
      <c r="DV243" s="357">
        <v>0</v>
      </c>
      <c r="DW243" s="357">
        <v>320872</v>
      </c>
      <c r="DX243" s="357">
        <v>0</v>
      </c>
      <c r="DY243" s="357">
        <v>0</v>
      </c>
      <c r="DZ243" s="357">
        <v>320872</v>
      </c>
      <c r="EA243" s="357">
        <v>0</v>
      </c>
      <c r="EB243" s="357">
        <v>0</v>
      </c>
      <c r="EC243" s="357">
        <v>100000</v>
      </c>
      <c r="ED243" s="357">
        <v>0</v>
      </c>
      <c r="EE243" s="357">
        <v>0</v>
      </c>
      <c r="EF243" s="357">
        <v>100000</v>
      </c>
      <c r="EG243" s="357">
        <v>9000</v>
      </c>
      <c r="EH243" s="357">
        <v>0</v>
      </c>
      <c r="EI243" s="357">
        <v>0</v>
      </c>
      <c r="EJ243" s="357">
        <v>9000</v>
      </c>
      <c r="EK243" s="357">
        <v>443000</v>
      </c>
      <c r="EL243" s="357">
        <v>0</v>
      </c>
      <c r="EM243" s="357">
        <v>0</v>
      </c>
      <c r="EN243" s="357">
        <v>443000</v>
      </c>
      <c r="EO243" s="357">
        <v>552000</v>
      </c>
      <c r="EP243" s="357">
        <v>0</v>
      </c>
      <c r="EQ243" s="357">
        <v>0</v>
      </c>
      <c r="ER243" s="357">
        <v>0</v>
      </c>
      <c r="ES243" s="357">
        <v>0</v>
      </c>
      <c r="ET243" s="357">
        <v>0</v>
      </c>
      <c r="EU243" s="357">
        <v>552000</v>
      </c>
      <c r="EV243" s="357">
        <v>0</v>
      </c>
      <c r="EW243" s="357">
        <v>0</v>
      </c>
      <c r="EX243" s="357">
        <v>552000</v>
      </c>
      <c r="EY243" s="357">
        <v>69257246</v>
      </c>
      <c r="EZ243" s="357">
        <v>0</v>
      </c>
      <c r="FA243" s="357">
        <v>0</v>
      </c>
      <c r="FB243" s="357">
        <v>69257246</v>
      </c>
      <c r="FC243" s="277">
        <v>0</v>
      </c>
      <c r="FD243" s="205"/>
    </row>
    <row r="244" spans="1:160" ht="12.75">
      <c r="A244" s="169">
        <v>237</v>
      </c>
      <c r="B244" s="172" t="s">
        <v>404</v>
      </c>
      <c r="C244" s="258" t="s">
        <v>405</v>
      </c>
      <c r="D244" s="235">
        <v>300114</v>
      </c>
      <c r="E244" s="357">
        <v>54473485</v>
      </c>
      <c r="F244" s="357">
        <v>0</v>
      </c>
      <c r="G244" s="357">
        <v>0</v>
      </c>
      <c r="H244" s="357">
        <v>54473485</v>
      </c>
      <c r="I244" s="357">
        <v>25657011</v>
      </c>
      <c r="J244" s="357">
        <v>0</v>
      </c>
      <c r="K244" s="357">
        <v>0</v>
      </c>
      <c r="L244" s="357">
        <v>64163</v>
      </c>
      <c r="M244" s="357">
        <v>0</v>
      </c>
      <c r="N244" s="357">
        <v>0</v>
      </c>
      <c r="O244" s="357">
        <v>25721174</v>
      </c>
      <c r="P244" s="357">
        <v>0</v>
      </c>
      <c r="Q244" s="357">
        <v>0</v>
      </c>
      <c r="R244" s="357">
        <v>25721174</v>
      </c>
      <c r="S244" s="357">
        <v>28498</v>
      </c>
      <c r="T244" s="357">
        <v>0</v>
      </c>
      <c r="U244" s="357">
        <v>0</v>
      </c>
      <c r="V244" s="357">
        <v>28498</v>
      </c>
      <c r="W244" s="357">
        <v>17145</v>
      </c>
      <c r="X244" s="357">
        <v>0</v>
      </c>
      <c r="Y244" s="357">
        <v>0</v>
      </c>
      <c r="Z244" s="357">
        <v>17145</v>
      </c>
      <c r="AA244" s="357">
        <v>11353</v>
      </c>
      <c r="AB244" s="357">
        <v>0</v>
      </c>
      <c r="AC244" s="357">
        <v>0</v>
      </c>
      <c r="AD244" s="357">
        <v>0</v>
      </c>
      <c r="AE244" s="357">
        <v>0</v>
      </c>
      <c r="AF244" s="357">
        <v>0</v>
      </c>
      <c r="AG244" s="357">
        <v>11353</v>
      </c>
      <c r="AH244" s="357">
        <v>0</v>
      </c>
      <c r="AI244" s="357">
        <v>0</v>
      </c>
      <c r="AJ244" s="357">
        <v>11353</v>
      </c>
      <c r="AK244" s="357">
        <v>11353</v>
      </c>
      <c r="AL244" s="357">
        <v>0</v>
      </c>
      <c r="AM244" s="357">
        <v>0</v>
      </c>
      <c r="AN244" s="357">
        <v>11353</v>
      </c>
      <c r="AO244" s="357">
        <v>1303794</v>
      </c>
      <c r="AP244" s="357">
        <v>0</v>
      </c>
      <c r="AQ244" s="357">
        <v>0</v>
      </c>
      <c r="AR244" s="357">
        <v>1303794</v>
      </c>
      <c r="AS244" s="357">
        <v>0</v>
      </c>
      <c r="AT244" s="357">
        <v>0</v>
      </c>
      <c r="AU244" s="357">
        <v>0</v>
      </c>
      <c r="AV244" s="357">
        <v>0</v>
      </c>
      <c r="AW244" s="357">
        <v>507779</v>
      </c>
      <c r="AX244" s="357">
        <v>0</v>
      </c>
      <c r="AY244" s="357">
        <v>0</v>
      </c>
      <c r="AZ244" s="357">
        <v>507779</v>
      </c>
      <c r="BA244" s="357">
        <v>796015</v>
      </c>
      <c r="BB244" s="357">
        <v>0</v>
      </c>
      <c r="BC244" s="357">
        <v>0</v>
      </c>
      <c r="BD244" s="357">
        <v>796015</v>
      </c>
      <c r="BE244" s="357">
        <v>1007836</v>
      </c>
      <c r="BF244" s="357">
        <v>0</v>
      </c>
      <c r="BG244" s="357">
        <v>0</v>
      </c>
      <c r="BH244" s="357">
        <v>1007836</v>
      </c>
      <c r="BI244" s="357">
        <v>33441</v>
      </c>
      <c r="BJ244" s="357">
        <v>0</v>
      </c>
      <c r="BK244" s="357">
        <v>0</v>
      </c>
      <c r="BL244" s="357">
        <v>33441</v>
      </c>
      <c r="BM244" s="357">
        <v>22443</v>
      </c>
      <c r="BN244" s="357">
        <v>0</v>
      </c>
      <c r="BO244" s="357">
        <v>0</v>
      </c>
      <c r="BP244" s="357">
        <v>22443</v>
      </c>
      <c r="BQ244" s="357">
        <v>1859735</v>
      </c>
      <c r="BR244" s="357">
        <v>0</v>
      </c>
      <c r="BS244" s="357">
        <v>0</v>
      </c>
      <c r="BT244" s="357">
        <v>4649</v>
      </c>
      <c r="BU244" s="357">
        <v>0</v>
      </c>
      <c r="BV244" s="357">
        <v>0</v>
      </c>
      <c r="BW244" s="357">
        <v>1864384</v>
      </c>
      <c r="BX244" s="357">
        <v>0</v>
      </c>
      <c r="BY244" s="357">
        <v>0</v>
      </c>
      <c r="BZ244" s="357">
        <v>1864384</v>
      </c>
      <c r="CA244" s="357">
        <v>50000</v>
      </c>
      <c r="CB244" s="357">
        <v>0</v>
      </c>
      <c r="CC244" s="357">
        <v>0</v>
      </c>
      <c r="CD244" s="357">
        <v>50000</v>
      </c>
      <c r="CE244" s="357">
        <v>642823</v>
      </c>
      <c r="CF244" s="357">
        <v>0</v>
      </c>
      <c r="CG244" s="357">
        <v>0</v>
      </c>
      <c r="CH244" s="357">
        <v>642823</v>
      </c>
      <c r="CI244" s="357">
        <v>692823</v>
      </c>
      <c r="CJ244" s="357">
        <v>0</v>
      </c>
      <c r="CK244" s="357">
        <v>0</v>
      </c>
      <c r="CL244" s="357">
        <v>1732</v>
      </c>
      <c r="CM244" s="357">
        <v>0</v>
      </c>
      <c r="CN244" s="357">
        <v>0</v>
      </c>
      <c r="CO244" s="357">
        <v>694555</v>
      </c>
      <c r="CP244" s="357">
        <v>0</v>
      </c>
      <c r="CQ244" s="357">
        <v>0</v>
      </c>
      <c r="CR244" s="357">
        <v>694555</v>
      </c>
      <c r="CS244" s="357">
        <v>37012</v>
      </c>
      <c r="CT244" s="357">
        <v>0</v>
      </c>
      <c r="CU244" s="357">
        <v>0</v>
      </c>
      <c r="CV244" s="357">
        <v>37012</v>
      </c>
      <c r="CW244" s="357">
        <v>1080</v>
      </c>
      <c r="CX244" s="357">
        <v>0</v>
      </c>
      <c r="CY244" s="357">
        <v>0</v>
      </c>
      <c r="CZ244" s="357">
        <v>1080</v>
      </c>
      <c r="DA244" s="357">
        <v>0</v>
      </c>
      <c r="DB244" s="357">
        <v>0</v>
      </c>
      <c r="DC244" s="357">
        <v>0</v>
      </c>
      <c r="DD244" s="357">
        <v>0</v>
      </c>
      <c r="DE244" s="357">
        <v>1225</v>
      </c>
      <c r="DF244" s="357">
        <v>0</v>
      </c>
      <c r="DG244" s="357">
        <v>0</v>
      </c>
      <c r="DH244" s="357">
        <v>1225</v>
      </c>
      <c r="DI244" s="357">
        <v>1516</v>
      </c>
      <c r="DJ244" s="357">
        <v>0</v>
      </c>
      <c r="DK244" s="357">
        <v>0</v>
      </c>
      <c r="DL244" s="357">
        <v>1516</v>
      </c>
      <c r="DM244" s="357">
        <v>0</v>
      </c>
      <c r="DN244" s="357">
        <v>0</v>
      </c>
      <c r="DO244" s="357">
        <v>0</v>
      </c>
      <c r="DP244" s="357">
        <v>0</v>
      </c>
      <c r="DQ244" s="357">
        <v>40833</v>
      </c>
      <c r="DR244" s="357">
        <v>0</v>
      </c>
      <c r="DS244" s="357">
        <v>0</v>
      </c>
      <c r="DT244" s="357">
        <v>102</v>
      </c>
      <c r="DU244" s="357">
        <v>0</v>
      </c>
      <c r="DV244" s="357">
        <v>0</v>
      </c>
      <c r="DW244" s="357">
        <v>40935</v>
      </c>
      <c r="DX244" s="357">
        <v>0</v>
      </c>
      <c r="DY244" s="357">
        <v>0</v>
      </c>
      <c r="DZ244" s="357">
        <v>40935</v>
      </c>
      <c r="EA244" s="357">
        <v>0</v>
      </c>
      <c r="EB244" s="357">
        <v>0</v>
      </c>
      <c r="EC244" s="357">
        <v>19117</v>
      </c>
      <c r="ED244" s="357">
        <v>0</v>
      </c>
      <c r="EE244" s="357">
        <v>0</v>
      </c>
      <c r="EF244" s="357">
        <v>19117</v>
      </c>
      <c r="EG244" s="357">
        <v>72911</v>
      </c>
      <c r="EH244" s="357">
        <v>0</v>
      </c>
      <c r="EI244" s="357">
        <v>0</v>
      </c>
      <c r="EJ244" s="357">
        <v>72911</v>
      </c>
      <c r="EK244" s="357">
        <v>87000</v>
      </c>
      <c r="EL244" s="357">
        <v>0</v>
      </c>
      <c r="EM244" s="357">
        <v>0</v>
      </c>
      <c r="EN244" s="357">
        <v>87000</v>
      </c>
      <c r="EO244" s="357">
        <v>179028</v>
      </c>
      <c r="EP244" s="357">
        <v>0</v>
      </c>
      <c r="EQ244" s="357">
        <v>0</v>
      </c>
      <c r="ER244" s="357">
        <v>448</v>
      </c>
      <c r="ES244" s="357">
        <v>0</v>
      </c>
      <c r="ET244" s="357">
        <v>0</v>
      </c>
      <c r="EU244" s="357">
        <v>179476</v>
      </c>
      <c r="EV244" s="357">
        <v>0</v>
      </c>
      <c r="EW244" s="357">
        <v>0</v>
      </c>
      <c r="EX244" s="357">
        <v>179476</v>
      </c>
      <c r="EY244" s="357">
        <v>22930471</v>
      </c>
      <c r="EZ244" s="357">
        <v>0</v>
      </c>
      <c r="FA244" s="357">
        <v>0</v>
      </c>
      <c r="FB244" s="357">
        <v>22930471</v>
      </c>
      <c r="FC244" s="277">
        <v>0</v>
      </c>
      <c r="FD244" s="205"/>
    </row>
    <row r="245" spans="1:160" ht="12.75">
      <c r="A245" s="169">
        <v>238</v>
      </c>
      <c r="B245" s="172" t="s">
        <v>406</v>
      </c>
      <c r="C245" s="258" t="s">
        <v>407</v>
      </c>
      <c r="D245" s="235">
        <v>41547</v>
      </c>
      <c r="E245" s="357">
        <v>307841372</v>
      </c>
      <c r="F245" s="357">
        <v>9387150</v>
      </c>
      <c r="G245" s="357">
        <v>0</v>
      </c>
      <c r="H245" s="357">
        <v>317228522</v>
      </c>
      <c r="I245" s="357">
        <v>144993286</v>
      </c>
      <c r="J245" s="357">
        <v>4421348</v>
      </c>
      <c r="K245" s="357">
        <v>0</v>
      </c>
      <c r="L245" s="357">
        <v>471000</v>
      </c>
      <c r="M245" s="357">
        <v>0</v>
      </c>
      <c r="N245" s="357">
        <v>0</v>
      </c>
      <c r="O245" s="357">
        <v>145464286</v>
      </c>
      <c r="P245" s="357">
        <v>4421348</v>
      </c>
      <c r="Q245" s="357">
        <v>0</v>
      </c>
      <c r="R245" s="357">
        <v>149885634</v>
      </c>
      <c r="S245" s="357">
        <v>312600</v>
      </c>
      <c r="T245" s="357">
        <v>0</v>
      </c>
      <c r="U245" s="357">
        <v>0</v>
      </c>
      <c r="V245" s="357">
        <v>312600</v>
      </c>
      <c r="W245" s="357">
        <v>2956</v>
      </c>
      <c r="X245" s="357">
        <v>0</v>
      </c>
      <c r="Y245" s="357">
        <v>0</v>
      </c>
      <c r="Z245" s="357">
        <v>2956</v>
      </c>
      <c r="AA245" s="357">
        <v>309644</v>
      </c>
      <c r="AB245" s="357">
        <v>0</v>
      </c>
      <c r="AC245" s="357">
        <v>0</v>
      </c>
      <c r="AD245" s="357">
        <v>0</v>
      </c>
      <c r="AE245" s="357">
        <v>0</v>
      </c>
      <c r="AF245" s="357">
        <v>0</v>
      </c>
      <c r="AG245" s="357">
        <v>309644</v>
      </c>
      <c r="AH245" s="357">
        <v>0</v>
      </c>
      <c r="AI245" s="357">
        <v>0</v>
      </c>
      <c r="AJ245" s="357">
        <v>309644</v>
      </c>
      <c r="AK245" s="357">
        <v>309644</v>
      </c>
      <c r="AL245" s="357">
        <v>0</v>
      </c>
      <c r="AM245" s="357">
        <v>0</v>
      </c>
      <c r="AN245" s="357">
        <v>309644</v>
      </c>
      <c r="AO245" s="357">
        <v>3328585</v>
      </c>
      <c r="AP245" s="357">
        <v>8761</v>
      </c>
      <c r="AQ245" s="357">
        <v>0</v>
      </c>
      <c r="AR245" s="357">
        <v>3337346</v>
      </c>
      <c r="AS245" s="357">
        <v>100120</v>
      </c>
      <c r="AT245" s="357">
        <v>263</v>
      </c>
      <c r="AU245" s="357">
        <v>0</v>
      </c>
      <c r="AV245" s="357">
        <v>100383</v>
      </c>
      <c r="AW245" s="357">
        <v>3118629</v>
      </c>
      <c r="AX245" s="357">
        <v>107206</v>
      </c>
      <c r="AY245" s="357">
        <v>0</v>
      </c>
      <c r="AZ245" s="357">
        <v>3225835</v>
      </c>
      <c r="BA245" s="357">
        <v>209956</v>
      </c>
      <c r="BB245" s="357">
        <v>-98445</v>
      </c>
      <c r="BC245" s="357">
        <v>0</v>
      </c>
      <c r="BD245" s="357">
        <v>111511</v>
      </c>
      <c r="BE245" s="357">
        <v>5796550</v>
      </c>
      <c r="BF245" s="357">
        <v>0</v>
      </c>
      <c r="BG245" s="357">
        <v>0</v>
      </c>
      <c r="BH245" s="357">
        <v>5796550</v>
      </c>
      <c r="BI245" s="357">
        <v>91561</v>
      </c>
      <c r="BJ245" s="357">
        <v>0</v>
      </c>
      <c r="BK245" s="357">
        <v>0</v>
      </c>
      <c r="BL245" s="357">
        <v>91561</v>
      </c>
      <c r="BM245" s="357">
        <v>28474</v>
      </c>
      <c r="BN245" s="357">
        <v>0</v>
      </c>
      <c r="BO245" s="357">
        <v>0</v>
      </c>
      <c r="BP245" s="357">
        <v>28474</v>
      </c>
      <c r="BQ245" s="357">
        <v>6126541</v>
      </c>
      <c r="BR245" s="357">
        <v>-98445</v>
      </c>
      <c r="BS245" s="357">
        <v>0</v>
      </c>
      <c r="BT245" s="357">
        <v>0</v>
      </c>
      <c r="BU245" s="357">
        <v>0</v>
      </c>
      <c r="BV245" s="357">
        <v>0</v>
      </c>
      <c r="BW245" s="357">
        <v>6126541</v>
      </c>
      <c r="BX245" s="357">
        <v>-98445</v>
      </c>
      <c r="BY245" s="357">
        <v>0</v>
      </c>
      <c r="BZ245" s="357">
        <v>6028096</v>
      </c>
      <c r="CA245" s="357">
        <v>285000</v>
      </c>
      <c r="CB245" s="357">
        <v>0</v>
      </c>
      <c r="CC245" s="357">
        <v>0</v>
      </c>
      <c r="CD245" s="357">
        <v>285000</v>
      </c>
      <c r="CE245" s="357">
        <v>2086684</v>
      </c>
      <c r="CF245" s="357">
        <v>0</v>
      </c>
      <c r="CG245" s="357">
        <v>0</v>
      </c>
      <c r="CH245" s="357">
        <v>2086684</v>
      </c>
      <c r="CI245" s="357">
        <v>2371684</v>
      </c>
      <c r="CJ245" s="357">
        <v>0</v>
      </c>
      <c r="CK245" s="357">
        <v>0</v>
      </c>
      <c r="CL245" s="357">
        <v>0</v>
      </c>
      <c r="CM245" s="357">
        <v>0</v>
      </c>
      <c r="CN245" s="357">
        <v>0</v>
      </c>
      <c r="CO245" s="357">
        <v>2371684</v>
      </c>
      <c r="CP245" s="357">
        <v>0</v>
      </c>
      <c r="CQ245" s="357">
        <v>0</v>
      </c>
      <c r="CR245" s="357">
        <v>2371684</v>
      </c>
      <c r="CS245" s="357">
        <v>136185</v>
      </c>
      <c r="CT245" s="357">
        <v>0</v>
      </c>
      <c r="CU245" s="357">
        <v>0</v>
      </c>
      <c r="CV245" s="357">
        <v>136185</v>
      </c>
      <c r="CW245" s="357">
        <v>593305</v>
      </c>
      <c r="CX245" s="357">
        <v>0</v>
      </c>
      <c r="CY245" s="357">
        <v>0</v>
      </c>
      <c r="CZ245" s="357">
        <v>593305</v>
      </c>
      <c r="DA245" s="357">
        <v>0</v>
      </c>
      <c r="DB245" s="357">
        <v>0</v>
      </c>
      <c r="DC245" s="357">
        <v>0</v>
      </c>
      <c r="DD245" s="357">
        <v>0</v>
      </c>
      <c r="DE245" s="357">
        <v>26221</v>
      </c>
      <c r="DF245" s="357">
        <v>0</v>
      </c>
      <c r="DG245" s="357">
        <v>0</v>
      </c>
      <c r="DH245" s="357">
        <v>26221</v>
      </c>
      <c r="DI245" s="357">
        <v>24579</v>
      </c>
      <c r="DJ245" s="357">
        <v>0</v>
      </c>
      <c r="DK245" s="357">
        <v>0</v>
      </c>
      <c r="DL245" s="357">
        <v>24579</v>
      </c>
      <c r="DM245" s="357">
        <v>0</v>
      </c>
      <c r="DN245" s="357">
        <v>0</v>
      </c>
      <c r="DO245" s="357">
        <v>0</v>
      </c>
      <c r="DP245" s="357">
        <v>0</v>
      </c>
      <c r="DQ245" s="357">
        <v>780290</v>
      </c>
      <c r="DR245" s="357">
        <v>0</v>
      </c>
      <c r="DS245" s="357">
        <v>0</v>
      </c>
      <c r="DT245" s="357">
        <v>0</v>
      </c>
      <c r="DU245" s="357">
        <v>0</v>
      </c>
      <c r="DV245" s="357">
        <v>0</v>
      </c>
      <c r="DW245" s="357">
        <v>780290</v>
      </c>
      <c r="DX245" s="357">
        <v>0</v>
      </c>
      <c r="DY245" s="357">
        <v>0</v>
      </c>
      <c r="DZ245" s="357">
        <v>780290</v>
      </c>
      <c r="EA245" s="357">
        <v>0</v>
      </c>
      <c r="EB245" s="357">
        <v>0</v>
      </c>
      <c r="EC245" s="357">
        <v>62601</v>
      </c>
      <c r="ED245" s="357">
        <v>0</v>
      </c>
      <c r="EE245" s="357">
        <v>0</v>
      </c>
      <c r="EF245" s="357">
        <v>62601</v>
      </c>
      <c r="EG245" s="357">
        <v>300000</v>
      </c>
      <c r="EH245" s="357">
        <v>0</v>
      </c>
      <c r="EI245" s="357">
        <v>0</v>
      </c>
      <c r="EJ245" s="357">
        <v>300000</v>
      </c>
      <c r="EK245" s="357">
        <v>1345000</v>
      </c>
      <c r="EL245" s="357">
        <v>0</v>
      </c>
      <c r="EM245" s="357">
        <v>0</v>
      </c>
      <c r="EN245" s="357">
        <v>1345000</v>
      </c>
      <c r="EO245" s="357">
        <v>1707601</v>
      </c>
      <c r="EP245" s="357">
        <v>0</v>
      </c>
      <c r="EQ245" s="357">
        <v>0</v>
      </c>
      <c r="ER245" s="357">
        <v>0</v>
      </c>
      <c r="ES245" s="357">
        <v>0</v>
      </c>
      <c r="ET245" s="357">
        <v>0</v>
      </c>
      <c r="EU245" s="357">
        <v>1707601</v>
      </c>
      <c r="EV245" s="357">
        <v>0</v>
      </c>
      <c r="EW245" s="357">
        <v>0</v>
      </c>
      <c r="EX245" s="357">
        <v>1707601</v>
      </c>
      <c r="EY245" s="357">
        <v>134168526</v>
      </c>
      <c r="EZ245" s="357">
        <v>4519793</v>
      </c>
      <c r="FA245" s="357">
        <v>0</v>
      </c>
      <c r="FB245" s="357">
        <v>138688319</v>
      </c>
      <c r="FC245" s="277">
        <v>0</v>
      </c>
      <c r="FD245" s="205"/>
    </row>
    <row r="246" spans="1:160" ht="12.75">
      <c r="A246" s="169">
        <v>239</v>
      </c>
      <c r="B246" s="172" t="s">
        <v>408</v>
      </c>
      <c r="C246" s="258" t="s">
        <v>409</v>
      </c>
      <c r="D246" s="235">
        <v>220114</v>
      </c>
      <c r="E246" s="357">
        <v>81966894</v>
      </c>
      <c r="F246" s="357">
        <v>0</v>
      </c>
      <c r="G246" s="357">
        <v>0</v>
      </c>
      <c r="H246" s="357">
        <v>81966894</v>
      </c>
      <c r="I246" s="357">
        <v>38606407</v>
      </c>
      <c r="J246" s="357">
        <v>0</v>
      </c>
      <c r="K246" s="357">
        <v>0</v>
      </c>
      <c r="L246" s="357">
        <v>0</v>
      </c>
      <c r="M246" s="357">
        <v>0</v>
      </c>
      <c r="N246" s="357">
        <v>0</v>
      </c>
      <c r="O246" s="357">
        <v>38606407</v>
      </c>
      <c r="P246" s="357">
        <v>0</v>
      </c>
      <c r="Q246" s="357">
        <v>0</v>
      </c>
      <c r="R246" s="357">
        <v>38606407</v>
      </c>
      <c r="S246" s="357">
        <v>1769008</v>
      </c>
      <c r="T246" s="357">
        <v>0</v>
      </c>
      <c r="U246" s="357">
        <v>0</v>
      </c>
      <c r="V246" s="357">
        <v>1769008</v>
      </c>
      <c r="W246" s="357">
        <v>2133</v>
      </c>
      <c r="X246" s="357">
        <v>0</v>
      </c>
      <c r="Y246" s="357">
        <v>0</v>
      </c>
      <c r="Z246" s="357">
        <v>2133</v>
      </c>
      <c r="AA246" s="357">
        <v>1766875</v>
      </c>
      <c r="AB246" s="357">
        <v>0</v>
      </c>
      <c r="AC246" s="357">
        <v>0</v>
      </c>
      <c r="AD246" s="357">
        <v>-243000</v>
      </c>
      <c r="AE246" s="357">
        <v>0</v>
      </c>
      <c r="AF246" s="357">
        <v>0</v>
      </c>
      <c r="AG246" s="357">
        <v>1523875</v>
      </c>
      <c r="AH246" s="357">
        <v>0</v>
      </c>
      <c r="AI246" s="357">
        <v>0</v>
      </c>
      <c r="AJ246" s="357">
        <v>1523875</v>
      </c>
      <c r="AK246" s="357">
        <v>1523875</v>
      </c>
      <c r="AL246" s="357">
        <v>0</v>
      </c>
      <c r="AM246" s="357">
        <v>0</v>
      </c>
      <c r="AN246" s="357">
        <v>1523875</v>
      </c>
      <c r="AO246" s="357">
        <v>3982842</v>
      </c>
      <c r="AP246" s="357">
        <v>0</v>
      </c>
      <c r="AQ246" s="357">
        <v>0</v>
      </c>
      <c r="AR246" s="357">
        <v>3982842</v>
      </c>
      <c r="AS246" s="357">
        <v>20000</v>
      </c>
      <c r="AT246" s="357">
        <v>0</v>
      </c>
      <c r="AU246" s="357">
        <v>0</v>
      </c>
      <c r="AV246" s="357">
        <v>20000</v>
      </c>
      <c r="AW246" s="357">
        <v>663664</v>
      </c>
      <c r="AX246" s="357">
        <v>0</v>
      </c>
      <c r="AY246" s="357">
        <v>0</v>
      </c>
      <c r="AZ246" s="357">
        <v>663664</v>
      </c>
      <c r="BA246" s="357">
        <v>3319178</v>
      </c>
      <c r="BB246" s="357">
        <v>0</v>
      </c>
      <c r="BC246" s="357">
        <v>0</v>
      </c>
      <c r="BD246" s="357">
        <v>3319178</v>
      </c>
      <c r="BE246" s="357">
        <v>1808209</v>
      </c>
      <c r="BF246" s="357">
        <v>0</v>
      </c>
      <c r="BG246" s="357">
        <v>0</v>
      </c>
      <c r="BH246" s="357">
        <v>1808209</v>
      </c>
      <c r="BI246" s="357">
        <v>152950</v>
      </c>
      <c r="BJ246" s="357">
        <v>0</v>
      </c>
      <c r="BK246" s="357">
        <v>0</v>
      </c>
      <c r="BL246" s="357">
        <v>152950</v>
      </c>
      <c r="BM246" s="357">
        <v>56575</v>
      </c>
      <c r="BN246" s="357">
        <v>0</v>
      </c>
      <c r="BO246" s="357">
        <v>0</v>
      </c>
      <c r="BP246" s="357">
        <v>56575</v>
      </c>
      <c r="BQ246" s="357">
        <v>5336912</v>
      </c>
      <c r="BR246" s="357">
        <v>0</v>
      </c>
      <c r="BS246" s="357">
        <v>0</v>
      </c>
      <c r="BT246" s="357">
        <v>0</v>
      </c>
      <c r="BU246" s="357">
        <v>0</v>
      </c>
      <c r="BV246" s="357">
        <v>0</v>
      </c>
      <c r="BW246" s="357">
        <v>5336912</v>
      </c>
      <c r="BX246" s="357">
        <v>0</v>
      </c>
      <c r="BY246" s="357">
        <v>0</v>
      </c>
      <c r="BZ246" s="357">
        <v>5336912</v>
      </c>
      <c r="CA246" s="357">
        <v>100000</v>
      </c>
      <c r="CB246" s="357">
        <v>0</v>
      </c>
      <c r="CC246" s="357">
        <v>0</v>
      </c>
      <c r="CD246" s="357">
        <v>100000</v>
      </c>
      <c r="CE246" s="357">
        <v>878210</v>
      </c>
      <c r="CF246" s="357">
        <v>0</v>
      </c>
      <c r="CG246" s="357">
        <v>0</v>
      </c>
      <c r="CH246" s="357">
        <v>878210</v>
      </c>
      <c r="CI246" s="357">
        <v>978210</v>
      </c>
      <c r="CJ246" s="357">
        <v>0</v>
      </c>
      <c r="CK246" s="357">
        <v>0</v>
      </c>
      <c r="CL246" s="357">
        <v>0</v>
      </c>
      <c r="CM246" s="357">
        <v>0</v>
      </c>
      <c r="CN246" s="357">
        <v>0</v>
      </c>
      <c r="CO246" s="357">
        <v>978210</v>
      </c>
      <c r="CP246" s="357">
        <v>0</v>
      </c>
      <c r="CQ246" s="357">
        <v>0</v>
      </c>
      <c r="CR246" s="357">
        <v>978210</v>
      </c>
      <c r="CS246" s="357">
        <v>190730</v>
      </c>
      <c r="CT246" s="357">
        <v>0</v>
      </c>
      <c r="CU246" s="357">
        <v>0</v>
      </c>
      <c r="CV246" s="357">
        <v>190730</v>
      </c>
      <c r="CW246" s="357">
        <v>57463</v>
      </c>
      <c r="CX246" s="357">
        <v>0</v>
      </c>
      <c r="CY246" s="357">
        <v>0</v>
      </c>
      <c r="CZ246" s="357">
        <v>57463</v>
      </c>
      <c r="DA246" s="357">
        <v>0</v>
      </c>
      <c r="DB246" s="357">
        <v>0</v>
      </c>
      <c r="DC246" s="357">
        <v>0</v>
      </c>
      <c r="DD246" s="357">
        <v>0</v>
      </c>
      <c r="DE246" s="357">
        <v>10649</v>
      </c>
      <c r="DF246" s="357">
        <v>0</v>
      </c>
      <c r="DG246" s="357">
        <v>0</v>
      </c>
      <c r="DH246" s="357">
        <v>10649</v>
      </c>
      <c r="DI246" s="357">
        <v>0</v>
      </c>
      <c r="DJ246" s="357">
        <v>0</v>
      </c>
      <c r="DK246" s="357">
        <v>0</v>
      </c>
      <c r="DL246" s="357">
        <v>0</v>
      </c>
      <c r="DM246" s="357">
        <v>0</v>
      </c>
      <c r="DN246" s="357">
        <v>0</v>
      </c>
      <c r="DO246" s="357">
        <v>0</v>
      </c>
      <c r="DP246" s="357">
        <v>0</v>
      </c>
      <c r="DQ246" s="357">
        <v>258842</v>
      </c>
      <c r="DR246" s="357">
        <v>0</v>
      </c>
      <c r="DS246" s="357">
        <v>0</v>
      </c>
      <c r="DT246" s="357">
        <v>0</v>
      </c>
      <c r="DU246" s="357">
        <v>0</v>
      </c>
      <c r="DV246" s="357">
        <v>0</v>
      </c>
      <c r="DW246" s="357">
        <v>258842</v>
      </c>
      <c r="DX246" s="357">
        <v>0</v>
      </c>
      <c r="DY246" s="357">
        <v>0</v>
      </c>
      <c r="DZ246" s="357">
        <v>258842</v>
      </c>
      <c r="EA246" s="357">
        <v>0</v>
      </c>
      <c r="EB246" s="357">
        <v>0</v>
      </c>
      <c r="EC246" s="357">
        <v>20000</v>
      </c>
      <c r="ED246" s="357">
        <v>0</v>
      </c>
      <c r="EE246" s="357">
        <v>0</v>
      </c>
      <c r="EF246" s="357">
        <v>20000</v>
      </c>
      <c r="EG246" s="357">
        <v>40000</v>
      </c>
      <c r="EH246" s="357">
        <v>0</v>
      </c>
      <c r="EI246" s="357">
        <v>0</v>
      </c>
      <c r="EJ246" s="357">
        <v>40000</v>
      </c>
      <c r="EK246" s="357">
        <v>800000</v>
      </c>
      <c r="EL246" s="357">
        <v>0</v>
      </c>
      <c r="EM246" s="357">
        <v>0</v>
      </c>
      <c r="EN246" s="357">
        <v>800000</v>
      </c>
      <c r="EO246" s="357">
        <v>860000</v>
      </c>
      <c r="EP246" s="357">
        <v>0</v>
      </c>
      <c r="EQ246" s="357">
        <v>0</v>
      </c>
      <c r="ER246" s="357">
        <v>0</v>
      </c>
      <c r="ES246" s="357">
        <v>0</v>
      </c>
      <c r="ET246" s="357">
        <v>0</v>
      </c>
      <c r="EU246" s="357">
        <v>860000</v>
      </c>
      <c r="EV246" s="357">
        <v>0</v>
      </c>
      <c r="EW246" s="357">
        <v>0</v>
      </c>
      <c r="EX246" s="357">
        <v>860000</v>
      </c>
      <c r="EY246" s="357">
        <v>29648568</v>
      </c>
      <c r="EZ246" s="357">
        <v>0</v>
      </c>
      <c r="FA246" s="357">
        <v>0</v>
      </c>
      <c r="FB246" s="357">
        <v>29648568</v>
      </c>
      <c r="FC246" s="277">
        <v>0</v>
      </c>
      <c r="FD246" s="205"/>
    </row>
    <row r="247" spans="1:160" ht="12.75">
      <c r="A247" s="169">
        <v>240</v>
      </c>
      <c r="B247" s="172" t="s">
        <v>410</v>
      </c>
      <c r="C247" s="258" t="s">
        <v>411</v>
      </c>
      <c r="D247" s="235">
        <v>41639</v>
      </c>
      <c r="E247" s="357">
        <v>63277882</v>
      </c>
      <c r="F247" s="357">
        <v>0</v>
      </c>
      <c r="G247" s="357">
        <v>0</v>
      </c>
      <c r="H247" s="357">
        <v>63277882</v>
      </c>
      <c r="I247" s="357">
        <v>29803882</v>
      </c>
      <c r="J247" s="357">
        <v>0</v>
      </c>
      <c r="K247" s="357">
        <v>0</v>
      </c>
      <c r="L247" s="357">
        <v>0</v>
      </c>
      <c r="M247" s="357">
        <v>0</v>
      </c>
      <c r="N247" s="357">
        <v>0</v>
      </c>
      <c r="O247" s="357">
        <v>29803882</v>
      </c>
      <c r="P247" s="357">
        <v>0</v>
      </c>
      <c r="Q247" s="357">
        <v>0</v>
      </c>
      <c r="R247" s="357">
        <v>29803882</v>
      </c>
      <c r="S247" s="357">
        <v>419117.62</v>
      </c>
      <c r="T247" s="357">
        <v>0</v>
      </c>
      <c r="U247" s="357">
        <v>0</v>
      </c>
      <c r="V247" s="357">
        <v>419117.62</v>
      </c>
      <c r="W247" s="357">
        <v>2332.8</v>
      </c>
      <c r="X247" s="357">
        <v>0</v>
      </c>
      <c r="Y247" s="357">
        <v>0</v>
      </c>
      <c r="Z247" s="357">
        <v>2332.8</v>
      </c>
      <c r="AA247" s="357">
        <v>416784.82</v>
      </c>
      <c r="AB247" s="357">
        <v>0</v>
      </c>
      <c r="AC247" s="357">
        <v>0</v>
      </c>
      <c r="AD247" s="357">
        <v>0</v>
      </c>
      <c r="AE247" s="357">
        <v>0</v>
      </c>
      <c r="AF247" s="357">
        <v>0</v>
      </c>
      <c r="AG247" s="357">
        <v>416784.82</v>
      </c>
      <c r="AH247" s="357">
        <v>0</v>
      </c>
      <c r="AI247" s="357">
        <v>0</v>
      </c>
      <c r="AJ247" s="357">
        <v>416784.82</v>
      </c>
      <c r="AK247" s="357">
        <v>416784.82</v>
      </c>
      <c r="AL247" s="357">
        <v>0</v>
      </c>
      <c r="AM247" s="357">
        <v>0</v>
      </c>
      <c r="AN247" s="357">
        <v>416784.82</v>
      </c>
      <c r="AO247" s="357">
        <v>1727278.87</v>
      </c>
      <c r="AP247" s="357">
        <v>0</v>
      </c>
      <c r="AQ247" s="357">
        <v>0</v>
      </c>
      <c r="AR247" s="357">
        <v>1727278.87</v>
      </c>
      <c r="AS247" s="357">
        <v>24545</v>
      </c>
      <c r="AT247" s="357">
        <v>0</v>
      </c>
      <c r="AU247" s="357">
        <v>0</v>
      </c>
      <c r="AV247" s="357">
        <v>24545</v>
      </c>
      <c r="AW247" s="357">
        <v>589025.01</v>
      </c>
      <c r="AX247" s="357">
        <v>0</v>
      </c>
      <c r="AY247" s="357">
        <v>0</v>
      </c>
      <c r="AZ247" s="357">
        <v>589025.01</v>
      </c>
      <c r="BA247" s="357">
        <v>1138253.86</v>
      </c>
      <c r="BB247" s="357">
        <v>0</v>
      </c>
      <c r="BC247" s="357">
        <v>0</v>
      </c>
      <c r="BD247" s="357">
        <v>1138253.86</v>
      </c>
      <c r="BE247" s="357">
        <v>995312</v>
      </c>
      <c r="BF247" s="357">
        <v>0</v>
      </c>
      <c r="BG247" s="357">
        <v>0</v>
      </c>
      <c r="BH247" s="357">
        <v>995312</v>
      </c>
      <c r="BI247" s="357">
        <v>54857.38</v>
      </c>
      <c r="BJ247" s="357">
        <v>0</v>
      </c>
      <c r="BK247" s="357">
        <v>0</v>
      </c>
      <c r="BL247" s="357">
        <v>54857.38</v>
      </c>
      <c r="BM247" s="357">
        <v>34324.2</v>
      </c>
      <c r="BN247" s="357">
        <v>0</v>
      </c>
      <c r="BO247" s="357">
        <v>0</v>
      </c>
      <c r="BP247" s="357">
        <v>34324.2</v>
      </c>
      <c r="BQ247" s="357">
        <v>2222747.44</v>
      </c>
      <c r="BR247" s="357">
        <v>0</v>
      </c>
      <c r="BS247" s="357">
        <v>0</v>
      </c>
      <c r="BT247" s="357">
        <v>7680</v>
      </c>
      <c r="BU247" s="357">
        <v>0</v>
      </c>
      <c r="BV247" s="357">
        <v>0</v>
      </c>
      <c r="BW247" s="357">
        <v>2230427.44</v>
      </c>
      <c r="BX247" s="357">
        <v>0</v>
      </c>
      <c r="BY247" s="357">
        <v>0</v>
      </c>
      <c r="BZ247" s="357">
        <v>2230427.44</v>
      </c>
      <c r="CA247" s="357">
        <v>0</v>
      </c>
      <c r="CB247" s="357">
        <v>0</v>
      </c>
      <c r="CC247" s="357">
        <v>0</v>
      </c>
      <c r="CD247" s="357">
        <v>0</v>
      </c>
      <c r="CE247" s="357">
        <v>487121.96</v>
      </c>
      <c r="CF247" s="357">
        <v>0</v>
      </c>
      <c r="CG247" s="357">
        <v>0</v>
      </c>
      <c r="CH247" s="357">
        <v>487121.96</v>
      </c>
      <c r="CI247" s="357">
        <v>487121.96</v>
      </c>
      <c r="CJ247" s="357">
        <v>0</v>
      </c>
      <c r="CK247" s="357">
        <v>0</v>
      </c>
      <c r="CL247" s="357">
        <v>48712</v>
      </c>
      <c r="CM247" s="357">
        <v>0</v>
      </c>
      <c r="CN247" s="357">
        <v>0</v>
      </c>
      <c r="CO247" s="357">
        <v>535833.96</v>
      </c>
      <c r="CP247" s="357">
        <v>0</v>
      </c>
      <c r="CQ247" s="357">
        <v>0</v>
      </c>
      <c r="CR247" s="357">
        <v>535833.96</v>
      </c>
      <c r="CS247" s="357">
        <v>77146.02</v>
      </c>
      <c r="CT247" s="357">
        <v>0</v>
      </c>
      <c r="CU247" s="357">
        <v>0</v>
      </c>
      <c r="CV247" s="357">
        <v>77146.02</v>
      </c>
      <c r="CW247" s="357">
        <v>42298.56</v>
      </c>
      <c r="CX247" s="357">
        <v>0</v>
      </c>
      <c r="CY247" s="357">
        <v>0</v>
      </c>
      <c r="CZ247" s="357">
        <v>42298.56</v>
      </c>
      <c r="DA247" s="357">
        <v>7301.34</v>
      </c>
      <c r="DB247" s="357">
        <v>0</v>
      </c>
      <c r="DC247" s="357">
        <v>0</v>
      </c>
      <c r="DD247" s="357">
        <v>7301.34</v>
      </c>
      <c r="DE247" s="357">
        <v>34324.14</v>
      </c>
      <c r="DF247" s="357">
        <v>0</v>
      </c>
      <c r="DG247" s="357">
        <v>0</v>
      </c>
      <c r="DH247" s="357">
        <v>34324.14</v>
      </c>
      <c r="DI247" s="357">
        <v>0</v>
      </c>
      <c r="DJ247" s="357">
        <v>0</v>
      </c>
      <c r="DK247" s="357">
        <v>0</v>
      </c>
      <c r="DL247" s="357">
        <v>0</v>
      </c>
      <c r="DM247" s="357">
        <v>0</v>
      </c>
      <c r="DN247" s="357">
        <v>0</v>
      </c>
      <c r="DO247" s="357">
        <v>0</v>
      </c>
      <c r="DP247" s="357">
        <v>0</v>
      </c>
      <c r="DQ247" s="357">
        <v>161070.06</v>
      </c>
      <c r="DR247" s="357">
        <v>0</v>
      </c>
      <c r="DS247" s="357">
        <v>0</v>
      </c>
      <c r="DT247" s="357">
        <v>0</v>
      </c>
      <c r="DU247" s="357">
        <v>0</v>
      </c>
      <c r="DV247" s="357">
        <v>0</v>
      </c>
      <c r="DW247" s="357">
        <v>161070.06</v>
      </c>
      <c r="DX247" s="357">
        <v>0</v>
      </c>
      <c r="DY247" s="357">
        <v>0</v>
      </c>
      <c r="DZ247" s="357">
        <v>161070.06</v>
      </c>
      <c r="EA247" s="357">
        <v>0</v>
      </c>
      <c r="EB247" s="357">
        <v>0</v>
      </c>
      <c r="EC247" s="357">
        <v>0</v>
      </c>
      <c r="ED247" s="357">
        <v>0</v>
      </c>
      <c r="EE247" s="357">
        <v>0</v>
      </c>
      <c r="EF247" s="357">
        <v>0</v>
      </c>
      <c r="EG247" s="357">
        <v>3071</v>
      </c>
      <c r="EH247" s="357">
        <v>0</v>
      </c>
      <c r="EI247" s="357">
        <v>0</v>
      </c>
      <c r="EJ247" s="357">
        <v>3071</v>
      </c>
      <c r="EK247" s="357">
        <v>333252</v>
      </c>
      <c r="EL247" s="357">
        <v>0</v>
      </c>
      <c r="EM247" s="357">
        <v>0</v>
      </c>
      <c r="EN247" s="357">
        <v>333252</v>
      </c>
      <c r="EO247" s="357">
        <v>336323</v>
      </c>
      <c r="EP247" s="357">
        <v>0</v>
      </c>
      <c r="EQ247" s="357">
        <v>0</v>
      </c>
      <c r="ER247" s="357">
        <v>0</v>
      </c>
      <c r="ES247" s="357">
        <v>0</v>
      </c>
      <c r="ET247" s="357">
        <v>0</v>
      </c>
      <c r="EU247" s="357">
        <v>336323</v>
      </c>
      <c r="EV247" s="357">
        <v>0</v>
      </c>
      <c r="EW247" s="357">
        <v>0</v>
      </c>
      <c r="EX247" s="357">
        <v>336323</v>
      </c>
      <c r="EY247" s="357">
        <v>26123442.7</v>
      </c>
      <c r="EZ247" s="357">
        <v>0</v>
      </c>
      <c r="FA247" s="357">
        <v>0</v>
      </c>
      <c r="FB247" s="357">
        <v>26123442.7</v>
      </c>
      <c r="FC247" s="277">
        <v>0</v>
      </c>
      <c r="FD247" s="205"/>
    </row>
    <row r="248" spans="1:160" ht="12.75">
      <c r="A248" s="169">
        <v>241</v>
      </c>
      <c r="B248" s="172" t="s">
        <v>412</v>
      </c>
      <c r="C248" s="258" t="s">
        <v>413</v>
      </c>
      <c r="D248" s="235">
        <v>41648</v>
      </c>
      <c r="E248" s="357">
        <v>100788528</v>
      </c>
      <c r="F248" s="357">
        <v>0</v>
      </c>
      <c r="G248" s="357">
        <v>0</v>
      </c>
      <c r="H248" s="357">
        <v>100788528</v>
      </c>
      <c r="I248" s="357">
        <v>47471397</v>
      </c>
      <c r="J248" s="357">
        <v>0</v>
      </c>
      <c r="K248" s="357">
        <v>0</v>
      </c>
      <c r="L248" s="357">
        <v>200000</v>
      </c>
      <c r="M248" s="357">
        <v>0</v>
      </c>
      <c r="N248" s="357">
        <v>0</v>
      </c>
      <c r="O248" s="357">
        <v>47671397</v>
      </c>
      <c r="P248" s="357">
        <v>0</v>
      </c>
      <c r="Q248" s="357">
        <v>0</v>
      </c>
      <c r="R248" s="357">
        <v>47671397</v>
      </c>
      <c r="S248" s="357">
        <v>47171.93</v>
      </c>
      <c r="T248" s="357">
        <v>0</v>
      </c>
      <c r="U248" s="357">
        <v>0</v>
      </c>
      <c r="V248" s="357">
        <v>47171.93</v>
      </c>
      <c r="W248" s="357">
        <v>4984</v>
      </c>
      <c r="X248" s="357">
        <v>0</v>
      </c>
      <c r="Y248" s="357">
        <v>0</v>
      </c>
      <c r="Z248" s="357">
        <v>4984</v>
      </c>
      <c r="AA248" s="357">
        <v>42187.93</v>
      </c>
      <c r="AB248" s="357">
        <v>0</v>
      </c>
      <c r="AC248" s="357">
        <v>0</v>
      </c>
      <c r="AD248" s="357">
        <v>0</v>
      </c>
      <c r="AE248" s="357">
        <v>0</v>
      </c>
      <c r="AF248" s="357">
        <v>0</v>
      </c>
      <c r="AG248" s="357">
        <v>42187.93</v>
      </c>
      <c r="AH248" s="357">
        <v>0</v>
      </c>
      <c r="AI248" s="357">
        <v>0</v>
      </c>
      <c r="AJ248" s="357">
        <v>42187.93</v>
      </c>
      <c r="AK248" s="357">
        <v>42187.93</v>
      </c>
      <c r="AL248" s="357">
        <v>0</v>
      </c>
      <c r="AM248" s="357">
        <v>0</v>
      </c>
      <c r="AN248" s="357">
        <v>42187.93</v>
      </c>
      <c r="AO248" s="357">
        <v>2600000</v>
      </c>
      <c r="AP248" s="357">
        <v>0</v>
      </c>
      <c r="AQ248" s="357">
        <v>0</v>
      </c>
      <c r="AR248" s="357">
        <v>2600000</v>
      </c>
      <c r="AS248" s="357">
        <v>10000</v>
      </c>
      <c r="AT248" s="357">
        <v>0</v>
      </c>
      <c r="AU248" s="357">
        <v>0</v>
      </c>
      <c r="AV248" s="357">
        <v>10000</v>
      </c>
      <c r="AW248" s="357">
        <v>915294</v>
      </c>
      <c r="AX248" s="357">
        <v>0</v>
      </c>
      <c r="AY248" s="357">
        <v>0</v>
      </c>
      <c r="AZ248" s="357">
        <v>915294</v>
      </c>
      <c r="BA248" s="357">
        <v>1684706</v>
      </c>
      <c r="BB248" s="357">
        <v>0</v>
      </c>
      <c r="BC248" s="357">
        <v>0</v>
      </c>
      <c r="BD248" s="357">
        <v>1684706</v>
      </c>
      <c r="BE248" s="357">
        <v>3000000</v>
      </c>
      <c r="BF248" s="357">
        <v>0</v>
      </c>
      <c r="BG248" s="357">
        <v>0</v>
      </c>
      <c r="BH248" s="357">
        <v>3000000</v>
      </c>
      <c r="BI248" s="357">
        <v>141648</v>
      </c>
      <c r="BJ248" s="357">
        <v>0</v>
      </c>
      <c r="BK248" s="357">
        <v>0</v>
      </c>
      <c r="BL248" s="357">
        <v>141648</v>
      </c>
      <c r="BM248" s="357">
        <v>54278.47</v>
      </c>
      <c r="BN248" s="357">
        <v>0</v>
      </c>
      <c r="BO248" s="357">
        <v>0</v>
      </c>
      <c r="BP248" s="357">
        <v>54278.47</v>
      </c>
      <c r="BQ248" s="357">
        <v>4880632.47</v>
      </c>
      <c r="BR248" s="357">
        <v>0</v>
      </c>
      <c r="BS248" s="357">
        <v>0</v>
      </c>
      <c r="BT248" s="357">
        <v>0</v>
      </c>
      <c r="BU248" s="357">
        <v>0</v>
      </c>
      <c r="BV248" s="357">
        <v>0</v>
      </c>
      <c r="BW248" s="357">
        <v>4880632.47</v>
      </c>
      <c r="BX248" s="357">
        <v>0</v>
      </c>
      <c r="BY248" s="357">
        <v>0</v>
      </c>
      <c r="BZ248" s="357">
        <v>4880632.47</v>
      </c>
      <c r="CA248" s="357">
        <v>50000</v>
      </c>
      <c r="CB248" s="357">
        <v>0</v>
      </c>
      <c r="CC248" s="357">
        <v>0</v>
      </c>
      <c r="CD248" s="357">
        <v>50000</v>
      </c>
      <c r="CE248" s="357">
        <v>1400000</v>
      </c>
      <c r="CF248" s="357">
        <v>0</v>
      </c>
      <c r="CG248" s="357">
        <v>0</v>
      </c>
      <c r="CH248" s="357">
        <v>1400000</v>
      </c>
      <c r="CI248" s="357">
        <v>1450000</v>
      </c>
      <c r="CJ248" s="357">
        <v>0</v>
      </c>
      <c r="CK248" s="357">
        <v>0</v>
      </c>
      <c r="CL248" s="357">
        <v>0</v>
      </c>
      <c r="CM248" s="357">
        <v>0</v>
      </c>
      <c r="CN248" s="357">
        <v>0</v>
      </c>
      <c r="CO248" s="357">
        <v>1450000</v>
      </c>
      <c r="CP248" s="357">
        <v>0</v>
      </c>
      <c r="CQ248" s="357">
        <v>0</v>
      </c>
      <c r="CR248" s="357">
        <v>1450000</v>
      </c>
      <c r="CS248" s="357">
        <v>16288.99</v>
      </c>
      <c r="CT248" s="357">
        <v>0</v>
      </c>
      <c r="CU248" s="357">
        <v>0</v>
      </c>
      <c r="CV248" s="357">
        <v>16288.99</v>
      </c>
      <c r="CW248" s="357">
        <v>1930.67</v>
      </c>
      <c r="CX248" s="357">
        <v>0</v>
      </c>
      <c r="CY248" s="357">
        <v>0</v>
      </c>
      <c r="CZ248" s="357">
        <v>1930.67</v>
      </c>
      <c r="DA248" s="357">
        <v>0</v>
      </c>
      <c r="DB248" s="357">
        <v>0</v>
      </c>
      <c r="DC248" s="357">
        <v>0</v>
      </c>
      <c r="DD248" s="357">
        <v>0</v>
      </c>
      <c r="DE248" s="357">
        <v>80119</v>
      </c>
      <c r="DF248" s="357">
        <v>0</v>
      </c>
      <c r="DG248" s="357">
        <v>0</v>
      </c>
      <c r="DH248" s="357">
        <v>80119</v>
      </c>
      <c r="DI248" s="357">
        <v>0</v>
      </c>
      <c r="DJ248" s="357">
        <v>0</v>
      </c>
      <c r="DK248" s="357">
        <v>0</v>
      </c>
      <c r="DL248" s="357">
        <v>0</v>
      </c>
      <c r="DM248" s="357">
        <v>0</v>
      </c>
      <c r="DN248" s="357">
        <v>0</v>
      </c>
      <c r="DO248" s="357">
        <v>0</v>
      </c>
      <c r="DP248" s="357">
        <v>0</v>
      </c>
      <c r="DQ248" s="357">
        <v>98338.66</v>
      </c>
      <c r="DR248" s="357">
        <v>0</v>
      </c>
      <c r="DS248" s="357">
        <v>0</v>
      </c>
      <c r="DT248" s="357">
        <v>0</v>
      </c>
      <c r="DU248" s="357">
        <v>0</v>
      </c>
      <c r="DV248" s="357">
        <v>0</v>
      </c>
      <c r="DW248" s="357">
        <v>98338.66</v>
      </c>
      <c r="DX248" s="357">
        <v>0</v>
      </c>
      <c r="DY248" s="357">
        <v>0</v>
      </c>
      <c r="DZ248" s="357">
        <v>98338.66</v>
      </c>
      <c r="EA248" s="357">
        <v>0</v>
      </c>
      <c r="EB248" s="357">
        <v>0</v>
      </c>
      <c r="EC248" s="357">
        <v>50000</v>
      </c>
      <c r="ED248" s="357">
        <v>0</v>
      </c>
      <c r="EE248" s="357">
        <v>0</v>
      </c>
      <c r="EF248" s="357">
        <v>50000</v>
      </c>
      <c r="EG248" s="357">
        <v>80000</v>
      </c>
      <c r="EH248" s="357">
        <v>0</v>
      </c>
      <c r="EI248" s="357">
        <v>0</v>
      </c>
      <c r="EJ248" s="357">
        <v>80000</v>
      </c>
      <c r="EK248" s="357">
        <v>800000</v>
      </c>
      <c r="EL248" s="357">
        <v>0</v>
      </c>
      <c r="EM248" s="357">
        <v>0</v>
      </c>
      <c r="EN248" s="357">
        <v>800000</v>
      </c>
      <c r="EO248" s="357">
        <v>930000</v>
      </c>
      <c r="EP248" s="357">
        <v>0</v>
      </c>
      <c r="EQ248" s="357">
        <v>0</v>
      </c>
      <c r="ER248" s="357">
        <v>0</v>
      </c>
      <c r="ES248" s="357">
        <v>0</v>
      </c>
      <c r="ET248" s="357">
        <v>0</v>
      </c>
      <c r="EU248" s="357">
        <v>930000</v>
      </c>
      <c r="EV248" s="357">
        <v>0</v>
      </c>
      <c r="EW248" s="357">
        <v>0</v>
      </c>
      <c r="EX248" s="357">
        <v>930000</v>
      </c>
      <c r="EY248" s="357">
        <v>40270237.9</v>
      </c>
      <c r="EZ248" s="357">
        <v>0</v>
      </c>
      <c r="FA248" s="357">
        <v>0</v>
      </c>
      <c r="FB248" s="357">
        <v>40270237.9</v>
      </c>
      <c r="FC248" s="277">
        <v>0</v>
      </c>
      <c r="FD248" s="205"/>
    </row>
    <row r="249" spans="1:160" ht="12.75">
      <c r="A249" s="169">
        <v>242</v>
      </c>
      <c r="B249" s="172" t="s">
        <v>414</v>
      </c>
      <c r="C249" s="258" t="s">
        <v>415</v>
      </c>
      <c r="D249" s="235">
        <v>41639</v>
      </c>
      <c r="E249" s="357">
        <v>106668736</v>
      </c>
      <c r="F249" s="357">
        <v>0</v>
      </c>
      <c r="G249" s="357">
        <v>0</v>
      </c>
      <c r="H249" s="357">
        <v>106668736</v>
      </c>
      <c r="I249" s="357">
        <v>50240975</v>
      </c>
      <c r="J249" s="357">
        <v>0</v>
      </c>
      <c r="K249" s="357">
        <v>0</v>
      </c>
      <c r="L249" s="357">
        <v>73240</v>
      </c>
      <c r="M249" s="357">
        <v>0</v>
      </c>
      <c r="N249" s="357">
        <v>0</v>
      </c>
      <c r="O249" s="357">
        <v>50314215</v>
      </c>
      <c r="P249" s="357">
        <v>0</v>
      </c>
      <c r="Q249" s="357">
        <v>0</v>
      </c>
      <c r="R249" s="357">
        <v>50314215</v>
      </c>
      <c r="S249" s="357">
        <v>60750</v>
      </c>
      <c r="T249" s="357">
        <v>0</v>
      </c>
      <c r="U249" s="357">
        <v>0</v>
      </c>
      <c r="V249" s="357">
        <v>60750</v>
      </c>
      <c r="W249" s="357">
        <v>10923</v>
      </c>
      <c r="X249" s="357">
        <v>0</v>
      </c>
      <c r="Y249" s="357">
        <v>0</v>
      </c>
      <c r="Z249" s="357">
        <v>10923</v>
      </c>
      <c r="AA249" s="357">
        <v>49827</v>
      </c>
      <c r="AB249" s="357">
        <v>0</v>
      </c>
      <c r="AC249" s="357">
        <v>0</v>
      </c>
      <c r="AD249" s="357">
        <v>0</v>
      </c>
      <c r="AE249" s="357">
        <v>0</v>
      </c>
      <c r="AF249" s="357">
        <v>0</v>
      </c>
      <c r="AG249" s="357">
        <v>49827</v>
      </c>
      <c r="AH249" s="357">
        <v>0</v>
      </c>
      <c r="AI249" s="357">
        <v>0</v>
      </c>
      <c r="AJ249" s="357">
        <v>49827</v>
      </c>
      <c r="AK249" s="357">
        <v>49827</v>
      </c>
      <c r="AL249" s="357">
        <v>0</v>
      </c>
      <c r="AM249" s="357">
        <v>0</v>
      </c>
      <c r="AN249" s="357">
        <v>49827</v>
      </c>
      <c r="AO249" s="357">
        <v>5554894</v>
      </c>
      <c r="AP249" s="357">
        <v>0</v>
      </c>
      <c r="AQ249" s="357">
        <v>0</v>
      </c>
      <c r="AR249" s="357">
        <v>5554894</v>
      </c>
      <c r="AS249" s="357">
        <v>23492</v>
      </c>
      <c r="AT249" s="357">
        <v>0</v>
      </c>
      <c r="AU249" s="357">
        <v>0</v>
      </c>
      <c r="AV249" s="357">
        <v>23492</v>
      </c>
      <c r="AW249" s="357">
        <v>840964</v>
      </c>
      <c r="AX249" s="357">
        <v>0</v>
      </c>
      <c r="AY249" s="357">
        <v>0</v>
      </c>
      <c r="AZ249" s="357">
        <v>840964</v>
      </c>
      <c r="BA249" s="357">
        <v>4713930</v>
      </c>
      <c r="BB249" s="357">
        <v>0</v>
      </c>
      <c r="BC249" s="357">
        <v>0</v>
      </c>
      <c r="BD249" s="357">
        <v>4713930</v>
      </c>
      <c r="BE249" s="357">
        <v>2880934</v>
      </c>
      <c r="BF249" s="357">
        <v>0</v>
      </c>
      <c r="BG249" s="357">
        <v>0</v>
      </c>
      <c r="BH249" s="357">
        <v>2880934</v>
      </c>
      <c r="BI249" s="357">
        <v>88869</v>
      </c>
      <c r="BJ249" s="357">
        <v>0</v>
      </c>
      <c r="BK249" s="357">
        <v>0</v>
      </c>
      <c r="BL249" s="357">
        <v>88869</v>
      </c>
      <c r="BM249" s="357">
        <v>23955</v>
      </c>
      <c r="BN249" s="357">
        <v>0</v>
      </c>
      <c r="BO249" s="357">
        <v>0</v>
      </c>
      <c r="BP249" s="357">
        <v>23955</v>
      </c>
      <c r="BQ249" s="357">
        <v>7707688</v>
      </c>
      <c r="BR249" s="357">
        <v>0</v>
      </c>
      <c r="BS249" s="357">
        <v>0</v>
      </c>
      <c r="BT249" s="357">
        <v>6169</v>
      </c>
      <c r="BU249" s="357">
        <v>0</v>
      </c>
      <c r="BV249" s="357">
        <v>0</v>
      </c>
      <c r="BW249" s="357">
        <v>7713857</v>
      </c>
      <c r="BX249" s="357">
        <v>0</v>
      </c>
      <c r="BY249" s="357">
        <v>0</v>
      </c>
      <c r="BZ249" s="357">
        <v>7713857</v>
      </c>
      <c r="CA249" s="357">
        <v>6000</v>
      </c>
      <c r="CB249" s="357">
        <v>0</v>
      </c>
      <c r="CC249" s="357">
        <v>0</v>
      </c>
      <c r="CD249" s="357">
        <v>6000</v>
      </c>
      <c r="CE249" s="357">
        <v>716413</v>
      </c>
      <c r="CF249" s="357">
        <v>0</v>
      </c>
      <c r="CG249" s="357">
        <v>0</v>
      </c>
      <c r="CH249" s="357">
        <v>716413</v>
      </c>
      <c r="CI249" s="357">
        <v>722413</v>
      </c>
      <c r="CJ249" s="357">
        <v>0</v>
      </c>
      <c r="CK249" s="357">
        <v>0</v>
      </c>
      <c r="CL249" s="357">
        <v>108353</v>
      </c>
      <c r="CM249" s="357">
        <v>0</v>
      </c>
      <c r="CN249" s="357">
        <v>0</v>
      </c>
      <c r="CO249" s="357">
        <v>830766</v>
      </c>
      <c r="CP249" s="357">
        <v>0</v>
      </c>
      <c r="CQ249" s="357">
        <v>0</v>
      </c>
      <c r="CR249" s="357">
        <v>830766</v>
      </c>
      <c r="CS249" s="357">
        <v>55087</v>
      </c>
      <c r="CT249" s="357">
        <v>0</v>
      </c>
      <c r="CU249" s="357">
        <v>0</v>
      </c>
      <c r="CV249" s="357">
        <v>55087</v>
      </c>
      <c r="CW249" s="357">
        <v>30574</v>
      </c>
      <c r="CX249" s="357">
        <v>0</v>
      </c>
      <c r="CY249" s="357">
        <v>0</v>
      </c>
      <c r="CZ249" s="357">
        <v>30574</v>
      </c>
      <c r="DA249" s="357">
        <v>10987</v>
      </c>
      <c r="DB249" s="357">
        <v>0</v>
      </c>
      <c r="DC249" s="357">
        <v>0</v>
      </c>
      <c r="DD249" s="357">
        <v>10987</v>
      </c>
      <c r="DE249" s="357">
        <v>7783</v>
      </c>
      <c r="DF249" s="357">
        <v>0</v>
      </c>
      <c r="DG249" s="357">
        <v>0</v>
      </c>
      <c r="DH249" s="357">
        <v>7783</v>
      </c>
      <c r="DI249" s="357">
        <v>10305</v>
      </c>
      <c r="DJ249" s="357">
        <v>0</v>
      </c>
      <c r="DK249" s="357">
        <v>0</v>
      </c>
      <c r="DL249" s="357">
        <v>10305</v>
      </c>
      <c r="DM249" s="357">
        <v>0</v>
      </c>
      <c r="DN249" s="357">
        <v>0</v>
      </c>
      <c r="DO249" s="357">
        <v>0</v>
      </c>
      <c r="DP249" s="357">
        <v>0</v>
      </c>
      <c r="DQ249" s="357">
        <v>114736</v>
      </c>
      <c r="DR249" s="357">
        <v>0</v>
      </c>
      <c r="DS249" s="357">
        <v>0</v>
      </c>
      <c r="DT249" s="357">
        <v>5000</v>
      </c>
      <c r="DU249" s="357">
        <v>0</v>
      </c>
      <c r="DV249" s="357">
        <v>0</v>
      </c>
      <c r="DW249" s="357">
        <v>119736</v>
      </c>
      <c r="DX249" s="357">
        <v>0</v>
      </c>
      <c r="DY249" s="357">
        <v>0</v>
      </c>
      <c r="DZ249" s="357">
        <v>119736</v>
      </c>
      <c r="EA249" s="357">
        <v>0</v>
      </c>
      <c r="EB249" s="357">
        <v>0</v>
      </c>
      <c r="EC249" s="357">
        <v>0</v>
      </c>
      <c r="ED249" s="357">
        <v>0</v>
      </c>
      <c r="EE249" s="357">
        <v>0</v>
      </c>
      <c r="EF249" s="357">
        <v>0</v>
      </c>
      <c r="EG249" s="357">
        <v>75000</v>
      </c>
      <c r="EH249" s="357">
        <v>0</v>
      </c>
      <c r="EI249" s="357">
        <v>0</v>
      </c>
      <c r="EJ249" s="357">
        <v>75000</v>
      </c>
      <c r="EK249" s="357">
        <v>1010849</v>
      </c>
      <c r="EL249" s="357">
        <v>0</v>
      </c>
      <c r="EM249" s="357">
        <v>0</v>
      </c>
      <c r="EN249" s="357">
        <v>1010849</v>
      </c>
      <c r="EO249" s="357">
        <v>1085849</v>
      </c>
      <c r="EP249" s="357">
        <v>0</v>
      </c>
      <c r="EQ249" s="357">
        <v>0</v>
      </c>
      <c r="ER249" s="357">
        <v>0</v>
      </c>
      <c r="ES249" s="357">
        <v>0</v>
      </c>
      <c r="ET249" s="357">
        <v>0</v>
      </c>
      <c r="EU249" s="357">
        <v>1085849</v>
      </c>
      <c r="EV249" s="357">
        <v>0</v>
      </c>
      <c r="EW249" s="357">
        <v>0</v>
      </c>
      <c r="EX249" s="357">
        <v>1085849</v>
      </c>
      <c r="EY249" s="357">
        <v>40514180</v>
      </c>
      <c r="EZ249" s="357">
        <v>0</v>
      </c>
      <c r="FA249" s="357">
        <v>0</v>
      </c>
      <c r="FB249" s="357">
        <v>40514180</v>
      </c>
      <c r="FC249" s="277">
        <v>0</v>
      </c>
      <c r="FD249" s="205"/>
    </row>
    <row r="250" spans="1:160" ht="12.75">
      <c r="A250" s="169">
        <v>243</v>
      </c>
      <c r="B250" s="172" t="s">
        <v>416</v>
      </c>
      <c r="C250" s="258" t="s">
        <v>417</v>
      </c>
      <c r="D250" s="235">
        <v>41668</v>
      </c>
      <c r="E250" s="357">
        <v>75438109</v>
      </c>
      <c r="F250" s="357">
        <v>0</v>
      </c>
      <c r="G250" s="357">
        <v>0</v>
      </c>
      <c r="H250" s="357">
        <v>75438109</v>
      </c>
      <c r="I250" s="357">
        <v>35531349</v>
      </c>
      <c r="J250" s="357">
        <v>0</v>
      </c>
      <c r="K250" s="357">
        <v>0</v>
      </c>
      <c r="L250" s="357">
        <v>600000</v>
      </c>
      <c r="M250" s="357">
        <v>0</v>
      </c>
      <c r="N250" s="357">
        <v>0</v>
      </c>
      <c r="O250" s="357">
        <v>36131349</v>
      </c>
      <c r="P250" s="357">
        <v>0</v>
      </c>
      <c r="Q250" s="357">
        <v>0</v>
      </c>
      <c r="R250" s="357">
        <v>36131349</v>
      </c>
      <c r="S250" s="357">
        <v>71141.12</v>
      </c>
      <c r="T250" s="357">
        <v>0</v>
      </c>
      <c r="U250" s="357">
        <v>0</v>
      </c>
      <c r="V250" s="357">
        <v>71141.12</v>
      </c>
      <c r="W250" s="357">
        <v>259.4</v>
      </c>
      <c r="X250" s="357">
        <v>0</v>
      </c>
      <c r="Y250" s="357">
        <v>0</v>
      </c>
      <c r="Z250" s="357">
        <v>259.4</v>
      </c>
      <c r="AA250" s="357">
        <v>70881.72</v>
      </c>
      <c r="AB250" s="357">
        <v>0</v>
      </c>
      <c r="AC250" s="357">
        <v>0</v>
      </c>
      <c r="AD250" s="357">
        <v>0</v>
      </c>
      <c r="AE250" s="357">
        <v>0</v>
      </c>
      <c r="AF250" s="357">
        <v>0</v>
      </c>
      <c r="AG250" s="357">
        <v>70881.72</v>
      </c>
      <c r="AH250" s="357">
        <v>0</v>
      </c>
      <c r="AI250" s="357">
        <v>0</v>
      </c>
      <c r="AJ250" s="357">
        <v>70881.72</v>
      </c>
      <c r="AK250" s="357">
        <v>70881.72</v>
      </c>
      <c r="AL250" s="357">
        <v>0</v>
      </c>
      <c r="AM250" s="357">
        <v>0</v>
      </c>
      <c r="AN250" s="357">
        <v>70881.72</v>
      </c>
      <c r="AO250" s="357">
        <v>2258402</v>
      </c>
      <c r="AP250" s="357">
        <v>0</v>
      </c>
      <c r="AQ250" s="357">
        <v>0</v>
      </c>
      <c r="AR250" s="357">
        <v>2258402</v>
      </c>
      <c r="AS250" s="357">
        <v>12000</v>
      </c>
      <c r="AT250" s="357">
        <v>0</v>
      </c>
      <c r="AU250" s="357">
        <v>0</v>
      </c>
      <c r="AV250" s="357">
        <v>12000</v>
      </c>
      <c r="AW250" s="357">
        <v>668510</v>
      </c>
      <c r="AX250" s="357">
        <v>0</v>
      </c>
      <c r="AY250" s="357">
        <v>0</v>
      </c>
      <c r="AZ250" s="357">
        <v>668510</v>
      </c>
      <c r="BA250" s="357">
        <v>1589892</v>
      </c>
      <c r="BB250" s="357">
        <v>0</v>
      </c>
      <c r="BC250" s="357">
        <v>0</v>
      </c>
      <c r="BD250" s="357">
        <v>1589892</v>
      </c>
      <c r="BE250" s="357">
        <v>3230516</v>
      </c>
      <c r="BF250" s="357">
        <v>0</v>
      </c>
      <c r="BG250" s="357">
        <v>0</v>
      </c>
      <c r="BH250" s="357">
        <v>3230516</v>
      </c>
      <c r="BI250" s="357">
        <v>59504</v>
      </c>
      <c r="BJ250" s="357">
        <v>0</v>
      </c>
      <c r="BK250" s="357">
        <v>0</v>
      </c>
      <c r="BL250" s="357">
        <v>59504</v>
      </c>
      <c r="BM250" s="357">
        <v>87887</v>
      </c>
      <c r="BN250" s="357">
        <v>0</v>
      </c>
      <c r="BO250" s="357">
        <v>0</v>
      </c>
      <c r="BP250" s="357">
        <v>87887</v>
      </c>
      <c r="BQ250" s="357">
        <v>4967799</v>
      </c>
      <c r="BR250" s="357">
        <v>0</v>
      </c>
      <c r="BS250" s="357">
        <v>0</v>
      </c>
      <c r="BT250" s="357">
        <v>250000</v>
      </c>
      <c r="BU250" s="357">
        <v>0</v>
      </c>
      <c r="BV250" s="357">
        <v>0</v>
      </c>
      <c r="BW250" s="357">
        <v>5217799</v>
      </c>
      <c r="BX250" s="357">
        <v>0</v>
      </c>
      <c r="BY250" s="357">
        <v>0</v>
      </c>
      <c r="BZ250" s="357">
        <v>5217799</v>
      </c>
      <c r="CA250" s="357">
        <v>0</v>
      </c>
      <c r="CB250" s="357">
        <v>0</v>
      </c>
      <c r="CC250" s="357">
        <v>0</v>
      </c>
      <c r="CD250" s="357">
        <v>0</v>
      </c>
      <c r="CE250" s="357">
        <v>1015379</v>
      </c>
      <c r="CF250" s="357">
        <v>0</v>
      </c>
      <c r="CG250" s="357">
        <v>0</v>
      </c>
      <c r="CH250" s="357">
        <v>1015379</v>
      </c>
      <c r="CI250" s="357">
        <v>1015379</v>
      </c>
      <c r="CJ250" s="357">
        <v>0</v>
      </c>
      <c r="CK250" s="357">
        <v>0</v>
      </c>
      <c r="CL250" s="357">
        <v>135000</v>
      </c>
      <c r="CM250" s="357">
        <v>0</v>
      </c>
      <c r="CN250" s="357">
        <v>0</v>
      </c>
      <c r="CO250" s="357">
        <v>1150379</v>
      </c>
      <c r="CP250" s="357">
        <v>0</v>
      </c>
      <c r="CQ250" s="357">
        <v>0</v>
      </c>
      <c r="CR250" s="357">
        <v>1150379</v>
      </c>
      <c r="CS250" s="357">
        <v>105693</v>
      </c>
      <c r="CT250" s="357">
        <v>0</v>
      </c>
      <c r="CU250" s="357">
        <v>0</v>
      </c>
      <c r="CV250" s="357">
        <v>105693</v>
      </c>
      <c r="CW250" s="357">
        <v>117997</v>
      </c>
      <c r="CX250" s="357">
        <v>0</v>
      </c>
      <c r="CY250" s="357">
        <v>0</v>
      </c>
      <c r="CZ250" s="357">
        <v>117997</v>
      </c>
      <c r="DA250" s="357">
        <v>4653</v>
      </c>
      <c r="DB250" s="357">
        <v>0</v>
      </c>
      <c r="DC250" s="357">
        <v>0</v>
      </c>
      <c r="DD250" s="357">
        <v>4653</v>
      </c>
      <c r="DE250" s="357">
        <v>42165</v>
      </c>
      <c r="DF250" s="357">
        <v>0</v>
      </c>
      <c r="DG250" s="357">
        <v>0</v>
      </c>
      <c r="DH250" s="357">
        <v>42165</v>
      </c>
      <c r="DI250" s="357">
        <v>18625</v>
      </c>
      <c r="DJ250" s="357">
        <v>0</v>
      </c>
      <c r="DK250" s="357">
        <v>0</v>
      </c>
      <c r="DL250" s="357">
        <v>18625</v>
      </c>
      <c r="DM250" s="357">
        <v>100000</v>
      </c>
      <c r="DN250" s="357">
        <v>0</v>
      </c>
      <c r="DO250" s="357">
        <v>0</v>
      </c>
      <c r="DP250" s="357">
        <v>100000</v>
      </c>
      <c r="DQ250" s="357">
        <v>389133</v>
      </c>
      <c r="DR250" s="357">
        <v>0</v>
      </c>
      <c r="DS250" s="357">
        <v>0</v>
      </c>
      <c r="DT250" s="357">
        <v>20000</v>
      </c>
      <c r="DU250" s="357">
        <v>0</v>
      </c>
      <c r="DV250" s="357">
        <v>0</v>
      </c>
      <c r="DW250" s="357">
        <v>409133</v>
      </c>
      <c r="DX250" s="357">
        <v>0</v>
      </c>
      <c r="DY250" s="357">
        <v>0</v>
      </c>
      <c r="DZ250" s="357">
        <v>409133</v>
      </c>
      <c r="EA250" s="357">
        <v>0</v>
      </c>
      <c r="EB250" s="357">
        <v>0</v>
      </c>
      <c r="EC250" s="357">
        <v>80000</v>
      </c>
      <c r="ED250" s="357">
        <v>0</v>
      </c>
      <c r="EE250" s="357">
        <v>0</v>
      </c>
      <c r="EF250" s="357">
        <v>80000</v>
      </c>
      <c r="EG250" s="357">
        <v>20000</v>
      </c>
      <c r="EH250" s="357">
        <v>0</v>
      </c>
      <c r="EI250" s="357">
        <v>0</v>
      </c>
      <c r="EJ250" s="357">
        <v>20000</v>
      </c>
      <c r="EK250" s="357">
        <v>550000</v>
      </c>
      <c r="EL250" s="357">
        <v>0</v>
      </c>
      <c r="EM250" s="357">
        <v>0</v>
      </c>
      <c r="EN250" s="357">
        <v>550000</v>
      </c>
      <c r="EO250" s="357">
        <v>650000</v>
      </c>
      <c r="EP250" s="357">
        <v>0</v>
      </c>
      <c r="EQ250" s="357">
        <v>0</v>
      </c>
      <c r="ER250" s="357">
        <v>0</v>
      </c>
      <c r="ES250" s="357">
        <v>0</v>
      </c>
      <c r="ET250" s="357">
        <v>0</v>
      </c>
      <c r="EU250" s="357">
        <v>650000</v>
      </c>
      <c r="EV250" s="357">
        <v>0</v>
      </c>
      <c r="EW250" s="357">
        <v>0</v>
      </c>
      <c r="EX250" s="357">
        <v>650000</v>
      </c>
      <c r="EY250" s="357">
        <v>28633156.3</v>
      </c>
      <c r="EZ250" s="357">
        <v>0</v>
      </c>
      <c r="FA250" s="357">
        <v>0</v>
      </c>
      <c r="FB250" s="357">
        <v>28633156.3</v>
      </c>
      <c r="FC250" s="277">
        <v>0</v>
      </c>
      <c r="FD250" s="205"/>
    </row>
    <row r="251" spans="1:160" ht="12.75">
      <c r="A251" s="169">
        <v>244</v>
      </c>
      <c r="B251" s="172" t="s">
        <v>418</v>
      </c>
      <c r="C251" s="258" t="s">
        <v>419</v>
      </c>
      <c r="D251" s="235">
        <v>80114</v>
      </c>
      <c r="E251" s="357">
        <v>53059176</v>
      </c>
      <c r="F251" s="357">
        <v>0</v>
      </c>
      <c r="G251" s="357">
        <v>0</v>
      </c>
      <c r="H251" s="357">
        <v>53059176</v>
      </c>
      <c r="I251" s="357">
        <v>24990872</v>
      </c>
      <c r="J251" s="357">
        <v>0</v>
      </c>
      <c r="K251" s="357">
        <v>0</v>
      </c>
      <c r="L251" s="357">
        <v>395640</v>
      </c>
      <c r="M251" s="357">
        <v>0</v>
      </c>
      <c r="N251" s="357">
        <v>0</v>
      </c>
      <c r="O251" s="357">
        <v>25386512</v>
      </c>
      <c r="P251" s="357">
        <v>0</v>
      </c>
      <c r="Q251" s="357">
        <v>0</v>
      </c>
      <c r="R251" s="357">
        <v>25386512</v>
      </c>
      <c r="S251" s="357">
        <v>25542.49</v>
      </c>
      <c r="T251" s="357">
        <v>0</v>
      </c>
      <c r="U251" s="357">
        <v>0</v>
      </c>
      <c r="V251" s="357">
        <v>25542.49</v>
      </c>
      <c r="W251" s="357">
        <v>14685.93</v>
      </c>
      <c r="X251" s="357">
        <v>0</v>
      </c>
      <c r="Y251" s="357">
        <v>0</v>
      </c>
      <c r="Z251" s="357">
        <v>14685.93</v>
      </c>
      <c r="AA251" s="357">
        <v>10856.56</v>
      </c>
      <c r="AB251" s="357">
        <v>0</v>
      </c>
      <c r="AC251" s="357">
        <v>0</v>
      </c>
      <c r="AD251" s="357">
        <v>0</v>
      </c>
      <c r="AE251" s="357">
        <v>0</v>
      </c>
      <c r="AF251" s="357">
        <v>0</v>
      </c>
      <c r="AG251" s="357">
        <v>10856.56</v>
      </c>
      <c r="AH251" s="357">
        <v>0</v>
      </c>
      <c r="AI251" s="357">
        <v>0</v>
      </c>
      <c r="AJ251" s="357">
        <v>10856.56</v>
      </c>
      <c r="AK251" s="357">
        <v>10856.56</v>
      </c>
      <c r="AL251" s="357">
        <v>0</v>
      </c>
      <c r="AM251" s="357">
        <v>0</v>
      </c>
      <c r="AN251" s="357">
        <v>10856.56</v>
      </c>
      <c r="AO251" s="357">
        <v>1627955.66</v>
      </c>
      <c r="AP251" s="357">
        <v>0</v>
      </c>
      <c r="AQ251" s="357">
        <v>0</v>
      </c>
      <c r="AR251" s="357">
        <v>1627955.66</v>
      </c>
      <c r="AS251" s="357">
        <v>0</v>
      </c>
      <c r="AT251" s="357">
        <v>0</v>
      </c>
      <c r="AU251" s="357">
        <v>0</v>
      </c>
      <c r="AV251" s="357">
        <v>0</v>
      </c>
      <c r="AW251" s="357">
        <v>455356.05</v>
      </c>
      <c r="AX251" s="357">
        <v>0</v>
      </c>
      <c r="AY251" s="357">
        <v>0</v>
      </c>
      <c r="AZ251" s="357">
        <v>455356.05</v>
      </c>
      <c r="BA251" s="357">
        <v>1172599.61</v>
      </c>
      <c r="BB251" s="357">
        <v>0</v>
      </c>
      <c r="BC251" s="357">
        <v>0</v>
      </c>
      <c r="BD251" s="357">
        <v>1172599.61</v>
      </c>
      <c r="BE251" s="357">
        <v>1495027.12</v>
      </c>
      <c r="BF251" s="357">
        <v>0</v>
      </c>
      <c r="BG251" s="357">
        <v>0</v>
      </c>
      <c r="BH251" s="357">
        <v>1495027.12</v>
      </c>
      <c r="BI251" s="357">
        <v>6189.88</v>
      </c>
      <c r="BJ251" s="357">
        <v>0</v>
      </c>
      <c r="BK251" s="357">
        <v>0</v>
      </c>
      <c r="BL251" s="357">
        <v>6189.88</v>
      </c>
      <c r="BM251" s="357">
        <v>60432.76</v>
      </c>
      <c r="BN251" s="357">
        <v>0</v>
      </c>
      <c r="BO251" s="357">
        <v>0</v>
      </c>
      <c r="BP251" s="357">
        <v>60432.76</v>
      </c>
      <c r="BQ251" s="357">
        <v>2734249.37</v>
      </c>
      <c r="BR251" s="357">
        <v>0</v>
      </c>
      <c r="BS251" s="357">
        <v>0</v>
      </c>
      <c r="BT251" s="357">
        <v>263760</v>
      </c>
      <c r="BU251" s="357">
        <v>0</v>
      </c>
      <c r="BV251" s="357">
        <v>0</v>
      </c>
      <c r="BW251" s="357">
        <v>2998009.37</v>
      </c>
      <c r="BX251" s="357">
        <v>0</v>
      </c>
      <c r="BY251" s="357">
        <v>0</v>
      </c>
      <c r="BZ251" s="357">
        <v>2998009.37</v>
      </c>
      <c r="CA251" s="357">
        <v>0</v>
      </c>
      <c r="CB251" s="357">
        <v>0</v>
      </c>
      <c r="CC251" s="357">
        <v>0</v>
      </c>
      <c r="CD251" s="357">
        <v>0</v>
      </c>
      <c r="CE251" s="357">
        <v>709621.86</v>
      </c>
      <c r="CF251" s="357">
        <v>0</v>
      </c>
      <c r="CG251" s="357">
        <v>0</v>
      </c>
      <c r="CH251" s="357">
        <v>709621.86</v>
      </c>
      <c r="CI251" s="357">
        <v>709621.86</v>
      </c>
      <c r="CJ251" s="357">
        <v>0</v>
      </c>
      <c r="CK251" s="357">
        <v>0</v>
      </c>
      <c r="CL251" s="357">
        <v>0</v>
      </c>
      <c r="CM251" s="357">
        <v>0</v>
      </c>
      <c r="CN251" s="357">
        <v>0</v>
      </c>
      <c r="CO251" s="357">
        <v>709621.86</v>
      </c>
      <c r="CP251" s="357">
        <v>0</v>
      </c>
      <c r="CQ251" s="357">
        <v>0</v>
      </c>
      <c r="CR251" s="357">
        <v>709621.86</v>
      </c>
      <c r="CS251" s="357">
        <v>119887</v>
      </c>
      <c r="CT251" s="357">
        <v>0</v>
      </c>
      <c r="CU251" s="357">
        <v>0</v>
      </c>
      <c r="CV251" s="357">
        <v>119887</v>
      </c>
      <c r="CW251" s="357">
        <v>137997</v>
      </c>
      <c r="CX251" s="357">
        <v>0</v>
      </c>
      <c r="CY251" s="357">
        <v>0</v>
      </c>
      <c r="CZ251" s="357">
        <v>137997</v>
      </c>
      <c r="DA251" s="357">
        <v>1547.22</v>
      </c>
      <c r="DB251" s="357">
        <v>0</v>
      </c>
      <c r="DC251" s="357">
        <v>0</v>
      </c>
      <c r="DD251" s="357">
        <v>1547.22</v>
      </c>
      <c r="DE251" s="357">
        <v>15207.1</v>
      </c>
      <c r="DF251" s="357">
        <v>0</v>
      </c>
      <c r="DG251" s="357">
        <v>0</v>
      </c>
      <c r="DH251" s="357">
        <v>15207.1</v>
      </c>
      <c r="DI251" s="357">
        <v>7690</v>
      </c>
      <c r="DJ251" s="357">
        <v>0</v>
      </c>
      <c r="DK251" s="357">
        <v>0</v>
      </c>
      <c r="DL251" s="357">
        <v>7690</v>
      </c>
      <c r="DM251" s="357">
        <v>0</v>
      </c>
      <c r="DN251" s="357">
        <v>0</v>
      </c>
      <c r="DO251" s="357">
        <v>0</v>
      </c>
      <c r="DP251" s="357">
        <v>0</v>
      </c>
      <c r="DQ251" s="357">
        <v>282328.32</v>
      </c>
      <c r="DR251" s="357">
        <v>0</v>
      </c>
      <c r="DS251" s="357">
        <v>0</v>
      </c>
      <c r="DT251" s="357">
        <v>0</v>
      </c>
      <c r="DU251" s="357">
        <v>0</v>
      </c>
      <c r="DV251" s="357">
        <v>0</v>
      </c>
      <c r="DW251" s="357">
        <v>282328.32</v>
      </c>
      <c r="DX251" s="357">
        <v>0</v>
      </c>
      <c r="DY251" s="357">
        <v>0</v>
      </c>
      <c r="DZ251" s="357">
        <v>282328.32</v>
      </c>
      <c r="EA251" s="357">
        <v>0</v>
      </c>
      <c r="EB251" s="357">
        <v>0</v>
      </c>
      <c r="EC251" s="357">
        <v>0</v>
      </c>
      <c r="ED251" s="357">
        <v>0</v>
      </c>
      <c r="EE251" s="357">
        <v>0</v>
      </c>
      <c r="EF251" s="357">
        <v>0</v>
      </c>
      <c r="EG251" s="357">
        <v>9537.58</v>
      </c>
      <c r="EH251" s="357">
        <v>0</v>
      </c>
      <c r="EI251" s="357">
        <v>0</v>
      </c>
      <c r="EJ251" s="357">
        <v>9537.58</v>
      </c>
      <c r="EK251" s="357">
        <v>246511.3</v>
      </c>
      <c r="EL251" s="357">
        <v>0</v>
      </c>
      <c r="EM251" s="357">
        <v>0</v>
      </c>
      <c r="EN251" s="357">
        <v>246511.3</v>
      </c>
      <c r="EO251" s="357">
        <v>256048.88</v>
      </c>
      <c r="EP251" s="357">
        <v>0</v>
      </c>
      <c r="EQ251" s="357">
        <v>0</v>
      </c>
      <c r="ER251" s="357">
        <v>0</v>
      </c>
      <c r="ES251" s="357">
        <v>0</v>
      </c>
      <c r="ET251" s="357">
        <v>0</v>
      </c>
      <c r="EU251" s="357">
        <v>256048.88</v>
      </c>
      <c r="EV251" s="357">
        <v>0</v>
      </c>
      <c r="EW251" s="357">
        <v>0</v>
      </c>
      <c r="EX251" s="357">
        <v>256048.88</v>
      </c>
      <c r="EY251" s="357">
        <v>21129647</v>
      </c>
      <c r="EZ251" s="357">
        <v>0</v>
      </c>
      <c r="FA251" s="357">
        <v>0</v>
      </c>
      <c r="FB251" s="357">
        <v>21129647</v>
      </c>
      <c r="FC251" s="277">
        <v>0</v>
      </c>
      <c r="FD251" s="205"/>
    </row>
    <row r="252" spans="1:160" ht="12.75">
      <c r="A252" s="169">
        <v>245</v>
      </c>
      <c r="B252" s="172" t="s">
        <v>420</v>
      </c>
      <c r="C252" s="258" t="s">
        <v>421</v>
      </c>
      <c r="D252" s="235">
        <v>41654</v>
      </c>
      <c r="E252" s="357">
        <v>107830950</v>
      </c>
      <c r="F252" s="357">
        <v>0</v>
      </c>
      <c r="G252" s="357">
        <v>0</v>
      </c>
      <c r="H252" s="357">
        <v>107830950</v>
      </c>
      <c r="I252" s="357">
        <v>50788377</v>
      </c>
      <c r="J252" s="357">
        <v>0</v>
      </c>
      <c r="K252" s="357">
        <v>0</v>
      </c>
      <c r="L252" s="357">
        <v>0</v>
      </c>
      <c r="M252" s="357">
        <v>0</v>
      </c>
      <c r="N252" s="357">
        <v>0</v>
      </c>
      <c r="O252" s="357">
        <v>50788377</v>
      </c>
      <c r="P252" s="357">
        <v>0</v>
      </c>
      <c r="Q252" s="357">
        <v>0</v>
      </c>
      <c r="R252" s="357">
        <v>50788377</v>
      </c>
      <c r="S252" s="357">
        <v>42286.76</v>
      </c>
      <c r="T252" s="357">
        <v>0</v>
      </c>
      <c r="U252" s="357">
        <v>0</v>
      </c>
      <c r="V252" s="357">
        <v>42286.76</v>
      </c>
      <c r="W252" s="357">
        <v>5827.75</v>
      </c>
      <c r="X252" s="357">
        <v>0</v>
      </c>
      <c r="Y252" s="357">
        <v>0</v>
      </c>
      <c r="Z252" s="357">
        <v>5827.75</v>
      </c>
      <c r="AA252" s="357">
        <v>36459.01</v>
      </c>
      <c r="AB252" s="357">
        <v>0</v>
      </c>
      <c r="AC252" s="357">
        <v>0</v>
      </c>
      <c r="AD252" s="357">
        <v>0</v>
      </c>
      <c r="AE252" s="357">
        <v>0</v>
      </c>
      <c r="AF252" s="357">
        <v>0</v>
      </c>
      <c r="AG252" s="357">
        <v>36459.01</v>
      </c>
      <c r="AH252" s="357">
        <v>0</v>
      </c>
      <c r="AI252" s="357">
        <v>0</v>
      </c>
      <c r="AJ252" s="357">
        <v>36459.01</v>
      </c>
      <c r="AK252" s="357">
        <v>36459.01</v>
      </c>
      <c r="AL252" s="357">
        <v>0</v>
      </c>
      <c r="AM252" s="357">
        <v>0</v>
      </c>
      <c r="AN252" s="357">
        <v>36459.01</v>
      </c>
      <c r="AO252" s="357">
        <v>2336887.43</v>
      </c>
      <c r="AP252" s="357">
        <v>0</v>
      </c>
      <c r="AQ252" s="357">
        <v>0</v>
      </c>
      <c r="AR252" s="357">
        <v>2336887.43</v>
      </c>
      <c r="AS252" s="357">
        <v>0</v>
      </c>
      <c r="AT252" s="357">
        <v>0</v>
      </c>
      <c r="AU252" s="357">
        <v>0</v>
      </c>
      <c r="AV252" s="357">
        <v>0</v>
      </c>
      <c r="AW252" s="357">
        <v>1002480.39</v>
      </c>
      <c r="AX252" s="357">
        <v>0</v>
      </c>
      <c r="AY252" s="357">
        <v>0</v>
      </c>
      <c r="AZ252" s="357">
        <v>1002480.39</v>
      </c>
      <c r="BA252" s="357">
        <v>1334407.04</v>
      </c>
      <c r="BB252" s="357">
        <v>0</v>
      </c>
      <c r="BC252" s="357">
        <v>0</v>
      </c>
      <c r="BD252" s="357">
        <v>1334407.04</v>
      </c>
      <c r="BE252" s="357">
        <v>3812905.32</v>
      </c>
      <c r="BF252" s="357">
        <v>0</v>
      </c>
      <c r="BG252" s="357">
        <v>0</v>
      </c>
      <c r="BH252" s="357">
        <v>3812905.32</v>
      </c>
      <c r="BI252" s="357">
        <v>80281.92</v>
      </c>
      <c r="BJ252" s="357">
        <v>0</v>
      </c>
      <c r="BK252" s="357">
        <v>0</v>
      </c>
      <c r="BL252" s="357">
        <v>80281.92</v>
      </c>
      <c r="BM252" s="357">
        <v>42672.98</v>
      </c>
      <c r="BN252" s="357">
        <v>0</v>
      </c>
      <c r="BO252" s="357">
        <v>0</v>
      </c>
      <c r="BP252" s="357">
        <v>42672.98</v>
      </c>
      <c r="BQ252" s="357">
        <v>5270267.26</v>
      </c>
      <c r="BR252" s="357">
        <v>0</v>
      </c>
      <c r="BS252" s="357">
        <v>0</v>
      </c>
      <c r="BT252" s="357">
        <v>0</v>
      </c>
      <c r="BU252" s="357">
        <v>0</v>
      </c>
      <c r="BV252" s="357">
        <v>0</v>
      </c>
      <c r="BW252" s="357">
        <v>5270267.26</v>
      </c>
      <c r="BX252" s="357">
        <v>0</v>
      </c>
      <c r="BY252" s="357">
        <v>0</v>
      </c>
      <c r="BZ252" s="357">
        <v>5270267.26</v>
      </c>
      <c r="CA252" s="357">
        <v>0</v>
      </c>
      <c r="CB252" s="357">
        <v>0</v>
      </c>
      <c r="CC252" s="357">
        <v>0</v>
      </c>
      <c r="CD252" s="357">
        <v>0</v>
      </c>
      <c r="CE252" s="357">
        <v>792735.26</v>
      </c>
      <c r="CF252" s="357">
        <v>0</v>
      </c>
      <c r="CG252" s="357">
        <v>0</v>
      </c>
      <c r="CH252" s="357">
        <v>792735.26</v>
      </c>
      <c r="CI252" s="357">
        <v>792735.26</v>
      </c>
      <c r="CJ252" s="357">
        <v>0</v>
      </c>
      <c r="CK252" s="357">
        <v>0</v>
      </c>
      <c r="CL252" s="357">
        <v>468921.91</v>
      </c>
      <c r="CM252" s="357">
        <v>0</v>
      </c>
      <c r="CN252" s="357">
        <v>0</v>
      </c>
      <c r="CO252" s="357">
        <v>1261657.17</v>
      </c>
      <c r="CP252" s="357">
        <v>0</v>
      </c>
      <c r="CQ252" s="357">
        <v>0</v>
      </c>
      <c r="CR252" s="357">
        <v>1261657.17</v>
      </c>
      <c r="CS252" s="357">
        <v>194838.28</v>
      </c>
      <c r="CT252" s="357">
        <v>0</v>
      </c>
      <c r="CU252" s="357">
        <v>0</v>
      </c>
      <c r="CV252" s="357">
        <v>194838.28</v>
      </c>
      <c r="CW252" s="357">
        <v>16717.67</v>
      </c>
      <c r="CX252" s="357">
        <v>0</v>
      </c>
      <c r="CY252" s="357">
        <v>0</v>
      </c>
      <c r="CZ252" s="357">
        <v>16717.67</v>
      </c>
      <c r="DA252" s="357">
        <v>10111.18</v>
      </c>
      <c r="DB252" s="357">
        <v>0</v>
      </c>
      <c r="DC252" s="357">
        <v>0</v>
      </c>
      <c r="DD252" s="357">
        <v>10111.18</v>
      </c>
      <c r="DE252" s="357">
        <v>21316.45</v>
      </c>
      <c r="DF252" s="357">
        <v>0</v>
      </c>
      <c r="DG252" s="357">
        <v>0</v>
      </c>
      <c r="DH252" s="357">
        <v>21316.45</v>
      </c>
      <c r="DI252" s="357">
        <v>0</v>
      </c>
      <c r="DJ252" s="357">
        <v>0</v>
      </c>
      <c r="DK252" s="357">
        <v>0</v>
      </c>
      <c r="DL252" s="357">
        <v>0</v>
      </c>
      <c r="DM252" s="357">
        <v>0</v>
      </c>
      <c r="DN252" s="357">
        <v>0</v>
      </c>
      <c r="DO252" s="357">
        <v>0</v>
      </c>
      <c r="DP252" s="357">
        <v>0</v>
      </c>
      <c r="DQ252" s="357">
        <v>242983.58</v>
      </c>
      <c r="DR252" s="357">
        <v>0</v>
      </c>
      <c r="DS252" s="357">
        <v>0</v>
      </c>
      <c r="DT252" s="357">
        <v>0</v>
      </c>
      <c r="DU252" s="357">
        <v>0</v>
      </c>
      <c r="DV252" s="357">
        <v>0</v>
      </c>
      <c r="DW252" s="357">
        <v>242983.58</v>
      </c>
      <c r="DX252" s="357">
        <v>0</v>
      </c>
      <c r="DY252" s="357">
        <v>0</v>
      </c>
      <c r="DZ252" s="357">
        <v>242983.58</v>
      </c>
      <c r="EA252" s="357">
        <v>0</v>
      </c>
      <c r="EB252" s="357">
        <v>0</v>
      </c>
      <c r="EC252" s="357">
        <v>0</v>
      </c>
      <c r="ED252" s="357">
        <v>0</v>
      </c>
      <c r="EE252" s="357">
        <v>0</v>
      </c>
      <c r="EF252" s="357">
        <v>0</v>
      </c>
      <c r="EG252" s="357">
        <v>106000</v>
      </c>
      <c r="EH252" s="357">
        <v>0</v>
      </c>
      <c r="EI252" s="357">
        <v>0</v>
      </c>
      <c r="EJ252" s="357">
        <v>106000</v>
      </c>
      <c r="EK252" s="357">
        <v>668501.48</v>
      </c>
      <c r="EL252" s="357">
        <v>0</v>
      </c>
      <c r="EM252" s="357">
        <v>0</v>
      </c>
      <c r="EN252" s="357">
        <v>668501.48</v>
      </c>
      <c r="EO252" s="357">
        <v>774501.48</v>
      </c>
      <c r="EP252" s="357">
        <v>0</v>
      </c>
      <c r="EQ252" s="357">
        <v>0</v>
      </c>
      <c r="ER252" s="357">
        <v>0</v>
      </c>
      <c r="ES252" s="357">
        <v>0</v>
      </c>
      <c r="ET252" s="357">
        <v>0</v>
      </c>
      <c r="EU252" s="357">
        <v>774501.48</v>
      </c>
      <c r="EV252" s="357">
        <v>0</v>
      </c>
      <c r="EW252" s="357">
        <v>0</v>
      </c>
      <c r="EX252" s="357">
        <v>774501.48</v>
      </c>
      <c r="EY252" s="357">
        <v>43202508.5</v>
      </c>
      <c r="EZ252" s="357">
        <v>0</v>
      </c>
      <c r="FA252" s="357">
        <v>0</v>
      </c>
      <c r="FB252" s="357">
        <v>43202508.5</v>
      </c>
      <c r="FC252" s="277">
        <v>0</v>
      </c>
      <c r="FD252" s="205"/>
    </row>
    <row r="253" spans="1:160" ht="12.75">
      <c r="A253" s="169">
        <v>246</v>
      </c>
      <c r="B253" s="172" t="s">
        <v>422</v>
      </c>
      <c r="C253" s="258" t="s">
        <v>423</v>
      </c>
      <c r="D253" s="235">
        <v>41659</v>
      </c>
      <c r="E253" s="357">
        <v>88044651</v>
      </c>
      <c r="F253" s="357">
        <v>0</v>
      </c>
      <c r="G253" s="357">
        <v>0</v>
      </c>
      <c r="H253" s="357">
        <v>88044651</v>
      </c>
      <c r="I253" s="357">
        <v>41469031</v>
      </c>
      <c r="J253" s="357">
        <v>0</v>
      </c>
      <c r="K253" s="357">
        <v>0</v>
      </c>
      <c r="L253" s="357">
        <v>100000</v>
      </c>
      <c r="M253" s="357">
        <v>0</v>
      </c>
      <c r="N253" s="357">
        <v>0</v>
      </c>
      <c r="O253" s="357">
        <v>41569031</v>
      </c>
      <c r="P253" s="357">
        <v>0</v>
      </c>
      <c r="Q253" s="357">
        <v>0</v>
      </c>
      <c r="R253" s="357">
        <v>41569031</v>
      </c>
      <c r="S253" s="357">
        <v>40642</v>
      </c>
      <c r="T253" s="357">
        <v>0</v>
      </c>
      <c r="U253" s="357">
        <v>0</v>
      </c>
      <c r="V253" s="357">
        <v>40642</v>
      </c>
      <c r="W253" s="357">
        <v>4670</v>
      </c>
      <c r="X253" s="357">
        <v>0</v>
      </c>
      <c r="Y253" s="357">
        <v>0</v>
      </c>
      <c r="Z253" s="357">
        <v>4670</v>
      </c>
      <c r="AA253" s="357">
        <v>35972</v>
      </c>
      <c r="AB253" s="357">
        <v>0</v>
      </c>
      <c r="AC253" s="357">
        <v>0</v>
      </c>
      <c r="AD253" s="357">
        <v>-5000</v>
      </c>
      <c r="AE253" s="357">
        <v>0</v>
      </c>
      <c r="AF253" s="357">
        <v>0</v>
      </c>
      <c r="AG253" s="357">
        <v>30972</v>
      </c>
      <c r="AH253" s="357">
        <v>0</v>
      </c>
      <c r="AI253" s="357">
        <v>0</v>
      </c>
      <c r="AJ253" s="357">
        <v>30972</v>
      </c>
      <c r="AK253" s="357">
        <v>30972</v>
      </c>
      <c r="AL253" s="357">
        <v>0</v>
      </c>
      <c r="AM253" s="357">
        <v>0</v>
      </c>
      <c r="AN253" s="357">
        <v>30972</v>
      </c>
      <c r="AO253" s="357">
        <v>2008276</v>
      </c>
      <c r="AP253" s="357">
        <v>0</v>
      </c>
      <c r="AQ253" s="357">
        <v>0</v>
      </c>
      <c r="AR253" s="357">
        <v>2008276</v>
      </c>
      <c r="AS253" s="357">
        <v>10000</v>
      </c>
      <c r="AT253" s="357">
        <v>0</v>
      </c>
      <c r="AU253" s="357">
        <v>0</v>
      </c>
      <c r="AV253" s="357">
        <v>10000</v>
      </c>
      <c r="AW253" s="357">
        <v>837138</v>
      </c>
      <c r="AX253" s="357">
        <v>0</v>
      </c>
      <c r="AY253" s="357">
        <v>0</v>
      </c>
      <c r="AZ253" s="357">
        <v>837138</v>
      </c>
      <c r="BA253" s="357">
        <v>1171138</v>
      </c>
      <c r="BB253" s="357">
        <v>0</v>
      </c>
      <c r="BC253" s="357">
        <v>0</v>
      </c>
      <c r="BD253" s="357">
        <v>1171138</v>
      </c>
      <c r="BE253" s="357">
        <v>1773714</v>
      </c>
      <c r="BF253" s="357">
        <v>0</v>
      </c>
      <c r="BG253" s="357">
        <v>0</v>
      </c>
      <c r="BH253" s="357">
        <v>1773714</v>
      </c>
      <c r="BI253" s="357">
        <v>46446</v>
      </c>
      <c r="BJ253" s="357">
        <v>0</v>
      </c>
      <c r="BK253" s="357">
        <v>0</v>
      </c>
      <c r="BL253" s="357">
        <v>46446</v>
      </c>
      <c r="BM253" s="357">
        <v>4965</v>
      </c>
      <c r="BN253" s="357">
        <v>0</v>
      </c>
      <c r="BO253" s="357">
        <v>0</v>
      </c>
      <c r="BP253" s="357">
        <v>4965</v>
      </c>
      <c r="BQ253" s="357">
        <v>2996263</v>
      </c>
      <c r="BR253" s="357">
        <v>0</v>
      </c>
      <c r="BS253" s="357">
        <v>0</v>
      </c>
      <c r="BT253" s="357">
        <v>0</v>
      </c>
      <c r="BU253" s="357">
        <v>0</v>
      </c>
      <c r="BV253" s="357">
        <v>0</v>
      </c>
      <c r="BW253" s="357">
        <v>2996263</v>
      </c>
      <c r="BX253" s="357">
        <v>0</v>
      </c>
      <c r="BY253" s="357">
        <v>0</v>
      </c>
      <c r="BZ253" s="357">
        <v>2996263</v>
      </c>
      <c r="CA253" s="357">
        <v>15000</v>
      </c>
      <c r="CB253" s="357">
        <v>0</v>
      </c>
      <c r="CC253" s="357">
        <v>0</v>
      </c>
      <c r="CD253" s="357">
        <v>15000</v>
      </c>
      <c r="CE253" s="357">
        <v>1001458</v>
      </c>
      <c r="CF253" s="357">
        <v>0</v>
      </c>
      <c r="CG253" s="357">
        <v>0</v>
      </c>
      <c r="CH253" s="357">
        <v>1001458</v>
      </c>
      <c r="CI253" s="357">
        <v>1016458</v>
      </c>
      <c r="CJ253" s="357">
        <v>0</v>
      </c>
      <c r="CK253" s="357">
        <v>0</v>
      </c>
      <c r="CL253" s="357">
        <v>0</v>
      </c>
      <c r="CM253" s="357">
        <v>0</v>
      </c>
      <c r="CN253" s="357">
        <v>0</v>
      </c>
      <c r="CO253" s="357">
        <v>1016458</v>
      </c>
      <c r="CP253" s="357">
        <v>0</v>
      </c>
      <c r="CQ253" s="357">
        <v>0</v>
      </c>
      <c r="CR253" s="357">
        <v>1016458</v>
      </c>
      <c r="CS253" s="357">
        <v>108917</v>
      </c>
      <c r="CT253" s="357">
        <v>0</v>
      </c>
      <c r="CU253" s="357">
        <v>0</v>
      </c>
      <c r="CV253" s="357">
        <v>108917</v>
      </c>
      <c r="CW253" s="357">
        <v>26465</v>
      </c>
      <c r="CX253" s="357">
        <v>0</v>
      </c>
      <c r="CY253" s="357">
        <v>0</v>
      </c>
      <c r="CZ253" s="357">
        <v>26465</v>
      </c>
      <c r="DA253" s="357">
        <v>439</v>
      </c>
      <c r="DB253" s="357">
        <v>0</v>
      </c>
      <c r="DC253" s="357">
        <v>0</v>
      </c>
      <c r="DD253" s="357">
        <v>439</v>
      </c>
      <c r="DE253" s="357">
        <v>4965</v>
      </c>
      <c r="DF253" s="357">
        <v>0</v>
      </c>
      <c r="DG253" s="357">
        <v>0</v>
      </c>
      <c r="DH253" s="357">
        <v>4965</v>
      </c>
      <c r="DI253" s="357">
        <v>0</v>
      </c>
      <c r="DJ253" s="357">
        <v>0</v>
      </c>
      <c r="DK253" s="357">
        <v>0</v>
      </c>
      <c r="DL253" s="357">
        <v>0</v>
      </c>
      <c r="DM253" s="357">
        <v>0</v>
      </c>
      <c r="DN253" s="357">
        <v>0</v>
      </c>
      <c r="DO253" s="357">
        <v>0</v>
      </c>
      <c r="DP253" s="357">
        <v>0</v>
      </c>
      <c r="DQ253" s="357">
        <v>140786</v>
      </c>
      <c r="DR253" s="357">
        <v>0</v>
      </c>
      <c r="DS253" s="357">
        <v>0</v>
      </c>
      <c r="DT253" s="357">
        <v>15000</v>
      </c>
      <c r="DU253" s="357">
        <v>0</v>
      </c>
      <c r="DV253" s="357">
        <v>0</v>
      </c>
      <c r="DW253" s="357">
        <v>155786</v>
      </c>
      <c r="DX253" s="357">
        <v>0</v>
      </c>
      <c r="DY253" s="357">
        <v>0</v>
      </c>
      <c r="DZ253" s="357">
        <v>155786</v>
      </c>
      <c r="EA253" s="357">
        <v>0</v>
      </c>
      <c r="EB253" s="357">
        <v>0</v>
      </c>
      <c r="EC253" s="357">
        <v>50000</v>
      </c>
      <c r="ED253" s="357">
        <v>0</v>
      </c>
      <c r="EE253" s="357">
        <v>0</v>
      </c>
      <c r="EF253" s="357">
        <v>50000</v>
      </c>
      <c r="EG253" s="357">
        <v>25000</v>
      </c>
      <c r="EH253" s="357">
        <v>0</v>
      </c>
      <c r="EI253" s="357">
        <v>0</v>
      </c>
      <c r="EJ253" s="357">
        <v>25000</v>
      </c>
      <c r="EK253" s="357">
        <v>750000</v>
      </c>
      <c r="EL253" s="357">
        <v>0</v>
      </c>
      <c r="EM253" s="357">
        <v>0</v>
      </c>
      <c r="EN253" s="357">
        <v>750000</v>
      </c>
      <c r="EO253" s="357">
        <v>825000</v>
      </c>
      <c r="EP253" s="357">
        <v>0</v>
      </c>
      <c r="EQ253" s="357">
        <v>0</v>
      </c>
      <c r="ER253" s="357">
        <v>0</v>
      </c>
      <c r="ES253" s="357">
        <v>0</v>
      </c>
      <c r="ET253" s="357">
        <v>0</v>
      </c>
      <c r="EU253" s="357">
        <v>825000</v>
      </c>
      <c r="EV253" s="357">
        <v>0</v>
      </c>
      <c r="EW253" s="357">
        <v>0</v>
      </c>
      <c r="EX253" s="357">
        <v>825000</v>
      </c>
      <c r="EY253" s="357">
        <v>36544552</v>
      </c>
      <c r="EZ253" s="357">
        <v>0</v>
      </c>
      <c r="FA253" s="357">
        <v>0</v>
      </c>
      <c r="FB253" s="357">
        <v>36544552</v>
      </c>
      <c r="FC253" s="277">
        <v>0</v>
      </c>
      <c r="FD253" s="205"/>
    </row>
    <row r="254" spans="1:160" ht="12.75">
      <c r="A254" s="169">
        <v>247</v>
      </c>
      <c r="B254" s="172" t="s">
        <v>424</v>
      </c>
      <c r="C254" s="258" t="s">
        <v>425</v>
      </c>
      <c r="D254" s="235">
        <v>41639</v>
      </c>
      <c r="E254" s="357">
        <v>111099454</v>
      </c>
      <c r="F254" s="357">
        <v>0</v>
      </c>
      <c r="G254" s="357">
        <v>0</v>
      </c>
      <c r="H254" s="357">
        <v>111099454</v>
      </c>
      <c r="I254" s="357">
        <v>52327843</v>
      </c>
      <c r="J254" s="357">
        <v>0</v>
      </c>
      <c r="K254" s="357">
        <v>0</v>
      </c>
      <c r="L254" s="357">
        <v>261639</v>
      </c>
      <c r="M254" s="357">
        <v>0</v>
      </c>
      <c r="N254" s="357">
        <v>0</v>
      </c>
      <c r="O254" s="357">
        <v>52589482</v>
      </c>
      <c r="P254" s="357">
        <v>0</v>
      </c>
      <c r="Q254" s="357">
        <v>0</v>
      </c>
      <c r="R254" s="357">
        <v>52589482</v>
      </c>
      <c r="S254" s="357">
        <v>134510</v>
      </c>
      <c r="T254" s="357">
        <v>0</v>
      </c>
      <c r="U254" s="357">
        <v>0</v>
      </c>
      <c r="V254" s="357">
        <v>134510</v>
      </c>
      <c r="W254" s="357">
        <v>3895</v>
      </c>
      <c r="X254" s="357">
        <v>0</v>
      </c>
      <c r="Y254" s="357">
        <v>0</v>
      </c>
      <c r="Z254" s="357">
        <v>3895</v>
      </c>
      <c r="AA254" s="357">
        <v>130615</v>
      </c>
      <c r="AB254" s="357">
        <v>0</v>
      </c>
      <c r="AC254" s="357">
        <v>0</v>
      </c>
      <c r="AD254" s="357">
        <v>0</v>
      </c>
      <c r="AE254" s="357">
        <v>0</v>
      </c>
      <c r="AF254" s="357">
        <v>0</v>
      </c>
      <c r="AG254" s="357">
        <v>130615</v>
      </c>
      <c r="AH254" s="357">
        <v>0</v>
      </c>
      <c r="AI254" s="357">
        <v>0</v>
      </c>
      <c r="AJ254" s="357">
        <v>130615</v>
      </c>
      <c r="AK254" s="357">
        <v>130615</v>
      </c>
      <c r="AL254" s="357">
        <v>0</v>
      </c>
      <c r="AM254" s="357">
        <v>0</v>
      </c>
      <c r="AN254" s="357">
        <v>130615</v>
      </c>
      <c r="AO254" s="357">
        <v>3504437</v>
      </c>
      <c r="AP254" s="357">
        <v>0</v>
      </c>
      <c r="AQ254" s="357">
        <v>0</v>
      </c>
      <c r="AR254" s="357">
        <v>3504437</v>
      </c>
      <c r="AS254" s="357">
        <v>28260</v>
      </c>
      <c r="AT254" s="357">
        <v>0</v>
      </c>
      <c r="AU254" s="357">
        <v>0</v>
      </c>
      <c r="AV254" s="357">
        <v>28260</v>
      </c>
      <c r="AW254" s="357">
        <v>977978</v>
      </c>
      <c r="AX254" s="357">
        <v>0</v>
      </c>
      <c r="AY254" s="357">
        <v>0</v>
      </c>
      <c r="AZ254" s="357">
        <v>977978</v>
      </c>
      <c r="BA254" s="357">
        <v>2526459</v>
      </c>
      <c r="BB254" s="357">
        <v>0</v>
      </c>
      <c r="BC254" s="357">
        <v>0</v>
      </c>
      <c r="BD254" s="357">
        <v>2526459</v>
      </c>
      <c r="BE254" s="357">
        <v>3172138</v>
      </c>
      <c r="BF254" s="357">
        <v>0</v>
      </c>
      <c r="BG254" s="357">
        <v>0</v>
      </c>
      <c r="BH254" s="357">
        <v>3172138</v>
      </c>
      <c r="BI254" s="357">
        <v>27599</v>
      </c>
      <c r="BJ254" s="357">
        <v>0</v>
      </c>
      <c r="BK254" s="357">
        <v>0</v>
      </c>
      <c r="BL254" s="357">
        <v>27599</v>
      </c>
      <c r="BM254" s="357">
        <v>94363</v>
      </c>
      <c r="BN254" s="357">
        <v>0</v>
      </c>
      <c r="BO254" s="357">
        <v>0</v>
      </c>
      <c r="BP254" s="357">
        <v>94363</v>
      </c>
      <c r="BQ254" s="357">
        <v>5820559</v>
      </c>
      <c r="BR254" s="357">
        <v>0</v>
      </c>
      <c r="BS254" s="357">
        <v>0</v>
      </c>
      <c r="BT254" s="357">
        <v>0</v>
      </c>
      <c r="BU254" s="357">
        <v>0</v>
      </c>
      <c r="BV254" s="357">
        <v>0</v>
      </c>
      <c r="BW254" s="357">
        <v>5820559</v>
      </c>
      <c r="BX254" s="357">
        <v>0</v>
      </c>
      <c r="BY254" s="357">
        <v>0</v>
      </c>
      <c r="BZ254" s="357">
        <v>5820559</v>
      </c>
      <c r="CA254" s="357">
        <v>19000</v>
      </c>
      <c r="CB254" s="357">
        <v>0</v>
      </c>
      <c r="CC254" s="357">
        <v>0</v>
      </c>
      <c r="CD254" s="357">
        <v>19000</v>
      </c>
      <c r="CE254" s="357">
        <v>1527477</v>
      </c>
      <c r="CF254" s="357">
        <v>0</v>
      </c>
      <c r="CG254" s="357">
        <v>0</v>
      </c>
      <c r="CH254" s="357">
        <v>1527477</v>
      </c>
      <c r="CI254" s="357">
        <v>1546477</v>
      </c>
      <c r="CJ254" s="357">
        <v>0</v>
      </c>
      <c r="CK254" s="357">
        <v>0</v>
      </c>
      <c r="CL254" s="357">
        <v>0</v>
      </c>
      <c r="CM254" s="357">
        <v>0</v>
      </c>
      <c r="CN254" s="357">
        <v>0</v>
      </c>
      <c r="CO254" s="357">
        <v>1546477</v>
      </c>
      <c r="CP254" s="357">
        <v>0</v>
      </c>
      <c r="CQ254" s="357">
        <v>0</v>
      </c>
      <c r="CR254" s="357">
        <v>1546477</v>
      </c>
      <c r="CS254" s="357">
        <v>156783</v>
      </c>
      <c r="CT254" s="357">
        <v>0</v>
      </c>
      <c r="CU254" s="357">
        <v>0</v>
      </c>
      <c r="CV254" s="357">
        <v>156783</v>
      </c>
      <c r="CW254" s="357">
        <v>138129</v>
      </c>
      <c r="CX254" s="357">
        <v>0</v>
      </c>
      <c r="CY254" s="357">
        <v>0</v>
      </c>
      <c r="CZ254" s="357">
        <v>138129</v>
      </c>
      <c r="DA254" s="357">
        <v>3796</v>
      </c>
      <c r="DB254" s="357">
        <v>0</v>
      </c>
      <c r="DC254" s="357">
        <v>0</v>
      </c>
      <c r="DD254" s="357">
        <v>3796</v>
      </c>
      <c r="DE254" s="357">
        <v>38820</v>
      </c>
      <c r="DF254" s="357">
        <v>0</v>
      </c>
      <c r="DG254" s="357">
        <v>0</v>
      </c>
      <c r="DH254" s="357">
        <v>38820</v>
      </c>
      <c r="DI254" s="357">
        <v>45334</v>
      </c>
      <c r="DJ254" s="357">
        <v>0</v>
      </c>
      <c r="DK254" s="357">
        <v>0</v>
      </c>
      <c r="DL254" s="357">
        <v>45334</v>
      </c>
      <c r="DM254" s="357">
        <v>0</v>
      </c>
      <c r="DN254" s="357">
        <v>0</v>
      </c>
      <c r="DO254" s="357">
        <v>0</v>
      </c>
      <c r="DP254" s="357">
        <v>0</v>
      </c>
      <c r="DQ254" s="357">
        <v>382862</v>
      </c>
      <c r="DR254" s="357">
        <v>0</v>
      </c>
      <c r="DS254" s="357">
        <v>0</v>
      </c>
      <c r="DT254" s="357">
        <v>0</v>
      </c>
      <c r="DU254" s="357">
        <v>0</v>
      </c>
      <c r="DV254" s="357">
        <v>0</v>
      </c>
      <c r="DW254" s="357">
        <v>382862</v>
      </c>
      <c r="DX254" s="357">
        <v>0</v>
      </c>
      <c r="DY254" s="357">
        <v>0</v>
      </c>
      <c r="DZ254" s="357">
        <v>382862</v>
      </c>
      <c r="EA254" s="357">
        <v>0</v>
      </c>
      <c r="EB254" s="357">
        <v>0</v>
      </c>
      <c r="EC254" s="357">
        <v>48180</v>
      </c>
      <c r="ED254" s="357">
        <v>0</v>
      </c>
      <c r="EE254" s="357">
        <v>0</v>
      </c>
      <c r="EF254" s="357">
        <v>48180</v>
      </c>
      <c r="EG254" s="357">
        <v>69684</v>
      </c>
      <c r="EH254" s="357">
        <v>0</v>
      </c>
      <c r="EI254" s="357">
        <v>0</v>
      </c>
      <c r="EJ254" s="357">
        <v>69684</v>
      </c>
      <c r="EK254" s="357">
        <v>725273</v>
      </c>
      <c r="EL254" s="357">
        <v>0</v>
      </c>
      <c r="EM254" s="357">
        <v>0</v>
      </c>
      <c r="EN254" s="357">
        <v>725273</v>
      </c>
      <c r="EO254" s="357">
        <v>843137</v>
      </c>
      <c r="EP254" s="357">
        <v>0</v>
      </c>
      <c r="EQ254" s="357">
        <v>0</v>
      </c>
      <c r="ER254" s="357">
        <v>0</v>
      </c>
      <c r="ES254" s="357">
        <v>0</v>
      </c>
      <c r="ET254" s="357">
        <v>0</v>
      </c>
      <c r="EU254" s="357">
        <v>843137</v>
      </c>
      <c r="EV254" s="357">
        <v>0</v>
      </c>
      <c r="EW254" s="357">
        <v>0</v>
      </c>
      <c r="EX254" s="357">
        <v>843137</v>
      </c>
      <c r="EY254" s="357">
        <v>43865832</v>
      </c>
      <c r="EZ254" s="357">
        <v>0</v>
      </c>
      <c r="FA254" s="357">
        <v>0</v>
      </c>
      <c r="FB254" s="357">
        <v>43865832</v>
      </c>
      <c r="FC254" s="277">
        <v>0</v>
      </c>
      <c r="FD254" s="205"/>
    </row>
    <row r="255" spans="1:160" ht="12.75">
      <c r="A255" s="169">
        <v>248</v>
      </c>
      <c r="B255" s="172" t="s">
        <v>426</v>
      </c>
      <c r="C255" s="258" t="s">
        <v>427</v>
      </c>
      <c r="D255" s="235">
        <v>150114</v>
      </c>
      <c r="E255" s="357">
        <v>52759975</v>
      </c>
      <c r="F255" s="357">
        <v>0</v>
      </c>
      <c r="G255" s="357">
        <v>1362500</v>
      </c>
      <c r="H255" s="357">
        <v>54122475</v>
      </c>
      <c r="I255" s="357">
        <v>24849948</v>
      </c>
      <c r="J255" s="357">
        <v>0</v>
      </c>
      <c r="K255" s="357">
        <v>641738</v>
      </c>
      <c r="L255" s="357">
        <v>0</v>
      </c>
      <c r="M255" s="357">
        <v>0</v>
      </c>
      <c r="N255" s="357">
        <v>400000</v>
      </c>
      <c r="O255" s="357">
        <v>24849948</v>
      </c>
      <c r="P255" s="357">
        <v>0</v>
      </c>
      <c r="Q255" s="357">
        <v>1041738</v>
      </c>
      <c r="R255" s="357">
        <v>25891686</v>
      </c>
      <c r="S255" s="357">
        <v>82539</v>
      </c>
      <c r="T255" s="357">
        <v>0</v>
      </c>
      <c r="U255" s="357">
        <v>0</v>
      </c>
      <c r="V255" s="357">
        <v>82539</v>
      </c>
      <c r="W255" s="357">
        <v>0</v>
      </c>
      <c r="X255" s="357">
        <v>0</v>
      </c>
      <c r="Y255" s="357">
        <v>0</v>
      </c>
      <c r="Z255" s="357">
        <v>0</v>
      </c>
      <c r="AA255" s="357">
        <v>82539</v>
      </c>
      <c r="AB255" s="357">
        <v>0</v>
      </c>
      <c r="AC255" s="357">
        <v>0</v>
      </c>
      <c r="AD255" s="357">
        <v>0</v>
      </c>
      <c r="AE255" s="357">
        <v>0</v>
      </c>
      <c r="AF255" s="357">
        <v>0</v>
      </c>
      <c r="AG255" s="357">
        <v>82539</v>
      </c>
      <c r="AH255" s="357">
        <v>0</v>
      </c>
      <c r="AI255" s="357">
        <v>0</v>
      </c>
      <c r="AJ255" s="357">
        <v>82539</v>
      </c>
      <c r="AK255" s="357">
        <v>82539</v>
      </c>
      <c r="AL255" s="357">
        <v>0</v>
      </c>
      <c r="AM255" s="357">
        <v>0</v>
      </c>
      <c r="AN255" s="357">
        <v>82539</v>
      </c>
      <c r="AO255" s="357">
        <v>1917960</v>
      </c>
      <c r="AP255" s="357">
        <v>0</v>
      </c>
      <c r="AQ255" s="357">
        <v>0</v>
      </c>
      <c r="AR255" s="357">
        <v>1917960</v>
      </c>
      <c r="AS255" s="357">
        <v>0</v>
      </c>
      <c r="AT255" s="357">
        <v>0</v>
      </c>
      <c r="AU255" s="357">
        <v>0</v>
      </c>
      <c r="AV255" s="357">
        <v>0</v>
      </c>
      <c r="AW255" s="357">
        <v>457905</v>
      </c>
      <c r="AX255" s="357">
        <v>0</v>
      </c>
      <c r="AY255" s="357">
        <v>0</v>
      </c>
      <c r="AZ255" s="357">
        <v>457905</v>
      </c>
      <c r="BA255" s="357">
        <v>1460055</v>
      </c>
      <c r="BB255" s="357">
        <v>0</v>
      </c>
      <c r="BC255" s="357">
        <v>0</v>
      </c>
      <c r="BD255" s="357">
        <v>1460055</v>
      </c>
      <c r="BE255" s="357">
        <v>449750</v>
      </c>
      <c r="BF255" s="357">
        <v>0</v>
      </c>
      <c r="BG255" s="357">
        <v>0</v>
      </c>
      <c r="BH255" s="357">
        <v>449750</v>
      </c>
      <c r="BI255" s="357">
        <v>20707</v>
      </c>
      <c r="BJ255" s="357">
        <v>0</v>
      </c>
      <c r="BK255" s="357">
        <v>0</v>
      </c>
      <c r="BL255" s="357">
        <v>20707</v>
      </c>
      <c r="BM255" s="357">
        <v>10469</v>
      </c>
      <c r="BN255" s="357">
        <v>0</v>
      </c>
      <c r="BO255" s="357">
        <v>0</v>
      </c>
      <c r="BP255" s="357">
        <v>10469</v>
      </c>
      <c r="BQ255" s="357">
        <v>1940981</v>
      </c>
      <c r="BR255" s="357">
        <v>0</v>
      </c>
      <c r="BS255" s="357">
        <v>0</v>
      </c>
      <c r="BT255" s="357">
        <v>0</v>
      </c>
      <c r="BU255" s="357">
        <v>0</v>
      </c>
      <c r="BV255" s="357">
        <v>0</v>
      </c>
      <c r="BW255" s="357">
        <v>1940981</v>
      </c>
      <c r="BX255" s="357">
        <v>0</v>
      </c>
      <c r="BY255" s="357">
        <v>0</v>
      </c>
      <c r="BZ255" s="357">
        <v>1940981</v>
      </c>
      <c r="CA255" s="357">
        <v>0</v>
      </c>
      <c r="CB255" s="357">
        <v>0</v>
      </c>
      <c r="CC255" s="357">
        <v>0</v>
      </c>
      <c r="CD255" s="357">
        <v>0</v>
      </c>
      <c r="CE255" s="357">
        <v>260960</v>
      </c>
      <c r="CF255" s="357">
        <v>0</v>
      </c>
      <c r="CG255" s="357">
        <v>0</v>
      </c>
      <c r="CH255" s="357">
        <v>260960</v>
      </c>
      <c r="CI255" s="357">
        <v>260960</v>
      </c>
      <c r="CJ255" s="357">
        <v>0</v>
      </c>
      <c r="CK255" s="357">
        <v>0</v>
      </c>
      <c r="CL255" s="357">
        <v>370000</v>
      </c>
      <c r="CM255" s="357">
        <v>0</v>
      </c>
      <c r="CN255" s="357">
        <v>0</v>
      </c>
      <c r="CO255" s="357">
        <v>630960</v>
      </c>
      <c r="CP255" s="357">
        <v>0</v>
      </c>
      <c r="CQ255" s="357">
        <v>0</v>
      </c>
      <c r="CR255" s="357">
        <v>630960</v>
      </c>
      <c r="CS255" s="357">
        <v>35653</v>
      </c>
      <c r="CT255" s="357">
        <v>0</v>
      </c>
      <c r="CU255" s="357">
        <v>0</v>
      </c>
      <c r="CV255" s="357">
        <v>35653</v>
      </c>
      <c r="CW255" s="357">
        <v>226997</v>
      </c>
      <c r="CX255" s="357">
        <v>0</v>
      </c>
      <c r="CY255" s="357">
        <v>0</v>
      </c>
      <c r="CZ255" s="357">
        <v>226997</v>
      </c>
      <c r="DA255" s="357">
        <v>4116</v>
      </c>
      <c r="DB255" s="357">
        <v>0</v>
      </c>
      <c r="DC255" s="357">
        <v>0</v>
      </c>
      <c r="DD255" s="357">
        <v>4116</v>
      </c>
      <c r="DE255" s="357">
        <v>5553</v>
      </c>
      <c r="DF255" s="357">
        <v>0</v>
      </c>
      <c r="DG255" s="357">
        <v>0</v>
      </c>
      <c r="DH255" s="357">
        <v>5553</v>
      </c>
      <c r="DI255" s="357">
        <v>0</v>
      </c>
      <c r="DJ255" s="357">
        <v>0</v>
      </c>
      <c r="DK255" s="357">
        <v>0</v>
      </c>
      <c r="DL255" s="357">
        <v>0</v>
      </c>
      <c r="DM255" s="357">
        <v>0</v>
      </c>
      <c r="DN255" s="357">
        <v>0</v>
      </c>
      <c r="DO255" s="357">
        <v>54035</v>
      </c>
      <c r="DP255" s="357">
        <v>54035</v>
      </c>
      <c r="DQ255" s="357">
        <v>272319</v>
      </c>
      <c r="DR255" s="357">
        <v>0</v>
      </c>
      <c r="DS255" s="357">
        <v>54035</v>
      </c>
      <c r="DT255" s="357">
        <v>0</v>
      </c>
      <c r="DU255" s="357">
        <v>0</v>
      </c>
      <c r="DV255" s="357">
        <v>54035</v>
      </c>
      <c r="DW255" s="357">
        <v>272319</v>
      </c>
      <c r="DX255" s="357">
        <v>0</v>
      </c>
      <c r="DY255" s="357">
        <v>108070</v>
      </c>
      <c r="DZ255" s="357">
        <v>380389</v>
      </c>
      <c r="EA255" s="357">
        <v>108070</v>
      </c>
      <c r="EB255" s="357">
        <v>0</v>
      </c>
      <c r="EC255" s="357">
        <v>0</v>
      </c>
      <c r="ED255" s="357">
        <v>0</v>
      </c>
      <c r="EE255" s="357">
        <v>0</v>
      </c>
      <c r="EF255" s="357">
        <v>0</v>
      </c>
      <c r="EG255" s="357">
        <v>4000</v>
      </c>
      <c r="EH255" s="357">
        <v>0</v>
      </c>
      <c r="EI255" s="357">
        <v>0</v>
      </c>
      <c r="EJ255" s="357">
        <v>4000</v>
      </c>
      <c r="EK255" s="357">
        <v>346280</v>
      </c>
      <c r="EL255" s="357">
        <v>0</v>
      </c>
      <c r="EM255" s="357">
        <v>0</v>
      </c>
      <c r="EN255" s="357">
        <v>346280</v>
      </c>
      <c r="EO255" s="357">
        <v>350280</v>
      </c>
      <c r="EP255" s="357">
        <v>0</v>
      </c>
      <c r="EQ255" s="357">
        <v>0</v>
      </c>
      <c r="ER255" s="357">
        <v>0</v>
      </c>
      <c r="ES255" s="357">
        <v>0</v>
      </c>
      <c r="ET255" s="357">
        <v>0</v>
      </c>
      <c r="EU255" s="357">
        <v>350280</v>
      </c>
      <c r="EV255" s="357">
        <v>0</v>
      </c>
      <c r="EW255" s="357">
        <v>0</v>
      </c>
      <c r="EX255" s="357">
        <v>350280</v>
      </c>
      <c r="EY255" s="357">
        <v>21572869</v>
      </c>
      <c r="EZ255" s="357">
        <v>0</v>
      </c>
      <c r="FA255" s="357">
        <v>933668</v>
      </c>
      <c r="FB255" s="357">
        <v>22506537</v>
      </c>
      <c r="FC255" s="277">
        <v>0</v>
      </c>
      <c r="FD255" s="205"/>
    </row>
    <row r="256" spans="1:160" ht="12.75">
      <c r="A256" s="169">
        <v>249</v>
      </c>
      <c r="B256" s="172" t="s">
        <v>428</v>
      </c>
      <c r="C256" s="258" t="s">
        <v>429</v>
      </c>
      <c r="D256" s="235">
        <v>41639</v>
      </c>
      <c r="E256" s="357">
        <v>79296465</v>
      </c>
      <c r="F256" s="357">
        <v>0</v>
      </c>
      <c r="G256" s="357">
        <v>0</v>
      </c>
      <c r="H256" s="357">
        <v>79296465</v>
      </c>
      <c r="I256" s="357">
        <v>37348635</v>
      </c>
      <c r="J256" s="357">
        <v>0</v>
      </c>
      <c r="K256" s="357">
        <v>0</v>
      </c>
      <c r="L256" s="357">
        <v>50000</v>
      </c>
      <c r="M256" s="357">
        <v>0</v>
      </c>
      <c r="N256" s="357">
        <v>0</v>
      </c>
      <c r="O256" s="357">
        <v>37398635</v>
      </c>
      <c r="P256" s="357">
        <v>0</v>
      </c>
      <c r="Q256" s="357">
        <v>0</v>
      </c>
      <c r="R256" s="357">
        <v>37398635</v>
      </c>
      <c r="S256" s="357">
        <v>70347</v>
      </c>
      <c r="T256" s="357">
        <v>0</v>
      </c>
      <c r="U256" s="357">
        <v>0</v>
      </c>
      <c r="V256" s="357">
        <v>70347</v>
      </c>
      <c r="W256" s="357">
        <v>15105</v>
      </c>
      <c r="X256" s="357">
        <v>0</v>
      </c>
      <c r="Y256" s="357">
        <v>0</v>
      </c>
      <c r="Z256" s="357">
        <v>15105</v>
      </c>
      <c r="AA256" s="357">
        <v>55242</v>
      </c>
      <c r="AB256" s="357">
        <v>0</v>
      </c>
      <c r="AC256" s="357">
        <v>0</v>
      </c>
      <c r="AD256" s="357">
        <v>0</v>
      </c>
      <c r="AE256" s="357">
        <v>0</v>
      </c>
      <c r="AF256" s="357">
        <v>0</v>
      </c>
      <c r="AG256" s="357">
        <v>55242</v>
      </c>
      <c r="AH256" s="357">
        <v>0</v>
      </c>
      <c r="AI256" s="357">
        <v>0</v>
      </c>
      <c r="AJ256" s="357">
        <v>55242</v>
      </c>
      <c r="AK256" s="357">
        <v>55242</v>
      </c>
      <c r="AL256" s="357">
        <v>0</v>
      </c>
      <c r="AM256" s="357">
        <v>0</v>
      </c>
      <c r="AN256" s="357">
        <v>55242</v>
      </c>
      <c r="AO256" s="357">
        <v>2361535</v>
      </c>
      <c r="AP256" s="357">
        <v>0</v>
      </c>
      <c r="AQ256" s="357">
        <v>0</v>
      </c>
      <c r="AR256" s="357">
        <v>2361535</v>
      </c>
      <c r="AS256" s="357">
        <v>0</v>
      </c>
      <c r="AT256" s="357">
        <v>0</v>
      </c>
      <c r="AU256" s="357">
        <v>0</v>
      </c>
      <c r="AV256" s="357">
        <v>0</v>
      </c>
      <c r="AW256" s="357">
        <v>730000</v>
      </c>
      <c r="AX256" s="357">
        <v>0</v>
      </c>
      <c r="AY256" s="357">
        <v>0</v>
      </c>
      <c r="AZ256" s="357">
        <v>730000</v>
      </c>
      <c r="BA256" s="357">
        <v>1631535</v>
      </c>
      <c r="BB256" s="357">
        <v>0</v>
      </c>
      <c r="BC256" s="357">
        <v>0</v>
      </c>
      <c r="BD256" s="357">
        <v>1631535</v>
      </c>
      <c r="BE256" s="357">
        <v>1897944</v>
      </c>
      <c r="BF256" s="357">
        <v>0</v>
      </c>
      <c r="BG256" s="357">
        <v>0</v>
      </c>
      <c r="BH256" s="357">
        <v>1897944</v>
      </c>
      <c r="BI256" s="357">
        <v>46685</v>
      </c>
      <c r="BJ256" s="357">
        <v>0</v>
      </c>
      <c r="BK256" s="357">
        <v>0</v>
      </c>
      <c r="BL256" s="357">
        <v>46685</v>
      </c>
      <c r="BM256" s="357">
        <v>0</v>
      </c>
      <c r="BN256" s="357">
        <v>0</v>
      </c>
      <c r="BO256" s="357">
        <v>0</v>
      </c>
      <c r="BP256" s="357">
        <v>0</v>
      </c>
      <c r="BQ256" s="357">
        <v>3576164</v>
      </c>
      <c r="BR256" s="357">
        <v>0</v>
      </c>
      <c r="BS256" s="357">
        <v>0</v>
      </c>
      <c r="BT256" s="357">
        <v>0</v>
      </c>
      <c r="BU256" s="357">
        <v>0</v>
      </c>
      <c r="BV256" s="357">
        <v>0</v>
      </c>
      <c r="BW256" s="357">
        <v>3576164</v>
      </c>
      <c r="BX256" s="357">
        <v>0</v>
      </c>
      <c r="BY256" s="357">
        <v>0</v>
      </c>
      <c r="BZ256" s="357">
        <v>3576164</v>
      </c>
      <c r="CA256" s="357">
        <v>0</v>
      </c>
      <c r="CB256" s="357">
        <v>0</v>
      </c>
      <c r="CC256" s="357">
        <v>0</v>
      </c>
      <c r="CD256" s="357">
        <v>0</v>
      </c>
      <c r="CE256" s="357">
        <v>1245997</v>
      </c>
      <c r="CF256" s="357">
        <v>0</v>
      </c>
      <c r="CG256" s="357">
        <v>0</v>
      </c>
      <c r="CH256" s="357">
        <v>1245997</v>
      </c>
      <c r="CI256" s="357">
        <v>1245997</v>
      </c>
      <c r="CJ256" s="357">
        <v>0</v>
      </c>
      <c r="CK256" s="357">
        <v>0</v>
      </c>
      <c r="CL256" s="357">
        <v>10000</v>
      </c>
      <c r="CM256" s="357">
        <v>0</v>
      </c>
      <c r="CN256" s="357">
        <v>0</v>
      </c>
      <c r="CO256" s="357">
        <v>1255997</v>
      </c>
      <c r="CP256" s="357">
        <v>0</v>
      </c>
      <c r="CQ256" s="357">
        <v>0</v>
      </c>
      <c r="CR256" s="357">
        <v>1255997</v>
      </c>
      <c r="CS256" s="357">
        <v>302000</v>
      </c>
      <c r="CT256" s="357">
        <v>0</v>
      </c>
      <c r="CU256" s="357">
        <v>0</v>
      </c>
      <c r="CV256" s="357">
        <v>302000</v>
      </c>
      <c r="CW256" s="357">
        <v>160000</v>
      </c>
      <c r="CX256" s="357">
        <v>0</v>
      </c>
      <c r="CY256" s="357">
        <v>0</v>
      </c>
      <c r="CZ256" s="357">
        <v>160000</v>
      </c>
      <c r="DA256" s="357">
        <v>0</v>
      </c>
      <c r="DB256" s="357">
        <v>0</v>
      </c>
      <c r="DC256" s="357">
        <v>0</v>
      </c>
      <c r="DD256" s="357">
        <v>0</v>
      </c>
      <c r="DE256" s="357">
        <v>0</v>
      </c>
      <c r="DF256" s="357">
        <v>0</v>
      </c>
      <c r="DG256" s="357">
        <v>0</v>
      </c>
      <c r="DH256" s="357">
        <v>0</v>
      </c>
      <c r="DI256" s="357">
        <v>0</v>
      </c>
      <c r="DJ256" s="357">
        <v>0</v>
      </c>
      <c r="DK256" s="357">
        <v>0</v>
      </c>
      <c r="DL256" s="357">
        <v>0</v>
      </c>
      <c r="DM256" s="357">
        <v>0</v>
      </c>
      <c r="DN256" s="357">
        <v>0</v>
      </c>
      <c r="DO256" s="357">
        <v>0</v>
      </c>
      <c r="DP256" s="357">
        <v>0</v>
      </c>
      <c r="DQ256" s="357">
        <v>462000</v>
      </c>
      <c r="DR256" s="357">
        <v>0</v>
      </c>
      <c r="DS256" s="357">
        <v>0</v>
      </c>
      <c r="DT256" s="357">
        <v>-200000</v>
      </c>
      <c r="DU256" s="357">
        <v>0</v>
      </c>
      <c r="DV256" s="357">
        <v>0</v>
      </c>
      <c r="DW256" s="357">
        <v>262000</v>
      </c>
      <c r="DX256" s="357">
        <v>0</v>
      </c>
      <c r="DY256" s="357">
        <v>0</v>
      </c>
      <c r="DZ256" s="357">
        <v>262000</v>
      </c>
      <c r="EA256" s="357">
        <v>0</v>
      </c>
      <c r="EB256" s="357">
        <v>0</v>
      </c>
      <c r="EC256" s="357">
        <v>0</v>
      </c>
      <c r="ED256" s="357">
        <v>0</v>
      </c>
      <c r="EE256" s="357">
        <v>0</v>
      </c>
      <c r="EF256" s="357">
        <v>0</v>
      </c>
      <c r="EG256" s="357">
        <v>50000</v>
      </c>
      <c r="EH256" s="357">
        <v>0</v>
      </c>
      <c r="EI256" s="357">
        <v>0</v>
      </c>
      <c r="EJ256" s="357">
        <v>50000</v>
      </c>
      <c r="EK256" s="357">
        <v>550000</v>
      </c>
      <c r="EL256" s="357">
        <v>0</v>
      </c>
      <c r="EM256" s="357">
        <v>0</v>
      </c>
      <c r="EN256" s="357">
        <v>550000</v>
      </c>
      <c r="EO256" s="357">
        <v>600000</v>
      </c>
      <c r="EP256" s="357">
        <v>0</v>
      </c>
      <c r="EQ256" s="357">
        <v>0</v>
      </c>
      <c r="ER256" s="357">
        <v>0</v>
      </c>
      <c r="ES256" s="357">
        <v>0</v>
      </c>
      <c r="ET256" s="357">
        <v>0</v>
      </c>
      <c r="EU256" s="357">
        <v>600000</v>
      </c>
      <c r="EV256" s="357">
        <v>0</v>
      </c>
      <c r="EW256" s="357">
        <v>0</v>
      </c>
      <c r="EX256" s="357">
        <v>600000</v>
      </c>
      <c r="EY256" s="357">
        <v>31649232</v>
      </c>
      <c r="EZ256" s="357">
        <v>0</v>
      </c>
      <c r="FA256" s="357">
        <v>0</v>
      </c>
      <c r="FB256" s="357">
        <v>31649232</v>
      </c>
      <c r="FC256" s="277">
        <v>0</v>
      </c>
      <c r="FD256" s="205"/>
    </row>
    <row r="257" spans="1:160" ht="12.75">
      <c r="A257" s="169">
        <v>250</v>
      </c>
      <c r="B257" s="172" t="s">
        <v>430</v>
      </c>
      <c r="C257" s="258" t="s">
        <v>431</v>
      </c>
      <c r="D257" s="235">
        <v>41628</v>
      </c>
      <c r="E257" s="357">
        <v>254004723</v>
      </c>
      <c r="F257" s="357">
        <v>0</v>
      </c>
      <c r="G257" s="357">
        <v>0</v>
      </c>
      <c r="H257" s="357">
        <v>254004723</v>
      </c>
      <c r="I257" s="357">
        <v>119636225</v>
      </c>
      <c r="J257" s="357">
        <v>0</v>
      </c>
      <c r="K257" s="357">
        <v>0</v>
      </c>
      <c r="L257" s="357">
        <v>-1642000</v>
      </c>
      <c r="M257" s="357">
        <v>0</v>
      </c>
      <c r="N257" s="357">
        <v>0</v>
      </c>
      <c r="O257" s="357">
        <v>117994225</v>
      </c>
      <c r="P257" s="357">
        <v>0</v>
      </c>
      <c r="Q257" s="357">
        <v>0</v>
      </c>
      <c r="R257" s="357">
        <v>117994225</v>
      </c>
      <c r="S257" s="357">
        <v>242411</v>
      </c>
      <c r="T257" s="357">
        <v>0</v>
      </c>
      <c r="U257" s="357">
        <v>0</v>
      </c>
      <c r="V257" s="357">
        <v>242411</v>
      </c>
      <c r="W257" s="357">
        <v>173442</v>
      </c>
      <c r="X257" s="357">
        <v>0</v>
      </c>
      <c r="Y257" s="357">
        <v>0</v>
      </c>
      <c r="Z257" s="357">
        <v>173442</v>
      </c>
      <c r="AA257" s="357">
        <v>68969</v>
      </c>
      <c r="AB257" s="357">
        <v>0</v>
      </c>
      <c r="AC257" s="357">
        <v>0</v>
      </c>
      <c r="AD257" s="357">
        <v>-270000</v>
      </c>
      <c r="AE257" s="357">
        <v>0</v>
      </c>
      <c r="AF257" s="357">
        <v>0</v>
      </c>
      <c r="AG257" s="357">
        <v>-201031</v>
      </c>
      <c r="AH257" s="357">
        <v>0</v>
      </c>
      <c r="AI257" s="357">
        <v>0</v>
      </c>
      <c r="AJ257" s="357">
        <v>-201031</v>
      </c>
      <c r="AK257" s="357">
        <v>-201031</v>
      </c>
      <c r="AL257" s="357">
        <v>0</v>
      </c>
      <c r="AM257" s="357">
        <v>0</v>
      </c>
      <c r="AN257" s="357">
        <v>-201031</v>
      </c>
      <c r="AO257" s="357">
        <v>3155529</v>
      </c>
      <c r="AP257" s="357">
        <v>0</v>
      </c>
      <c r="AQ257" s="357">
        <v>0</v>
      </c>
      <c r="AR257" s="357">
        <v>3155529</v>
      </c>
      <c r="AS257" s="357">
        <v>0</v>
      </c>
      <c r="AT257" s="357">
        <v>0</v>
      </c>
      <c r="AU257" s="357">
        <v>0</v>
      </c>
      <c r="AV257" s="357">
        <v>0</v>
      </c>
      <c r="AW257" s="357">
        <v>2528158</v>
      </c>
      <c r="AX257" s="357">
        <v>0</v>
      </c>
      <c r="AY257" s="357">
        <v>0</v>
      </c>
      <c r="AZ257" s="357">
        <v>2528158</v>
      </c>
      <c r="BA257" s="357">
        <v>627371</v>
      </c>
      <c r="BB257" s="357">
        <v>0</v>
      </c>
      <c r="BC257" s="357">
        <v>0</v>
      </c>
      <c r="BD257" s="357">
        <v>627371</v>
      </c>
      <c r="BE257" s="357">
        <v>8160892</v>
      </c>
      <c r="BF257" s="357">
        <v>0</v>
      </c>
      <c r="BG257" s="357">
        <v>0</v>
      </c>
      <c r="BH257" s="357">
        <v>8160892</v>
      </c>
      <c r="BI257" s="357">
        <v>50701</v>
      </c>
      <c r="BJ257" s="357">
        <v>0</v>
      </c>
      <c r="BK257" s="357">
        <v>0</v>
      </c>
      <c r="BL257" s="357">
        <v>50701</v>
      </c>
      <c r="BM257" s="357">
        <v>0</v>
      </c>
      <c r="BN257" s="357">
        <v>0</v>
      </c>
      <c r="BO257" s="357">
        <v>0</v>
      </c>
      <c r="BP257" s="357">
        <v>0</v>
      </c>
      <c r="BQ257" s="357">
        <v>8838964</v>
      </c>
      <c r="BR257" s="357">
        <v>0</v>
      </c>
      <c r="BS257" s="357">
        <v>0</v>
      </c>
      <c r="BT257" s="357">
        <v>300000</v>
      </c>
      <c r="BU257" s="357">
        <v>0</v>
      </c>
      <c r="BV257" s="357">
        <v>0</v>
      </c>
      <c r="BW257" s="357">
        <v>9138964</v>
      </c>
      <c r="BX257" s="357">
        <v>0</v>
      </c>
      <c r="BY257" s="357">
        <v>0</v>
      </c>
      <c r="BZ257" s="357">
        <v>9138964</v>
      </c>
      <c r="CA257" s="357">
        <v>200000</v>
      </c>
      <c r="CB257" s="357">
        <v>0</v>
      </c>
      <c r="CC257" s="357">
        <v>0</v>
      </c>
      <c r="CD257" s="357">
        <v>200000</v>
      </c>
      <c r="CE257" s="357">
        <v>4069389</v>
      </c>
      <c r="CF257" s="357">
        <v>0</v>
      </c>
      <c r="CG257" s="357">
        <v>0</v>
      </c>
      <c r="CH257" s="357">
        <v>4069389</v>
      </c>
      <c r="CI257" s="357">
        <v>4269389</v>
      </c>
      <c r="CJ257" s="357">
        <v>0</v>
      </c>
      <c r="CK257" s="357">
        <v>0</v>
      </c>
      <c r="CL257" s="357">
        <v>300000</v>
      </c>
      <c r="CM257" s="357">
        <v>0</v>
      </c>
      <c r="CN257" s="357">
        <v>0</v>
      </c>
      <c r="CO257" s="357">
        <v>4569389</v>
      </c>
      <c r="CP257" s="357">
        <v>0</v>
      </c>
      <c r="CQ257" s="357">
        <v>0</v>
      </c>
      <c r="CR257" s="357">
        <v>4569389</v>
      </c>
      <c r="CS257" s="357">
        <v>0</v>
      </c>
      <c r="CT257" s="357">
        <v>0</v>
      </c>
      <c r="CU257" s="357">
        <v>0</v>
      </c>
      <c r="CV257" s="357">
        <v>0</v>
      </c>
      <c r="CW257" s="357">
        <v>84027</v>
      </c>
      <c r="CX257" s="357">
        <v>0</v>
      </c>
      <c r="CY257" s="357">
        <v>0</v>
      </c>
      <c r="CZ257" s="357">
        <v>84027</v>
      </c>
      <c r="DA257" s="357">
        <v>0</v>
      </c>
      <c r="DB257" s="357">
        <v>0</v>
      </c>
      <c r="DC257" s="357">
        <v>0</v>
      </c>
      <c r="DD257" s="357">
        <v>0</v>
      </c>
      <c r="DE257" s="357">
        <v>0</v>
      </c>
      <c r="DF257" s="357">
        <v>0</v>
      </c>
      <c r="DG257" s="357">
        <v>0</v>
      </c>
      <c r="DH257" s="357">
        <v>0</v>
      </c>
      <c r="DI257" s="357">
        <v>0</v>
      </c>
      <c r="DJ257" s="357">
        <v>0</v>
      </c>
      <c r="DK257" s="357">
        <v>0</v>
      </c>
      <c r="DL257" s="357">
        <v>0</v>
      </c>
      <c r="DM257" s="357">
        <v>0</v>
      </c>
      <c r="DN257" s="357">
        <v>0</v>
      </c>
      <c r="DO257" s="357">
        <v>0</v>
      </c>
      <c r="DP257" s="357">
        <v>0</v>
      </c>
      <c r="DQ257" s="357">
        <v>84027</v>
      </c>
      <c r="DR257" s="357">
        <v>0</v>
      </c>
      <c r="DS257" s="357">
        <v>0</v>
      </c>
      <c r="DT257" s="357">
        <v>0</v>
      </c>
      <c r="DU257" s="357">
        <v>0</v>
      </c>
      <c r="DV257" s="357">
        <v>0</v>
      </c>
      <c r="DW257" s="357">
        <v>84027</v>
      </c>
      <c r="DX257" s="357">
        <v>0</v>
      </c>
      <c r="DY257" s="357">
        <v>0</v>
      </c>
      <c r="DZ257" s="357">
        <v>84027</v>
      </c>
      <c r="EA257" s="357">
        <v>0</v>
      </c>
      <c r="EB257" s="357">
        <v>0</v>
      </c>
      <c r="EC257" s="357">
        <v>0</v>
      </c>
      <c r="ED257" s="357">
        <v>0</v>
      </c>
      <c r="EE257" s="357">
        <v>0</v>
      </c>
      <c r="EF257" s="357">
        <v>0</v>
      </c>
      <c r="EG257" s="357">
        <v>300000</v>
      </c>
      <c r="EH257" s="357">
        <v>0</v>
      </c>
      <c r="EI257" s="357">
        <v>0</v>
      </c>
      <c r="EJ257" s="357">
        <v>300000</v>
      </c>
      <c r="EK257" s="357">
        <v>1100000</v>
      </c>
      <c r="EL257" s="357">
        <v>0</v>
      </c>
      <c r="EM257" s="357">
        <v>0</v>
      </c>
      <c r="EN257" s="357">
        <v>1100000</v>
      </c>
      <c r="EO257" s="357">
        <v>1400000</v>
      </c>
      <c r="EP257" s="357">
        <v>0</v>
      </c>
      <c r="EQ257" s="357">
        <v>0</v>
      </c>
      <c r="ER257" s="357">
        <v>0</v>
      </c>
      <c r="ES257" s="357">
        <v>0</v>
      </c>
      <c r="ET257" s="357">
        <v>0</v>
      </c>
      <c r="EU257" s="357">
        <v>1400000</v>
      </c>
      <c r="EV257" s="357">
        <v>0</v>
      </c>
      <c r="EW257" s="357">
        <v>0</v>
      </c>
      <c r="EX257" s="357">
        <v>1400000</v>
      </c>
      <c r="EY257" s="357">
        <v>103002876</v>
      </c>
      <c r="EZ257" s="357">
        <v>0</v>
      </c>
      <c r="FA257" s="357">
        <v>0</v>
      </c>
      <c r="FB257" s="357">
        <v>103002876</v>
      </c>
      <c r="FC257" s="277">
        <v>0</v>
      </c>
      <c r="FD257" s="205"/>
    </row>
    <row r="258" spans="1:160" ht="12.75">
      <c r="A258" s="169">
        <v>251</v>
      </c>
      <c r="B258" s="172" t="s">
        <v>432</v>
      </c>
      <c r="C258" s="258" t="s">
        <v>433</v>
      </c>
      <c r="D258" s="235">
        <v>41639</v>
      </c>
      <c r="E258" s="357">
        <v>120470415</v>
      </c>
      <c r="F258" s="357">
        <v>0</v>
      </c>
      <c r="G258" s="357">
        <v>0</v>
      </c>
      <c r="H258" s="357">
        <v>120470415</v>
      </c>
      <c r="I258" s="357">
        <v>56741565</v>
      </c>
      <c r="J258" s="357">
        <v>0</v>
      </c>
      <c r="K258" s="357">
        <v>0</v>
      </c>
      <c r="L258" s="357">
        <v>150000</v>
      </c>
      <c r="M258" s="357">
        <v>0</v>
      </c>
      <c r="N258" s="357">
        <v>0</v>
      </c>
      <c r="O258" s="357">
        <v>56891565</v>
      </c>
      <c r="P258" s="357">
        <v>0</v>
      </c>
      <c r="Q258" s="357">
        <v>0</v>
      </c>
      <c r="R258" s="357">
        <v>56891565</v>
      </c>
      <c r="S258" s="357">
        <v>55794.87</v>
      </c>
      <c r="T258" s="357">
        <v>0</v>
      </c>
      <c r="U258" s="357">
        <v>0</v>
      </c>
      <c r="V258" s="357">
        <v>55794.87</v>
      </c>
      <c r="W258" s="357">
        <v>9228.83</v>
      </c>
      <c r="X258" s="357">
        <v>0</v>
      </c>
      <c r="Y258" s="357">
        <v>0</v>
      </c>
      <c r="Z258" s="357">
        <v>9228.83</v>
      </c>
      <c r="AA258" s="357">
        <v>46566.04</v>
      </c>
      <c r="AB258" s="357">
        <v>0</v>
      </c>
      <c r="AC258" s="357">
        <v>0</v>
      </c>
      <c r="AD258" s="357">
        <v>0</v>
      </c>
      <c r="AE258" s="357">
        <v>0</v>
      </c>
      <c r="AF258" s="357">
        <v>0</v>
      </c>
      <c r="AG258" s="357">
        <v>46566.04</v>
      </c>
      <c r="AH258" s="357">
        <v>0</v>
      </c>
      <c r="AI258" s="357">
        <v>0</v>
      </c>
      <c r="AJ258" s="357">
        <v>46566.04</v>
      </c>
      <c r="AK258" s="357">
        <v>46566.04</v>
      </c>
      <c r="AL258" s="357">
        <v>0</v>
      </c>
      <c r="AM258" s="357">
        <v>0</v>
      </c>
      <c r="AN258" s="357">
        <v>46566.04</v>
      </c>
      <c r="AO258" s="357">
        <v>4607990</v>
      </c>
      <c r="AP258" s="357">
        <v>0</v>
      </c>
      <c r="AQ258" s="357">
        <v>0</v>
      </c>
      <c r="AR258" s="357">
        <v>4607990</v>
      </c>
      <c r="AS258" s="357">
        <v>11250</v>
      </c>
      <c r="AT258" s="357">
        <v>0</v>
      </c>
      <c r="AU258" s="357">
        <v>0</v>
      </c>
      <c r="AV258" s="357">
        <v>11250</v>
      </c>
      <c r="AW258" s="357">
        <v>1056636</v>
      </c>
      <c r="AX258" s="357">
        <v>0</v>
      </c>
      <c r="AY258" s="357">
        <v>0</v>
      </c>
      <c r="AZ258" s="357">
        <v>1056636</v>
      </c>
      <c r="BA258" s="357">
        <v>3551354</v>
      </c>
      <c r="BB258" s="357">
        <v>0</v>
      </c>
      <c r="BC258" s="357">
        <v>0</v>
      </c>
      <c r="BD258" s="357">
        <v>3551354</v>
      </c>
      <c r="BE258" s="357">
        <v>3636372</v>
      </c>
      <c r="BF258" s="357">
        <v>0</v>
      </c>
      <c r="BG258" s="357">
        <v>0</v>
      </c>
      <c r="BH258" s="357">
        <v>3636372</v>
      </c>
      <c r="BI258" s="357">
        <v>41585</v>
      </c>
      <c r="BJ258" s="357">
        <v>0</v>
      </c>
      <c r="BK258" s="357">
        <v>0</v>
      </c>
      <c r="BL258" s="357">
        <v>41585</v>
      </c>
      <c r="BM258" s="357">
        <v>0</v>
      </c>
      <c r="BN258" s="357">
        <v>0</v>
      </c>
      <c r="BO258" s="357">
        <v>0</v>
      </c>
      <c r="BP258" s="357">
        <v>0</v>
      </c>
      <c r="BQ258" s="357">
        <v>7229311</v>
      </c>
      <c r="BR258" s="357">
        <v>0</v>
      </c>
      <c r="BS258" s="357">
        <v>0</v>
      </c>
      <c r="BT258" s="357">
        <v>0</v>
      </c>
      <c r="BU258" s="357">
        <v>0</v>
      </c>
      <c r="BV258" s="357">
        <v>0</v>
      </c>
      <c r="BW258" s="357">
        <v>7229311</v>
      </c>
      <c r="BX258" s="357">
        <v>0</v>
      </c>
      <c r="BY258" s="357">
        <v>0</v>
      </c>
      <c r="BZ258" s="357">
        <v>7229311</v>
      </c>
      <c r="CA258" s="357">
        <v>0</v>
      </c>
      <c r="CB258" s="357">
        <v>0</v>
      </c>
      <c r="CC258" s="357">
        <v>0</v>
      </c>
      <c r="CD258" s="357">
        <v>0</v>
      </c>
      <c r="CE258" s="357">
        <v>1208437</v>
      </c>
      <c r="CF258" s="357">
        <v>0</v>
      </c>
      <c r="CG258" s="357">
        <v>0</v>
      </c>
      <c r="CH258" s="357">
        <v>1208437</v>
      </c>
      <c r="CI258" s="357">
        <v>1208437</v>
      </c>
      <c r="CJ258" s="357">
        <v>0</v>
      </c>
      <c r="CK258" s="357">
        <v>0</v>
      </c>
      <c r="CL258" s="357">
        <v>200000</v>
      </c>
      <c r="CM258" s="357">
        <v>0</v>
      </c>
      <c r="CN258" s="357">
        <v>0</v>
      </c>
      <c r="CO258" s="357">
        <v>1408437</v>
      </c>
      <c r="CP258" s="357">
        <v>0</v>
      </c>
      <c r="CQ258" s="357">
        <v>0</v>
      </c>
      <c r="CR258" s="357">
        <v>1408437</v>
      </c>
      <c r="CS258" s="357">
        <v>71620</v>
      </c>
      <c r="CT258" s="357">
        <v>0</v>
      </c>
      <c r="CU258" s="357">
        <v>0</v>
      </c>
      <c r="CV258" s="357">
        <v>71620</v>
      </c>
      <c r="CW258" s="357">
        <v>2904</v>
      </c>
      <c r="CX258" s="357">
        <v>0</v>
      </c>
      <c r="CY258" s="357">
        <v>0</v>
      </c>
      <c r="CZ258" s="357">
        <v>2904</v>
      </c>
      <c r="DA258" s="357">
        <v>3711</v>
      </c>
      <c r="DB258" s="357">
        <v>0</v>
      </c>
      <c r="DC258" s="357">
        <v>0</v>
      </c>
      <c r="DD258" s="357">
        <v>3711</v>
      </c>
      <c r="DE258" s="357">
        <v>0</v>
      </c>
      <c r="DF258" s="357">
        <v>0</v>
      </c>
      <c r="DG258" s="357">
        <v>0</v>
      </c>
      <c r="DH258" s="357">
        <v>0</v>
      </c>
      <c r="DI258" s="357">
        <v>0</v>
      </c>
      <c r="DJ258" s="357">
        <v>0</v>
      </c>
      <c r="DK258" s="357">
        <v>0</v>
      </c>
      <c r="DL258" s="357">
        <v>0</v>
      </c>
      <c r="DM258" s="357">
        <v>0</v>
      </c>
      <c r="DN258" s="357">
        <v>0</v>
      </c>
      <c r="DO258" s="357">
        <v>0</v>
      </c>
      <c r="DP258" s="357">
        <v>0</v>
      </c>
      <c r="DQ258" s="357">
        <v>78235</v>
      </c>
      <c r="DR258" s="357">
        <v>0</v>
      </c>
      <c r="DS258" s="357">
        <v>0</v>
      </c>
      <c r="DT258" s="357">
        <v>0</v>
      </c>
      <c r="DU258" s="357">
        <v>0</v>
      </c>
      <c r="DV258" s="357">
        <v>0</v>
      </c>
      <c r="DW258" s="357">
        <v>78235</v>
      </c>
      <c r="DX258" s="357">
        <v>0</v>
      </c>
      <c r="DY258" s="357">
        <v>0</v>
      </c>
      <c r="DZ258" s="357">
        <v>78235</v>
      </c>
      <c r="EA258" s="357">
        <v>0</v>
      </c>
      <c r="EB258" s="357">
        <v>0</v>
      </c>
      <c r="EC258" s="357">
        <v>72300</v>
      </c>
      <c r="ED258" s="357">
        <v>0</v>
      </c>
      <c r="EE258" s="357">
        <v>0</v>
      </c>
      <c r="EF258" s="357">
        <v>72300</v>
      </c>
      <c r="EG258" s="357">
        <v>100000</v>
      </c>
      <c r="EH258" s="357">
        <v>0</v>
      </c>
      <c r="EI258" s="357">
        <v>0</v>
      </c>
      <c r="EJ258" s="357">
        <v>100000</v>
      </c>
      <c r="EK258" s="357">
        <v>1300000</v>
      </c>
      <c r="EL258" s="357">
        <v>0</v>
      </c>
      <c r="EM258" s="357">
        <v>0</v>
      </c>
      <c r="EN258" s="357">
        <v>1300000</v>
      </c>
      <c r="EO258" s="357">
        <v>1472300</v>
      </c>
      <c r="EP258" s="357">
        <v>0</v>
      </c>
      <c r="EQ258" s="357">
        <v>0</v>
      </c>
      <c r="ER258" s="357">
        <v>0</v>
      </c>
      <c r="ES258" s="357">
        <v>0</v>
      </c>
      <c r="ET258" s="357">
        <v>0</v>
      </c>
      <c r="EU258" s="357">
        <v>1472300</v>
      </c>
      <c r="EV258" s="357">
        <v>0</v>
      </c>
      <c r="EW258" s="357">
        <v>0</v>
      </c>
      <c r="EX258" s="357">
        <v>1472300</v>
      </c>
      <c r="EY258" s="357">
        <v>46656716</v>
      </c>
      <c r="EZ258" s="357">
        <v>0</v>
      </c>
      <c r="FA258" s="357">
        <v>0</v>
      </c>
      <c r="FB258" s="357">
        <v>46656716</v>
      </c>
      <c r="FC258" s="277">
        <v>0</v>
      </c>
      <c r="FD258" s="205"/>
    </row>
    <row r="259" spans="1:160" ht="12.75">
      <c r="A259" s="169">
        <v>252</v>
      </c>
      <c r="B259" s="172" t="s">
        <v>434</v>
      </c>
      <c r="C259" s="258" t="s">
        <v>435</v>
      </c>
      <c r="D259" s="235">
        <v>41639</v>
      </c>
      <c r="E259" s="357">
        <v>511151425</v>
      </c>
      <c r="F259" s="357">
        <v>0</v>
      </c>
      <c r="G259" s="357">
        <v>0</v>
      </c>
      <c r="H259" s="357">
        <v>511151425</v>
      </c>
      <c r="I259" s="357">
        <v>240752321</v>
      </c>
      <c r="J259" s="357">
        <v>0</v>
      </c>
      <c r="K259" s="357">
        <v>0</v>
      </c>
      <c r="L259" s="357">
        <v>6465370</v>
      </c>
      <c r="M259" s="357">
        <v>0</v>
      </c>
      <c r="N259" s="357">
        <v>0</v>
      </c>
      <c r="O259" s="357">
        <v>247217691</v>
      </c>
      <c r="P259" s="357">
        <v>0</v>
      </c>
      <c r="Q259" s="357">
        <v>0</v>
      </c>
      <c r="R259" s="357">
        <v>247217691</v>
      </c>
      <c r="S259" s="357">
        <v>272320</v>
      </c>
      <c r="T259" s="357">
        <v>0</v>
      </c>
      <c r="U259" s="357">
        <v>0</v>
      </c>
      <c r="V259" s="357">
        <v>272320</v>
      </c>
      <c r="W259" s="357">
        <v>42400</v>
      </c>
      <c r="X259" s="357">
        <v>0</v>
      </c>
      <c r="Y259" s="357">
        <v>0</v>
      </c>
      <c r="Z259" s="357">
        <v>42400</v>
      </c>
      <c r="AA259" s="357">
        <v>229920</v>
      </c>
      <c r="AB259" s="357">
        <v>0</v>
      </c>
      <c r="AC259" s="357">
        <v>0</v>
      </c>
      <c r="AD259" s="357">
        <v>0</v>
      </c>
      <c r="AE259" s="357">
        <v>0</v>
      </c>
      <c r="AF259" s="357">
        <v>0</v>
      </c>
      <c r="AG259" s="357">
        <v>229920</v>
      </c>
      <c r="AH259" s="357">
        <v>0</v>
      </c>
      <c r="AI259" s="357">
        <v>0</v>
      </c>
      <c r="AJ259" s="357">
        <v>229920</v>
      </c>
      <c r="AK259" s="357">
        <v>229920</v>
      </c>
      <c r="AL259" s="357">
        <v>0</v>
      </c>
      <c r="AM259" s="357">
        <v>0</v>
      </c>
      <c r="AN259" s="357">
        <v>229920</v>
      </c>
      <c r="AO259" s="357">
        <v>5193259</v>
      </c>
      <c r="AP259" s="357">
        <v>0</v>
      </c>
      <c r="AQ259" s="357">
        <v>0</v>
      </c>
      <c r="AR259" s="357">
        <v>5193259</v>
      </c>
      <c r="AS259" s="357">
        <v>0</v>
      </c>
      <c r="AT259" s="357">
        <v>0</v>
      </c>
      <c r="AU259" s="357">
        <v>0</v>
      </c>
      <c r="AV259" s="357">
        <v>0</v>
      </c>
      <c r="AW259" s="357">
        <v>4992555</v>
      </c>
      <c r="AX259" s="357">
        <v>0</v>
      </c>
      <c r="AY259" s="357">
        <v>0</v>
      </c>
      <c r="AZ259" s="357">
        <v>4992555</v>
      </c>
      <c r="BA259" s="357">
        <v>200704</v>
      </c>
      <c r="BB259" s="357">
        <v>0</v>
      </c>
      <c r="BC259" s="357">
        <v>0</v>
      </c>
      <c r="BD259" s="357">
        <v>200704</v>
      </c>
      <c r="BE259" s="357">
        <v>23630208</v>
      </c>
      <c r="BF259" s="357">
        <v>0</v>
      </c>
      <c r="BG259" s="357">
        <v>0</v>
      </c>
      <c r="BH259" s="357">
        <v>23630208</v>
      </c>
      <c r="BI259" s="357">
        <v>52902</v>
      </c>
      <c r="BJ259" s="357">
        <v>0</v>
      </c>
      <c r="BK259" s="357">
        <v>0</v>
      </c>
      <c r="BL259" s="357">
        <v>52902</v>
      </c>
      <c r="BM259" s="357">
        <v>0</v>
      </c>
      <c r="BN259" s="357">
        <v>0</v>
      </c>
      <c r="BO259" s="357">
        <v>0</v>
      </c>
      <c r="BP259" s="357">
        <v>0</v>
      </c>
      <c r="BQ259" s="357">
        <v>23883814</v>
      </c>
      <c r="BR259" s="357">
        <v>0</v>
      </c>
      <c r="BS259" s="357">
        <v>0</v>
      </c>
      <c r="BT259" s="357">
        <v>0</v>
      </c>
      <c r="BU259" s="357">
        <v>0</v>
      </c>
      <c r="BV259" s="357">
        <v>0</v>
      </c>
      <c r="BW259" s="357">
        <v>23883814</v>
      </c>
      <c r="BX259" s="357">
        <v>0</v>
      </c>
      <c r="BY259" s="357">
        <v>0</v>
      </c>
      <c r="BZ259" s="357">
        <v>23883814</v>
      </c>
      <c r="CA259" s="357">
        <v>242640</v>
      </c>
      <c r="CB259" s="357">
        <v>0</v>
      </c>
      <c r="CC259" s="357">
        <v>0</v>
      </c>
      <c r="CD259" s="357">
        <v>242640</v>
      </c>
      <c r="CE259" s="357">
        <v>6025708</v>
      </c>
      <c r="CF259" s="357">
        <v>0</v>
      </c>
      <c r="CG259" s="357">
        <v>0</v>
      </c>
      <c r="CH259" s="357">
        <v>6025708</v>
      </c>
      <c r="CI259" s="357">
        <v>6268348</v>
      </c>
      <c r="CJ259" s="357">
        <v>0</v>
      </c>
      <c r="CK259" s="357">
        <v>0</v>
      </c>
      <c r="CL259" s="357">
        <v>0</v>
      </c>
      <c r="CM259" s="357">
        <v>0</v>
      </c>
      <c r="CN259" s="357">
        <v>0</v>
      </c>
      <c r="CO259" s="357">
        <v>6268348</v>
      </c>
      <c r="CP259" s="357">
        <v>0</v>
      </c>
      <c r="CQ259" s="357">
        <v>0</v>
      </c>
      <c r="CR259" s="357">
        <v>6268348</v>
      </c>
      <c r="CS259" s="357">
        <v>380027</v>
      </c>
      <c r="CT259" s="357">
        <v>0</v>
      </c>
      <c r="CU259" s="357">
        <v>0</v>
      </c>
      <c r="CV259" s="357">
        <v>380027</v>
      </c>
      <c r="CW259" s="357">
        <v>37803</v>
      </c>
      <c r="CX259" s="357">
        <v>0</v>
      </c>
      <c r="CY259" s="357">
        <v>0</v>
      </c>
      <c r="CZ259" s="357">
        <v>37803</v>
      </c>
      <c r="DA259" s="357">
        <v>0</v>
      </c>
      <c r="DB259" s="357">
        <v>0</v>
      </c>
      <c r="DC259" s="357">
        <v>0</v>
      </c>
      <c r="DD259" s="357">
        <v>0</v>
      </c>
      <c r="DE259" s="357">
        <v>0</v>
      </c>
      <c r="DF259" s="357">
        <v>0</v>
      </c>
      <c r="DG259" s="357">
        <v>0</v>
      </c>
      <c r="DH259" s="357">
        <v>0</v>
      </c>
      <c r="DI259" s="357">
        <v>0</v>
      </c>
      <c r="DJ259" s="357">
        <v>0</v>
      </c>
      <c r="DK259" s="357">
        <v>0</v>
      </c>
      <c r="DL259" s="357">
        <v>0</v>
      </c>
      <c r="DM259" s="357">
        <v>0</v>
      </c>
      <c r="DN259" s="357">
        <v>0</v>
      </c>
      <c r="DO259" s="357">
        <v>0</v>
      </c>
      <c r="DP259" s="357">
        <v>0</v>
      </c>
      <c r="DQ259" s="357">
        <v>417830</v>
      </c>
      <c r="DR259" s="357">
        <v>0</v>
      </c>
      <c r="DS259" s="357">
        <v>0</v>
      </c>
      <c r="DT259" s="357">
        <v>0</v>
      </c>
      <c r="DU259" s="357">
        <v>0</v>
      </c>
      <c r="DV259" s="357">
        <v>0</v>
      </c>
      <c r="DW259" s="357">
        <v>417830</v>
      </c>
      <c r="DX259" s="357">
        <v>0</v>
      </c>
      <c r="DY259" s="357">
        <v>0</v>
      </c>
      <c r="DZ259" s="357">
        <v>417830</v>
      </c>
      <c r="EA259" s="357">
        <v>0</v>
      </c>
      <c r="EB259" s="357">
        <v>0</v>
      </c>
      <c r="EC259" s="357">
        <v>0</v>
      </c>
      <c r="ED259" s="357">
        <v>0</v>
      </c>
      <c r="EE259" s="357">
        <v>0</v>
      </c>
      <c r="EF259" s="357">
        <v>0</v>
      </c>
      <c r="EG259" s="357">
        <v>0</v>
      </c>
      <c r="EH259" s="357">
        <v>0</v>
      </c>
      <c r="EI259" s="357">
        <v>0</v>
      </c>
      <c r="EJ259" s="357">
        <v>0</v>
      </c>
      <c r="EK259" s="357">
        <v>0</v>
      </c>
      <c r="EL259" s="357">
        <v>0</v>
      </c>
      <c r="EM259" s="357">
        <v>0</v>
      </c>
      <c r="EN259" s="357">
        <v>0</v>
      </c>
      <c r="EO259" s="357">
        <v>0</v>
      </c>
      <c r="EP259" s="357">
        <v>0</v>
      </c>
      <c r="EQ259" s="357">
        <v>0</v>
      </c>
      <c r="ER259" s="357">
        <v>0</v>
      </c>
      <c r="ES259" s="357">
        <v>0</v>
      </c>
      <c r="ET259" s="357">
        <v>0</v>
      </c>
      <c r="EU259" s="357">
        <v>0</v>
      </c>
      <c r="EV259" s="357">
        <v>0</v>
      </c>
      <c r="EW259" s="357">
        <v>0</v>
      </c>
      <c r="EX259" s="357">
        <v>0</v>
      </c>
      <c r="EY259" s="357">
        <v>216417779</v>
      </c>
      <c r="EZ259" s="357">
        <v>0</v>
      </c>
      <c r="FA259" s="357">
        <v>0</v>
      </c>
      <c r="FB259" s="357">
        <v>216417779</v>
      </c>
      <c r="FC259" s="277">
        <v>0</v>
      </c>
      <c r="FD259" s="205"/>
    </row>
    <row r="260" spans="1:160" ht="12.75">
      <c r="A260" s="169">
        <v>253</v>
      </c>
      <c r="B260" s="172" t="s">
        <v>436</v>
      </c>
      <c r="C260" s="258" t="s">
        <v>437</v>
      </c>
      <c r="D260" s="235">
        <v>41626</v>
      </c>
      <c r="E260" s="357">
        <v>99974105</v>
      </c>
      <c r="F260" s="357">
        <v>0</v>
      </c>
      <c r="G260" s="357">
        <v>0</v>
      </c>
      <c r="H260" s="357">
        <v>99974105</v>
      </c>
      <c r="I260" s="357">
        <v>47087803</v>
      </c>
      <c r="J260" s="357">
        <v>0</v>
      </c>
      <c r="K260" s="357">
        <v>0</v>
      </c>
      <c r="L260" s="357">
        <v>898000</v>
      </c>
      <c r="M260" s="357">
        <v>0</v>
      </c>
      <c r="N260" s="357">
        <v>0</v>
      </c>
      <c r="O260" s="357">
        <v>47985803</v>
      </c>
      <c r="P260" s="357">
        <v>0</v>
      </c>
      <c r="Q260" s="357">
        <v>0</v>
      </c>
      <c r="R260" s="357">
        <v>47985803</v>
      </c>
      <c r="S260" s="357">
        <v>13189</v>
      </c>
      <c r="T260" s="357">
        <v>0</v>
      </c>
      <c r="U260" s="357">
        <v>0</v>
      </c>
      <c r="V260" s="357">
        <v>13189</v>
      </c>
      <c r="W260" s="357">
        <v>5599</v>
      </c>
      <c r="X260" s="357">
        <v>0</v>
      </c>
      <c r="Y260" s="357">
        <v>0</v>
      </c>
      <c r="Z260" s="357">
        <v>5599</v>
      </c>
      <c r="AA260" s="357">
        <v>7590</v>
      </c>
      <c r="AB260" s="357">
        <v>0</v>
      </c>
      <c r="AC260" s="357">
        <v>0</v>
      </c>
      <c r="AD260" s="357">
        <v>150000</v>
      </c>
      <c r="AE260" s="357">
        <v>0</v>
      </c>
      <c r="AF260" s="357">
        <v>0</v>
      </c>
      <c r="AG260" s="357">
        <v>157590</v>
      </c>
      <c r="AH260" s="357">
        <v>0</v>
      </c>
      <c r="AI260" s="357">
        <v>0</v>
      </c>
      <c r="AJ260" s="357">
        <v>157590</v>
      </c>
      <c r="AK260" s="357">
        <v>157590</v>
      </c>
      <c r="AL260" s="357">
        <v>0</v>
      </c>
      <c r="AM260" s="357">
        <v>0</v>
      </c>
      <c r="AN260" s="357">
        <v>157590</v>
      </c>
      <c r="AO260" s="357">
        <v>1176975</v>
      </c>
      <c r="AP260" s="357">
        <v>0</v>
      </c>
      <c r="AQ260" s="357">
        <v>0</v>
      </c>
      <c r="AR260" s="357">
        <v>1176975</v>
      </c>
      <c r="AS260" s="357">
        <v>0</v>
      </c>
      <c r="AT260" s="357">
        <v>0</v>
      </c>
      <c r="AU260" s="357">
        <v>0</v>
      </c>
      <c r="AV260" s="357">
        <v>0</v>
      </c>
      <c r="AW260" s="357">
        <v>1000880</v>
      </c>
      <c r="AX260" s="357">
        <v>0</v>
      </c>
      <c r="AY260" s="357">
        <v>0</v>
      </c>
      <c r="AZ260" s="357">
        <v>1000880</v>
      </c>
      <c r="BA260" s="357">
        <v>176095</v>
      </c>
      <c r="BB260" s="357">
        <v>0</v>
      </c>
      <c r="BC260" s="357">
        <v>0</v>
      </c>
      <c r="BD260" s="357">
        <v>176095</v>
      </c>
      <c r="BE260" s="357">
        <v>1629093</v>
      </c>
      <c r="BF260" s="357">
        <v>0</v>
      </c>
      <c r="BG260" s="357">
        <v>0</v>
      </c>
      <c r="BH260" s="357">
        <v>1629093</v>
      </c>
      <c r="BI260" s="357">
        <v>26414</v>
      </c>
      <c r="BJ260" s="357">
        <v>0</v>
      </c>
      <c r="BK260" s="357">
        <v>0</v>
      </c>
      <c r="BL260" s="357">
        <v>26414</v>
      </c>
      <c r="BM260" s="357">
        <v>0</v>
      </c>
      <c r="BN260" s="357">
        <v>0</v>
      </c>
      <c r="BO260" s="357">
        <v>0</v>
      </c>
      <c r="BP260" s="357">
        <v>0</v>
      </c>
      <c r="BQ260" s="357">
        <v>1831602</v>
      </c>
      <c r="BR260" s="357">
        <v>0</v>
      </c>
      <c r="BS260" s="357">
        <v>0</v>
      </c>
      <c r="BT260" s="357">
        <v>75000</v>
      </c>
      <c r="BU260" s="357">
        <v>0</v>
      </c>
      <c r="BV260" s="357">
        <v>0</v>
      </c>
      <c r="BW260" s="357">
        <v>1906602</v>
      </c>
      <c r="BX260" s="357">
        <v>0</v>
      </c>
      <c r="BY260" s="357">
        <v>0</v>
      </c>
      <c r="BZ260" s="357">
        <v>1906602</v>
      </c>
      <c r="CA260" s="357">
        <v>0</v>
      </c>
      <c r="CB260" s="357">
        <v>0</v>
      </c>
      <c r="CC260" s="357">
        <v>0</v>
      </c>
      <c r="CD260" s="357">
        <v>0</v>
      </c>
      <c r="CE260" s="357">
        <v>1080791</v>
      </c>
      <c r="CF260" s="357">
        <v>0</v>
      </c>
      <c r="CG260" s="357">
        <v>0</v>
      </c>
      <c r="CH260" s="357">
        <v>1080791</v>
      </c>
      <c r="CI260" s="357">
        <v>1080791</v>
      </c>
      <c r="CJ260" s="357">
        <v>0</v>
      </c>
      <c r="CK260" s="357">
        <v>0</v>
      </c>
      <c r="CL260" s="357">
        <v>1000000</v>
      </c>
      <c r="CM260" s="357">
        <v>0</v>
      </c>
      <c r="CN260" s="357">
        <v>0</v>
      </c>
      <c r="CO260" s="357">
        <v>2080791</v>
      </c>
      <c r="CP260" s="357">
        <v>0</v>
      </c>
      <c r="CQ260" s="357">
        <v>0</v>
      </c>
      <c r="CR260" s="357">
        <v>2080791</v>
      </c>
      <c r="CS260" s="357">
        <v>53423</v>
      </c>
      <c r="CT260" s="357">
        <v>0</v>
      </c>
      <c r="CU260" s="357">
        <v>0</v>
      </c>
      <c r="CV260" s="357">
        <v>53423</v>
      </c>
      <c r="CW260" s="357">
        <v>42041</v>
      </c>
      <c r="CX260" s="357">
        <v>0</v>
      </c>
      <c r="CY260" s="357">
        <v>0</v>
      </c>
      <c r="CZ260" s="357">
        <v>42041</v>
      </c>
      <c r="DA260" s="357">
        <v>6603</v>
      </c>
      <c r="DB260" s="357">
        <v>0</v>
      </c>
      <c r="DC260" s="357">
        <v>0</v>
      </c>
      <c r="DD260" s="357">
        <v>6603</v>
      </c>
      <c r="DE260" s="357">
        <v>0</v>
      </c>
      <c r="DF260" s="357">
        <v>0</v>
      </c>
      <c r="DG260" s="357">
        <v>0</v>
      </c>
      <c r="DH260" s="357">
        <v>0</v>
      </c>
      <c r="DI260" s="357">
        <v>0</v>
      </c>
      <c r="DJ260" s="357">
        <v>0</v>
      </c>
      <c r="DK260" s="357">
        <v>0</v>
      </c>
      <c r="DL260" s="357">
        <v>0</v>
      </c>
      <c r="DM260" s="357">
        <v>0</v>
      </c>
      <c r="DN260" s="357">
        <v>0</v>
      </c>
      <c r="DO260" s="357">
        <v>0</v>
      </c>
      <c r="DP260" s="357">
        <v>0</v>
      </c>
      <c r="DQ260" s="357">
        <v>102067</v>
      </c>
      <c r="DR260" s="357">
        <v>0</v>
      </c>
      <c r="DS260" s="357">
        <v>0</v>
      </c>
      <c r="DT260" s="357">
        <v>10000</v>
      </c>
      <c r="DU260" s="357">
        <v>0</v>
      </c>
      <c r="DV260" s="357">
        <v>0</v>
      </c>
      <c r="DW260" s="357">
        <v>112067</v>
      </c>
      <c r="DX260" s="357">
        <v>0</v>
      </c>
      <c r="DY260" s="357">
        <v>0</v>
      </c>
      <c r="DZ260" s="357">
        <v>112067</v>
      </c>
      <c r="EA260" s="357">
        <v>0</v>
      </c>
      <c r="EB260" s="357">
        <v>0</v>
      </c>
      <c r="EC260" s="357">
        <v>50000</v>
      </c>
      <c r="ED260" s="357">
        <v>0</v>
      </c>
      <c r="EE260" s="357">
        <v>0</v>
      </c>
      <c r="EF260" s="357">
        <v>50000</v>
      </c>
      <c r="EG260" s="357">
        <v>20244</v>
      </c>
      <c r="EH260" s="357">
        <v>0</v>
      </c>
      <c r="EI260" s="357">
        <v>0</v>
      </c>
      <c r="EJ260" s="357">
        <v>20244</v>
      </c>
      <c r="EK260" s="357">
        <v>489490</v>
      </c>
      <c r="EL260" s="357">
        <v>0</v>
      </c>
      <c r="EM260" s="357">
        <v>0</v>
      </c>
      <c r="EN260" s="357">
        <v>489490</v>
      </c>
      <c r="EO260" s="357">
        <v>559734</v>
      </c>
      <c r="EP260" s="357">
        <v>0</v>
      </c>
      <c r="EQ260" s="357">
        <v>0</v>
      </c>
      <c r="ER260" s="357">
        <v>0</v>
      </c>
      <c r="ES260" s="357">
        <v>0</v>
      </c>
      <c r="ET260" s="357">
        <v>0</v>
      </c>
      <c r="EU260" s="357">
        <v>559734</v>
      </c>
      <c r="EV260" s="357">
        <v>0</v>
      </c>
      <c r="EW260" s="357">
        <v>0</v>
      </c>
      <c r="EX260" s="357">
        <v>559734</v>
      </c>
      <c r="EY260" s="357">
        <v>43169019</v>
      </c>
      <c r="EZ260" s="357">
        <v>0</v>
      </c>
      <c r="FA260" s="357">
        <v>0</v>
      </c>
      <c r="FB260" s="357">
        <v>43169019</v>
      </c>
      <c r="FC260" s="277">
        <v>0</v>
      </c>
      <c r="FD260" s="205"/>
    </row>
    <row r="261" spans="1:160" ht="12.75">
      <c r="A261" s="169">
        <v>254</v>
      </c>
      <c r="B261" s="172" t="s">
        <v>438</v>
      </c>
      <c r="C261" s="258" t="s">
        <v>439</v>
      </c>
      <c r="D261" s="235">
        <v>311213</v>
      </c>
      <c r="E261" s="357">
        <v>153542701</v>
      </c>
      <c r="F261" s="357">
        <v>0</v>
      </c>
      <c r="G261" s="357">
        <v>0</v>
      </c>
      <c r="H261" s="357">
        <v>153542701</v>
      </c>
      <c r="I261" s="357">
        <v>72318612</v>
      </c>
      <c r="J261" s="357">
        <v>0</v>
      </c>
      <c r="K261" s="357">
        <v>0</v>
      </c>
      <c r="L261" s="357">
        <v>-1446372.2</v>
      </c>
      <c r="M261" s="357">
        <v>0</v>
      </c>
      <c r="N261" s="357">
        <v>0</v>
      </c>
      <c r="O261" s="357">
        <v>70872239.8</v>
      </c>
      <c r="P261" s="357">
        <v>0</v>
      </c>
      <c r="Q261" s="357">
        <v>0</v>
      </c>
      <c r="R261" s="357">
        <v>70872239.8</v>
      </c>
      <c r="S261" s="357">
        <v>93087</v>
      </c>
      <c r="T261" s="357">
        <v>0</v>
      </c>
      <c r="U261" s="357">
        <v>0</v>
      </c>
      <c r="V261" s="357">
        <v>93087</v>
      </c>
      <c r="W261" s="357">
        <v>3922.04</v>
      </c>
      <c r="X261" s="357">
        <v>0</v>
      </c>
      <c r="Y261" s="357">
        <v>0</v>
      </c>
      <c r="Z261" s="357">
        <v>3922.04</v>
      </c>
      <c r="AA261" s="357">
        <v>89164.96</v>
      </c>
      <c r="AB261" s="357">
        <v>0</v>
      </c>
      <c r="AC261" s="357">
        <v>0</v>
      </c>
      <c r="AD261" s="357">
        <v>0</v>
      </c>
      <c r="AE261" s="357">
        <v>0</v>
      </c>
      <c r="AF261" s="357">
        <v>0</v>
      </c>
      <c r="AG261" s="357">
        <v>89164.96</v>
      </c>
      <c r="AH261" s="357">
        <v>0</v>
      </c>
      <c r="AI261" s="357">
        <v>0</v>
      </c>
      <c r="AJ261" s="357">
        <v>89164.96</v>
      </c>
      <c r="AK261" s="357">
        <v>89164.96</v>
      </c>
      <c r="AL261" s="357">
        <v>0</v>
      </c>
      <c r="AM261" s="357">
        <v>0</v>
      </c>
      <c r="AN261" s="357">
        <v>89164.96</v>
      </c>
      <c r="AO261" s="357">
        <v>1483181.21</v>
      </c>
      <c r="AP261" s="357">
        <v>0</v>
      </c>
      <c r="AQ261" s="357">
        <v>0</v>
      </c>
      <c r="AR261" s="357">
        <v>1483181.21</v>
      </c>
      <c r="AS261" s="357">
        <v>120000</v>
      </c>
      <c r="AT261" s="357">
        <v>0</v>
      </c>
      <c r="AU261" s="357">
        <v>0</v>
      </c>
      <c r="AV261" s="357">
        <v>120000</v>
      </c>
      <c r="AW261" s="357">
        <v>1515946.85</v>
      </c>
      <c r="AX261" s="357">
        <v>0</v>
      </c>
      <c r="AY261" s="357">
        <v>0</v>
      </c>
      <c r="AZ261" s="357">
        <v>1515946.85</v>
      </c>
      <c r="BA261" s="357">
        <v>-32765.64</v>
      </c>
      <c r="BB261" s="357">
        <v>0</v>
      </c>
      <c r="BC261" s="357">
        <v>0</v>
      </c>
      <c r="BD261" s="357">
        <v>-32765.64</v>
      </c>
      <c r="BE261" s="357">
        <v>4932790.11</v>
      </c>
      <c r="BF261" s="357">
        <v>0</v>
      </c>
      <c r="BG261" s="357">
        <v>0</v>
      </c>
      <c r="BH261" s="357">
        <v>4932790.11</v>
      </c>
      <c r="BI261" s="357">
        <v>130000</v>
      </c>
      <c r="BJ261" s="357">
        <v>0</v>
      </c>
      <c r="BK261" s="357">
        <v>0</v>
      </c>
      <c r="BL261" s="357">
        <v>130000</v>
      </c>
      <c r="BM261" s="357">
        <v>0</v>
      </c>
      <c r="BN261" s="357">
        <v>0</v>
      </c>
      <c r="BO261" s="357">
        <v>0</v>
      </c>
      <c r="BP261" s="357">
        <v>0</v>
      </c>
      <c r="BQ261" s="357">
        <v>5030024.47</v>
      </c>
      <c r="BR261" s="357">
        <v>0</v>
      </c>
      <c r="BS261" s="357">
        <v>0</v>
      </c>
      <c r="BT261" s="357">
        <v>451000</v>
      </c>
      <c r="BU261" s="357">
        <v>0</v>
      </c>
      <c r="BV261" s="357">
        <v>0</v>
      </c>
      <c r="BW261" s="357">
        <v>5481024.47</v>
      </c>
      <c r="BX261" s="357">
        <v>0</v>
      </c>
      <c r="BY261" s="357">
        <v>0</v>
      </c>
      <c r="BZ261" s="357">
        <v>5481024.47</v>
      </c>
      <c r="CA261" s="357">
        <v>0</v>
      </c>
      <c r="CB261" s="357">
        <v>0</v>
      </c>
      <c r="CC261" s="357">
        <v>0</v>
      </c>
      <c r="CD261" s="357">
        <v>0</v>
      </c>
      <c r="CE261" s="357">
        <v>1317845</v>
      </c>
      <c r="CF261" s="357">
        <v>0</v>
      </c>
      <c r="CG261" s="357">
        <v>0</v>
      </c>
      <c r="CH261" s="357">
        <v>1317845</v>
      </c>
      <c r="CI261" s="357">
        <v>1317845</v>
      </c>
      <c r="CJ261" s="357">
        <v>0</v>
      </c>
      <c r="CK261" s="357">
        <v>0</v>
      </c>
      <c r="CL261" s="357">
        <v>0</v>
      </c>
      <c r="CM261" s="357">
        <v>0</v>
      </c>
      <c r="CN261" s="357">
        <v>0</v>
      </c>
      <c r="CO261" s="357">
        <v>1317845</v>
      </c>
      <c r="CP261" s="357">
        <v>0</v>
      </c>
      <c r="CQ261" s="357">
        <v>0</v>
      </c>
      <c r="CR261" s="357">
        <v>1317845</v>
      </c>
      <c r="CS261" s="357">
        <v>140000</v>
      </c>
      <c r="CT261" s="357">
        <v>0</v>
      </c>
      <c r="CU261" s="357">
        <v>0</v>
      </c>
      <c r="CV261" s="357">
        <v>140000</v>
      </c>
      <c r="CW261" s="357">
        <v>30000</v>
      </c>
      <c r="CX261" s="357">
        <v>0</v>
      </c>
      <c r="CY261" s="357">
        <v>0</v>
      </c>
      <c r="CZ261" s="357">
        <v>30000</v>
      </c>
      <c r="DA261" s="357">
        <v>1125</v>
      </c>
      <c r="DB261" s="357">
        <v>0</v>
      </c>
      <c r="DC261" s="357">
        <v>0</v>
      </c>
      <c r="DD261" s="357">
        <v>1125</v>
      </c>
      <c r="DE261" s="357">
        <v>0</v>
      </c>
      <c r="DF261" s="357">
        <v>0</v>
      </c>
      <c r="DG261" s="357">
        <v>0</v>
      </c>
      <c r="DH261" s="357">
        <v>0</v>
      </c>
      <c r="DI261" s="357">
        <v>0</v>
      </c>
      <c r="DJ261" s="357">
        <v>0</v>
      </c>
      <c r="DK261" s="357">
        <v>0</v>
      </c>
      <c r="DL261" s="357">
        <v>0</v>
      </c>
      <c r="DM261" s="357">
        <v>0</v>
      </c>
      <c r="DN261" s="357">
        <v>0</v>
      </c>
      <c r="DO261" s="357">
        <v>0</v>
      </c>
      <c r="DP261" s="357">
        <v>0</v>
      </c>
      <c r="DQ261" s="357">
        <v>171125</v>
      </c>
      <c r="DR261" s="357">
        <v>0</v>
      </c>
      <c r="DS261" s="357">
        <v>0</v>
      </c>
      <c r="DT261" s="357">
        <v>0</v>
      </c>
      <c r="DU261" s="357">
        <v>0</v>
      </c>
      <c r="DV261" s="357">
        <v>0</v>
      </c>
      <c r="DW261" s="357">
        <v>171125</v>
      </c>
      <c r="DX261" s="357">
        <v>0</v>
      </c>
      <c r="DY261" s="357">
        <v>0</v>
      </c>
      <c r="DZ261" s="357">
        <v>171125</v>
      </c>
      <c r="EA261" s="357">
        <v>0</v>
      </c>
      <c r="EB261" s="357">
        <v>0</v>
      </c>
      <c r="EC261" s="357">
        <v>0</v>
      </c>
      <c r="ED261" s="357">
        <v>0</v>
      </c>
      <c r="EE261" s="357">
        <v>0</v>
      </c>
      <c r="EF261" s="357">
        <v>0</v>
      </c>
      <c r="EG261" s="357">
        <v>85000</v>
      </c>
      <c r="EH261" s="357">
        <v>0</v>
      </c>
      <c r="EI261" s="357">
        <v>0</v>
      </c>
      <c r="EJ261" s="357">
        <v>85000</v>
      </c>
      <c r="EK261" s="357">
        <v>912000</v>
      </c>
      <c r="EL261" s="357">
        <v>0</v>
      </c>
      <c r="EM261" s="357">
        <v>0</v>
      </c>
      <c r="EN261" s="357">
        <v>912000</v>
      </c>
      <c r="EO261" s="357">
        <v>997000</v>
      </c>
      <c r="EP261" s="357">
        <v>0</v>
      </c>
      <c r="EQ261" s="357">
        <v>0</v>
      </c>
      <c r="ER261" s="357">
        <v>0</v>
      </c>
      <c r="ES261" s="357">
        <v>0</v>
      </c>
      <c r="ET261" s="357">
        <v>0</v>
      </c>
      <c r="EU261" s="357">
        <v>997000</v>
      </c>
      <c r="EV261" s="357">
        <v>0</v>
      </c>
      <c r="EW261" s="357">
        <v>0</v>
      </c>
      <c r="EX261" s="357">
        <v>997000</v>
      </c>
      <c r="EY261" s="357">
        <v>62816080.3</v>
      </c>
      <c r="EZ261" s="357">
        <v>0</v>
      </c>
      <c r="FA261" s="357">
        <v>0</v>
      </c>
      <c r="FB261" s="357">
        <v>62816080.3</v>
      </c>
      <c r="FC261" s="277">
        <v>0</v>
      </c>
      <c r="FD261" s="205"/>
    </row>
    <row r="262" spans="1:160" ht="12.75">
      <c r="A262" s="169">
        <v>255</v>
      </c>
      <c r="B262" s="172" t="s">
        <v>440</v>
      </c>
      <c r="C262" s="258" t="s">
        <v>441</v>
      </c>
      <c r="D262" s="235">
        <v>41639</v>
      </c>
      <c r="E262" s="357">
        <v>110780772</v>
      </c>
      <c r="F262" s="357">
        <v>0</v>
      </c>
      <c r="G262" s="357">
        <v>0</v>
      </c>
      <c r="H262" s="357">
        <v>110780772</v>
      </c>
      <c r="I262" s="357">
        <v>52177744</v>
      </c>
      <c r="J262" s="357">
        <v>0</v>
      </c>
      <c r="K262" s="357">
        <v>0</v>
      </c>
      <c r="L262" s="357">
        <v>103620</v>
      </c>
      <c r="M262" s="357">
        <v>0</v>
      </c>
      <c r="N262" s="357">
        <v>0</v>
      </c>
      <c r="O262" s="357">
        <v>52281364</v>
      </c>
      <c r="P262" s="357">
        <v>0</v>
      </c>
      <c r="Q262" s="357">
        <v>0</v>
      </c>
      <c r="R262" s="357">
        <v>52281364</v>
      </c>
      <c r="S262" s="357">
        <v>35040</v>
      </c>
      <c r="T262" s="357">
        <v>0</v>
      </c>
      <c r="U262" s="357">
        <v>0</v>
      </c>
      <c r="V262" s="357">
        <v>35040</v>
      </c>
      <c r="W262" s="357">
        <v>5020</v>
      </c>
      <c r="X262" s="357">
        <v>0</v>
      </c>
      <c r="Y262" s="357">
        <v>0</v>
      </c>
      <c r="Z262" s="357">
        <v>5020</v>
      </c>
      <c r="AA262" s="357">
        <v>30020</v>
      </c>
      <c r="AB262" s="357">
        <v>0</v>
      </c>
      <c r="AC262" s="357">
        <v>0</v>
      </c>
      <c r="AD262" s="357">
        <v>0</v>
      </c>
      <c r="AE262" s="357">
        <v>0</v>
      </c>
      <c r="AF262" s="357">
        <v>0</v>
      </c>
      <c r="AG262" s="357">
        <v>30020</v>
      </c>
      <c r="AH262" s="357">
        <v>0</v>
      </c>
      <c r="AI262" s="357">
        <v>0</v>
      </c>
      <c r="AJ262" s="357">
        <v>30020</v>
      </c>
      <c r="AK262" s="357">
        <v>30020</v>
      </c>
      <c r="AL262" s="357">
        <v>0</v>
      </c>
      <c r="AM262" s="357">
        <v>0</v>
      </c>
      <c r="AN262" s="357">
        <v>30020</v>
      </c>
      <c r="AO262" s="357">
        <v>1885701</v>
      </c>
      <c r="AP262" s="357">
        <v>0</v>
      </c>
      <c r="AQ262" s="357">
        <v>0</v>
      </c>
      <c r="AR262" s="357">
        <v>1885701</v>
      </c>
      <c r="AS262" s="357">
        <v>0</v>
      </c>
      <c r="AT262" s="357">
        <v>0</v>
      </c>
      <c r="AU262" s="357">
        <v>0</v>
      </c>
      <c r="AV262" s="357">
        <v>0</v>
      </c>
      <c r="AW262" s="357">
        <v>1068757</v>
      </c>
      <c r="AX262" s="357">
        <v>0</v>
      </c>
      <c r="AY262" s="357">
        <v>0</v>
      </c>
      <c r="AZ262" s="357">
        <v>1068757</v>
      </c>
      <c r="BA262" s="357">
        <v>816944</v>
      </c>
      <c r="BB262" s="357">
        <v>0</v>
      </c>
      <c r="BC262" s="357">
        <v>0</v>
      </c>
      <c r="BD262" s="357">
        <v>816944</v>
      </c>
      <c r="BE262" s="357">
        <v>2518848</v>
      </c>
      <c r="BF262" s="357">
        <v>0</v>
      </c>
      <c r="BG262" s="357">
        <v>0</v>
      </c>
      <c r="BH262" s="357">
        <v>2518848</v>
      </c>
      <c r="BI262" s="357">
        <v>34000</v>
      </c>
      <c r="BJ262" s="357">
        <v>0</v>
      </c>
      <c r="BK262" s="357">
        <v>0</v>
      </c>
      <c r="BL262" s="357">
        <v>34000</v>
      </c>
      <c r="BM262" s="357">
        <v>55229</v>
      </c>
      <c r="BN262" s="357">
        <v>0</v>
      </c>
      <c r="BO262" s="357">
        <v>0</v>
      </c>
      <c r="BP262" s="357">
        <v>55229</v>
      </c>
      <c r="BQ262" s="357">
        <v>3425021</v>
      </c>
      <c r="BR262" s="357">
        <v>0</v>
      </c>
      <c r="BS262" s="357">
        <v>0</v>
      </c>
      <c r="BT262" s="357">
        <v>0</v>
      </c>
      <c r="BU262" s="357">
        <v>0</v>
      </c>
      <c r="BV262" s="357">
        <v>0</v>
      </c>
      <c r="BW262" s="357">
        <v>3425021</v>
      </c>
      <c r="BX262" s="357">
        <v>0</v>
      </c>
      <c r="BY262" s="357">
        <v>0</v>
      </c>
      <c r="BZ262" s="357">
        <v>3425021</v>
      </c>
      <c r="CA262" s="357">
        <v>59748</v>
      </c>
      <c r="CB262" s="357">
        <v>0</v>
      </c>
      <c r="CC262" s="357">
        <v>0</v>
      </c>
      <c r="CD262" s="357">
        <v>59748</v>
      </c>
      <c r="CE262" s="357">
        <v>1350558</v>
      </c>
      <c r="CF262" s="357">
        <v>0</v>
      </c>
      <c r="CG262" s="357">
        <v>0</v>
      </c>
      <c r="CH262" s="357">
        <v>1350558</v>
      </c>
      <c r="CI262" s="357">
        <v>1410306</v>
      </c>
      <c r="CJ262" s="357">
        <v>0</v>
      </c>
      <c r="CK262" s="357">
        <v>0</v>
      </c>
      <c r="CL262" s="357">
        <v>0</v>
      </c>
      <c r="CM262" s="357">
        <v>0</v>
      </c>
      <c r="CN262" s="357">
        <v>0</v>
      </c>
      <c r="CO262" s="357">
        <v>1410306</v>
      </c>
      <c r="CP262" s="357">
        <v>0</v>
      </c>
      <c r="CQ262" s="357">
        <v>0</v>
      </c>
      <c r="CR262" s="357">
        <v>1410306</v>
      </c>
      <c r="CS262" s="357">
        <v>99800</v>
      </c>
      <c r="CT262" s="357">
        <v>0</v>
      </c>
      <c r="CU262" s="357">
        <v>0</v>
      </c>
      <c r="CV262" s="357">
        <v>99800</v>
      </c>
      <c r="CW262" s="357">
        <v>83300</v>
      </c>
      <c r="CX262" s="357">
        <v>0</v>
      </c>
      <c r="CY262" s="357">
        <v>0</v>
      </c>
      <c r="CZ262" s="357">
        <v>83300</v>
      </c>
      <c r="DA262" s="357">
        <v>4185</v>
      </c>
      <c r="DB262" s="357">
        <v>0</v>
      </c>
      <c r="DC262" s="357">
        <v>0</v>
      </c>
      <c r="DD262" s="357">
        <v>4185</v>
      </c>
      <c r="DE262" s="357">
        <v>22103</v>
      </c>
      <c r="DF262" s="357">
        <v>0</v>
      </c>
      <c r="DG262" s="357">
        <v>0</v>
      </c>
      <c r="DH262" s="357">
        <v>22103</v>
      </c>
      <c r="DI262" s="357">
        <v>7899</v>
      </c>
      <c r="DJ262" s="357">
        <v>0</v>
      </c>
      <c r="DK262" s="357">
        <v>0</v>
      </c>
      <c r="DL262" s="357">
        <v>7899</v>
      </c>
      <c r="DM262" s="357">
        <v>0</v>
      </c>
      <c r="DN262" s="357">
        <v>0</v>
      </c>
      <c r="DO262" s="357">
        <v>0</v>
      </c>
      <c r="DP262" s="357">
        <v>0</v>
      </c>
      <c r="DQ262" s="357">
        <v>217287</v>
      </c>
      <c r="DR262" s="357">
        <v>0</v>
      </c>
      <c r="DS262" s="357">
        <v>0</v>
      </c>
      <c r="DT262" s="357">
        <v>0</v>
      </c>
      <c r="DU262" s="357">
        <v>0</v>
      </c>
      <c r="DV262" s="357">
        <v>0</v>
      </c>
      <c r="DW262" s="357">
        <v>217287</v>
      </c>
      <c r="DX262" s="357">
        <v>0</v>
      </c>
      <c r="DY262" s="357">
        <v>0</v>
      </c>
      <c r="DZ262" s="357">
        <v>217287</v>
      </c>
      <c r="EA262" s="357">
        <v>0</v>
      </c>
      <c r="EB262" s="357">
        <v>0</v>
      </c>
      <c r="EC262" s="357">
        <v>0</v>
      </c>
      <c r="ED262" s="357">
        <v>0</v>
      </c>
      <c r="EE262" s="357">
        <v>0</v>
      </c>
      <c r="EF262" s="357">
        <v>0</v>
      </c>
      <c r="EG262" s="357">
        <v>142868</v>
      </c>
      <c r="EH262" s="357">
        <v>0</v>
      </c>
      <c r="EI262" s="357">
        <v>0</v>
      </c>
      <c r="EJ262" s="357">
        <v>142868</v>
      </c>
      <c r="EK262" s="357">
        <v>546572</v>
      </c>
      <c r="EL262" s="357">
        <v>0</v>
      </c>
      <c r="EM262" s="357">
        <v>0</v>
      </c>
      <c r="EN262" s="357">
        <v>546572</v>
      </c>
      <c r="EO262" s="357">
        <v>689440</v>
      </c>
      <c r="EP262" s="357">
        <v>0</v>
      </c>
      <c r="EQ262" s="357">
        <v>0</v>
      </c>
      <c r="ER262" s="357">
        <v>0</v>
      </c>
      <c r="ES262" s="357">
        <v>0</v>
      </c>
      <c r="ET262" s="357">
        <v>0</v>
      </c>
      <c r="EU262" s="357">
        <v>689440</v>
      </c>
      <c r="EV262" s="357">
        <v>0</v>
      </c>
      <c r="EW262" s="357">
        <v>0</v>
      </c>
      <c r="EX262" s="357">
        <v>689440</v>
      </c>
      <c r="EY262" s="357">
        <v>46509290</v>
      </c>
      <c r="EZ262" s="357">
        <v>0</v>
      </c>
      <c r="FA262" s="357">
        <v>0</v>
      </c>
      <c r="FB262" s="357">
        <v>46509290</v>
      </c>
      <c r="FC262" s="277">
        <v>0</v>
      </c>
      <c r="FD262" s="205"/>
    </row>
    <row r="263" spans="1:160" ht="12.75">
      <c r="A263" s="169">
        <v>256</v>
      </c>
      <c r="B263" s="172" t="s">
        <v>442</v>
      </c>
      <c r="C263" s="258" t="s">
        <v>443</v>
      </c>
      <c r="D263" s="235">
        <v>41659</v>
      </c>
      <c r="E263" s="357">
        <v>130537531</v>
      </c>
      <c r="F263" s="357">
        <v>0</v>
      </c>
      <c r="G263" s="357">
        <v>0</v>
      </c>
      <c r="H263" s="357">
        <v>130537531</v>
      </c>
      <c r="I263" s="357">
        <v>61483177</v>
      </c>
      <c r="J263" s="357">
        <v>0</v>
      </c>
      <c r="K263" s="357">
        <v>0</v>
      </c>
      <c r="L263" s="357">
        <v>-1565000</v>
      </c>
      <c r="M263" s="357">
        <v>0</v>
      </c>
      <c r="N263" s="357">
        <v>0</v>
      </c>
      <c r="O263" s="357">
        <v>59918177</v>
      </c>
      <c r="P263" s="357">
        <v>0</v>
      </c>
      <c r="Q263" s="357">
        <v>0</v>
      </c>
      <c r="R263" s="357">
        <v>59918177</v>
      </c>
      <c r="S263" s="357">
        <v>14715</v>
      </c>
      <c r="T263" s="357">
        <v>0</v>
      </c>
      <c r="U263" s="357">
        <v>0</v>
      </c>
      <c r="V263" s="357">
        <v>14715</v>
      </c>
      <c r="W263" s="357">
        <v>17868</v>
      </c>
      <c r="X263" s="357">
        <v>0</v>
      </c>
      <c r="Y263" s="357">
        <v>0</v>
      </c>
      <c r="Z263" s="357">
        <v>17868</v>
      </c>
      <c r="AA263" s="357">
        <v>-3153</v>
      </c>
      <c r="AB263" s="357">
        <v>0</v>
      </c>
      <c r="AC263" s="357">
        <v>0</v>
      </c>
      <c r="AD263" s="357">
        <v>0</v>
      </c>
      <c r="AE263" s="357">
        <v>0</v>
      </c>
      <c r="AF263" s="357">
        <v>0</v>
      </c>
      <c r="AG263" s="357">
        <v>-3153</v>
      </c>
      <c r="AH263" s="357">
        <v>0</v>
      </c>
      <c r="AI263" s="357">
        <v>0</v>
      </c>
      <c r="AJ263" s="357">
        <v>-3153</v>
      </c>
      <c r="AK263" s="357">
        <v>-3153</v>
      </c>
      <c r="AL263" s="357">
        <v>0</v>
      </c>
      <c r="AM263" s="357">
        <v>0</v>
      </c>
      <c r="AN263" s="357">
        <v>-3153</v>
      </c>
      <c r="AO263" s="357">
        <v>2983711</v>
      </c>
      <c r="AP263" s="357">
        <v>0</v>
      </c>
      <c r="AQ263" s="357">
        <v>0</v>
      </c>
      <c r="AR263" s="357">
        <v>2983711</v>
      </c>
      <c r="AS263" s="357">
        <v>0</v>
      </c>
      <c r="AT263" s="357">
        <v>0</v>
      </c>
      <c r="AU263" s="357">
        <v>0</v>
      </c>
      <c r="AV263" s="357">
        <v>0</v>
      </c>
      <c r="AW263" s="357">
        <v>1248907</v>
      </c>
      <c r="AX263" s="357">
        <v>0</v>
      </c>
      <c r="AY263" s="357">
        <v>0</v>
      </c>
      <c r="AZ263" s="357">
        <v>1248907</v>
      </c>
      <c r="BA263" s="357">
        <v>1734804</v>
      </c>
      <c r="BB263" s="357">
        <v>0</v>
      </c>
      <c r="BC263" s="357">
        <v>0</v>
      </c>
      <c r="BD263" s="357">
        <v>1734804</v>
      </c>
      <c r="BE263" s="357">
        <v>3116711</v>
      </c>
      <c r="BF263" s="357">
        <v>0</v>
      </c>
      <c r="BG263" s="357">
        <v>0</v>
      </c>
      <c r="BH263" s="357">
        <v>3116711</v>
      </c>
      <c r="BI263" s="357">
        <v>94037</v>
      </c>
      <c r="BJ263" s="357">
        <v>0</v>
      </c>
      <c r="BK263" s="357">
        <v>0</v>
      </c>
      <c r="BL263" s="357">
        <v>94037</v>
      </c>
      <c r="BM263" s="357">
        <v>0</v>
      </c>
      <c r="BN263" s="357">
        <v>0</v>
      </c>
      <c r="BO263" s="357">
        <v>0</v>
      </c>
      <c r="BP263" s="357">
        <v>0</v>
      </c>
      <c r="BQ263" s="357">
        <v>4945552</v>
      </c>
      <c r="BR263" s="357">
        <v>0</v>
      </c>
      <c r="BS263" s="357">
        <v>0</v>
      </c>
      <c r="BT263" s="357">
        <v>504000</v>
      </c>
      <c r="BU263" s="357">
        <v>0</v>
      </c>
      <c r="BV263" s="357">
        <v>0</v>
      </c>
      <c r="BW263" s="357">
        <v>5449552</v>
      </c>
      <c r="BX263" s="357">
        <v>0</v>
      </c>
      <c r="BY263" s="357">
        <v>0</v>
      </c>
      <c r="BZ263" s="357">
        <v>5449552</v>
      </c>
      <c r="CA263" s="357">
        <v>76500</v>
      </c>
      <c r="CB263" s="357">
        <v>0</v>
      </c>
      <c r="CC263" s="357">
        <v>0</v>
      </c>
      <c r="CD263" s="357">
        <v>76500</v>
      </c>
      <c r="CE263" s="357">
        <v>2504087</v>
      </c>
      <c r="CF263" s="357">
        <v>0</v>
      </c>
      <c r="CG263" s="357">
        <v>0</v>
      </c>
      <c r="CH263" s="357">
        <v>2504087</v>
      </c>
      <c r="CI263" s="357">
        <v>2580587</v>
      </c>
      <c r="CJ263" s="357">
        <v>0</v>
      </c>
      <c r="CK263" s="357">
        <v>0</v>
      </c>
      <c r="CL263" s="357">
        <v>60000</v>
      </c>
      <c r="CM263" s="357">
        <v>0</v>
      </c>
      <c r="CN263" s="357">
        <v>0</v>
      </c>
      <c r="CO263" s="357">
        <v>2640587</v>
      </c>
      <c r="CP263" s="357">
        <v>0</v>
      </c>
      <c r="CQ263" s="357">
        <v>0</v>
      </c>
      <c r="CR263" s="357">
        <v>2640587</v>
      </c>
      <c r="CS263" s="357">
        <v>285858</v>
      </c>
      <c r="CT263" s="357">
        <v>0</v>
      </c>
      <c r="CU263" s="357">
        <v>0</v>
      </c>
      <c r="CV263" s="357">
        <v>285858</v>
      </c>
      <c r="CW263" s="357">
        <v>265678</v>
      </c>
      <c r="CX263" s="357">
        <v>0</v>
      </c>
      <c r="CY263" s="357">
        <v>0</v>
      </c>
      <c r="CZ263" s="357">
        <v>265678</v>
      </c>
      <c r="DA263" s="357">
        <v>23509</v>
      </c>
      <c r="DB263" s="357">
        <v>0</v>
      </c>
      <c r="DC263" s="357">
        <v>0</v>
      </c>
      <c r="DD263" s="357">
        <v>23509</v>
      </c>
      <c r="DE263" s="357">
        <v>0</v>
      </c>
      <c r="DF263" s="357">
        <v>0</v>
      </c>
      <c r="DG263" s="357">
        <v>0</v>
      </c>
      <c r="DH263" s="357">
        <v>0</v>
      </c>
      <c r="DI263" s="357">
        <v>0</v>
      </c>
      <c r="DJ263" s="357">
        <v>0</v>
      </c>
      <c r="DK263" s="357">
        <v>0</v>
      </c>
      <c r="DL263" s="357">
        <v>0</v>
      </c>
      <c r="DM263" s="357">
        <v>0</v>
      </c>
      <c r="DN263" s="357">
        <v>0</v>
      </c>
      <c r="DO263" s="357">
        <v>0</v>
      </c>
      <c r="DP263" s="357">
        <v>0</v>
      </c>
      <c r="DQ263" s="357">
        <v>575045</v>
      </c>
      <c r="DR263" s="357">
        <v>0</v>
      </c>
      <c r="DS263" s="357">
        <v>0</v>
      </c>
      <c r="DT263" s="357">
        <v>50000</v>
      </c>
      <c r="DU263" s="357">
        <v>0</v>
      </c>
      <c r="DV263" s="357">
        <v>0</v>
      </c>
      <c r="DW263" s="357">
        <v>625045</v>
      </c>
      <c r="DX263" s="357">
        <v>0</v>
      </c>
      <c r="DY263" s="357">
        <v>0</v>
      </c>
      <c r="DZ263" s="357">
        <v>625045</v>
      </c>
      <c r="EA263" s="357">
        <v>0</v>
      </c>
      <c r="EB263" s="357">
        <v>0</v>
      </c>
      <c r="EC263" s="357">
        <v>50000</v>
      </c>
      <c r="ED263" s="357">
        <v>0</v>
      </c>
      <c r="EE263" s="357">
        <v>0</v>
      </c>
      <c r="EF263" s="357">
        <v>50000</v>
      </c>
      <c r="EG263" s="357">
        <v>75000</v>
      </c>
      <c r="EH263" s="357">
        <v>0</v>
      </c>
      <c r="EI263" s="357">
        <v>0</v>
      </c>
      <c r="EJ263" s="357">
        <v>75000</v>
      </c>
      <c r="EK263" s="357">
        <v>575000</v>
      </c>
      <c r="EL263" s="357">
        <v>0</v>
      </c>
      <c r="EM263" s="357">
        <v>0</v>
      </c>
      <c r="EN263" s="357">
        <v>575000</v>
      </c>
      <c r="EO263" s="357">
        <v>700000</v>
      </c>
      <c r="EP263" s="357">
        <v>0</v>
      </c>
      <c r="EQ263" s="357">
        <v>0</v>
      </c>
      <c r="ER263" s="357">
        <v>0</v>
      </c>
      <c r="ES263" s="357">
        <v>0</v>
      </c>
      <c r="ET263" s="357">
        <v>0</v>
      </c>
      <c r="EU263" s="357">
        <v>700000</v>
      </c>
      <c r="EV263" s="357">
        <v>0</v>
      </c>
      <c r="EW263" s="357">
        <v>0</v>
      </c>
      <c r="EX263" s="357">
        <v>700000</v>
      </c>
      <c r="EY263" s="357">
        <v>50506146</v>
      </c>
      <c r="EZ263" s="357">
        <v>0</v>
      </c>
      <c r="FA263" s="357">
        <v>0</v>
      </c>
      <c r="FB263" s="357">
        <v>50506146</v>
      </c>
      <c r="FC263" s="277">
        <v>0</v>
      </c>
      <c r="FD263" s="205"/>
    </row>
    <row r="264" spans="1:160" ht="12.75">
      <c r="A264" s="169">
        <v>257</v>
      </c>
      <c r="B264" s="172" t="s">
        <v>444</v>
      </c>
      <c r="C264" s="258" t="s">
        <v>445</v>
      </c>
      <c r="D264" s="235">
        <v>111213</v>
      </c>
      <c r="E264" s="357">
        <v>110616875</v>
      </c>
      <c r="F264" s="357">
        <v>0</v>
      </c>
      <c r="G264" s="357">
        <v>0</v>
      </c>
      <c r="H264" s="357">
        <v>110616875</v>
      </c>
      <c r="I264" s="357">
        <v>52100548</v>
      </c>
      <c r="J264" s="357">
        <v>0</v>
      </c>
      <c r="K264" s="357">
        <v>0</v>
      </c>
      <c r="L264" s="357">
        <v>0</v>
      </c>
      <c r="M264" s="357">
        <v>0</v>
      </c>
      <c r="N264" s="357">
        <v>0</v>
      </c>
      <c r="O264" s="357">
        <v>52100548</v>
      </c>
      <c r="P264" s="357">
        <v>0</v>
      </c>
      <c r="Q264" s="357">
        <v>0</v>
      </c>
      <c r="R264" s="357">
        <v>52100548</v>
      </c>
      <c r="S264" s="357">
        <v>69160</v>
      </c>
      <c r="T264" s="357">
        <v>0</v>
      </c>
      <c r="U264" s="357">
        <v>0</v>
      </c>
      <c r="V264" s="357">
        <v>69160</v>
      </c>
      <c r="W264" s="357">
        <v>7691.44</v>
      </c>
      <c r="X264" s="357">
        <v>0</v>
      </c>
      <c r="Y264" s="357">
        <v>0</v>
      </c>
      <c r="Z264" s="357">
        <v>7691.44</v>
      </c>
      <c r="AA264" s="357">
        <v>61468.56</v>
      </c>
      <c r="AB264" s="357">
        <v>0</v>
      </c>
      <c r="AC264" s="357">
        <v>0</v>
      </c>
      <c r="AD264" s="357">
        <v>0</v>
      </c>
      <c r="AE264" s="357">
        <v>0</v>
      </c>
      <c r="AF264" s="357">
        <v>0</v>
      </c>
      <c r="AG264" s="357">
        <v>61468.56</v>
      </c>
      <c r="AH264" s="357">
        <v>0</v>
      </c>
      <c r="AI264" s="357">
        <v>0</v>
      </c>
      <c r="AJ264" s="357">
        <v>61468.56</v>
      </c>
      <c r="AK264" s="357">
        <v>61468.56</v>
      </c>
      <c r="AL264" s="357">
        <v>0</v>
      </c>
      <c r="AM264" s="357">
        <v>0</v>
      </c>
      <c r="AN264" s="357">
        <v>61468.56</v>
      </c>
      <c r="AO264" s="357">
        <v>2253109.58</v>
      </c>
      <c r="AP264" s="357">
        <v>0</v>
      </c>
      <c r="AQ264" s="357">
        <v>0</v>
      </c>
      <c r="AR264" s="357">
        <v>2253109.58</v>
      </c>
      <c r="AS264" s="357">
        <v>0</v>
      </c>
      <c r="AT264" s="357">
        <v>0</v>
      </c>
      <c r="AU264" s="357">
        <v>0</v>
      </c>
      <c r="AV264" s="357">
        <v>0</v>
      </c>
      <c r="AW264" s="357">
        <v>1049142.2</v>
      </c>
      <c r="AX264" s="357">
        <v>0</v>
      </c>
      <c r="AY264" s="357">
        <v>0</v>
      </c>
      <c r="AZ264" s="357">
        <v>1049142.2</v>
      </c>
      <c r="BA264" s="357">
        <v>1203967.38</v>
      </c>
      <c r="BB264" s="357">
        <v>0</v>
      </c>
      <c r="BC264" s="357">
        <v>0</v>
      </c>
      <c r="BD264" s="357">
        <v>1203967.38</v>
      </c>
      <c r="BE264" s="357">
        <v>2426041.52</v>
      </c>
      <c r="BF264" s="357">
        <v>0</v>
      </c>
      <c r="BG264" s="357">
        <v>0</v>
      </c>
      <c r="BH264" s="357">
        <v>2426041.52</v>
      </c>
      <c r="BI264" s="357">
        <v>15655.36</v>
      </c>
      <c r="BJ264" s="357">
        <v>0</v>
      </c>
      <c r="BK264" s="357">
        <v>0</v>
      </c>
      <c r="BL264" s="357">
        <v>15655.36</v>
      </c>
      <c r="BM264" s="357">
        <v>22253.53</v>
      </c>
      <c r="BN264" s="357">
        <v>0</v>
      </c>
      <c r="BO264" s="357">
        <v>0</v>
      </c>
      <c r="BP264" s="357">
        <v>22253.53</v>
      </c>
      <c r="BQ264" s="357">
        <v>3667917.79</v>
      </c>
      <c r="BR264" s="357">
        <v>0</v>
      </c>
      <c r="BS264" s="357">
        <v>0</v>
      </c>
      <c r="BT264" s="357">
        <v>0</v>
      </c>
      <c r="BU264" s="357">
        <v>0</v>
      </c>
      <c r="BV264" s="357">
        <v>0</v>
      </c>
      <c r="BW264" s="357">
        <v>3667917.79</v>
      </c>
      <c r="BX264" s="357">
        <v>0</v>
      </c>
      <c r="BY264" s="357">
        <v>0</v>
      </c>
      <c r="BZ264" s="357">
        <v>3667917.79</v>
      </c>
      <c r="CA264" s="357">
        <v>9926.32</v>
      </c>
      <c r="CB264" s="357">
        <v>0</v>
      </c>
      <c r="CC264" s="357">
        <v>0</v>
      </c>
      <c r="CD264" s="357">
        <v>9926.32</v>
      </c>
      <c r="CE264" s="357">
        <v>1878284.87</v>
      </c>
      <c r="CF264" s="357">
        <v>0</v>
      </c>
      <c r="CG264" s="357">
        <v>0</v>
      </c>
      <c r="CH264" s="357">
        <v>1878284.87</v>
      </c>
      <c r="CI264" s="357">
        <v>1888211.19</v>
      </c>
      <c r="CJ264" s="357">
        <v>0</v>
      </c>
      <c r="CK264" s="357">
        <v>0</v>
      </c>
      <c r="CL264" s="357">
        <v>0</v>
      </c>
      <c r="CM264" s="357">
        <v>0</v>
      </c>
      <c r="CN264" s="357">
        <v>0</v>
      </c>
      <c r="CO264" s="357">
        <v>1888211.19</v>
      </c>
      <c r="CP264" s="357">
        <v>0</v>
      </c>
      <c r="CQ264" s="357">
        <v>0</v>
      </c>
      <c r="CR264" s="357">
        <v>1888211.19</v>
      </c>
      <c r="CS264" s="357">
        <v>202673.87</v>
      </c>
      <c r="CT264" s="357">
        <v>0</v>
      </c>
      <c r="CU264" s="357">
        <v>0</v>
      </c>
      <c r="CV264" s="357">
        <v>202673.87</v>
      </c>
      <c r="CW264" s="357">
        <v>108183.68</v>
      </c>
      <c r="CX264" s="357">
        <v>0</v>
      </c>
      <c r="CY264" s="357">
        <v>0</v>
      </c>
      <c r="CZ264" s="357">
        <v>108183.68</v>
      </c>
      <c r="DA264" s="357">
        <v>3913.84</v>
      </c>
      <c r="DB264" s="357">
        <v>0</v>
      </c>
      <c r="DC264" s="357">
        <v>0</v>
      </c>
      <c r="DD264" s="357">
        <v>3913.84</v>
      </c>
      <c r="DE264" s="357">
        <v>16900.13</v>
      </c>
      <c r="DF264" s="357">
        <v>0</v>
      </c>
      <c r="DG264" s="357">
        <v>0</v>
      </c>
      <c r="DH264" s="357">
        <v>16900.13</v>
      </c>
      <c r="DI264" s="357">
        <v>4798.94</v>
      </c>
      <c r="DJ264" s="357">
        <v>0</v>
      </c>
      <c r="DK264" s="357">
        <v>0</v>
      </c>
      <c r="DL264" s="357">
        <v>4798.94</v>
      </c>
      <c r="DM264" s="357">
        <v>0</v>
      </c>
      <c r="DN264" s="357">
        <v>0</v>
      </c>
      <c r="DO264" s="357">
        <v>0</v>
      </c>
      <c r="DP264" s="357">
        <v>0</v>
      </c>
      <c r="DQ264" s="357">
        <v>336470.46</v>
      </c>
      <c r="DR264" s="357">
        <v>0</v>
      </c>
      <c r="DS264" s="357">
        <v>0</v>
      </c>
      <c r="DT264" s="357">
        <v>0</v>
      </c>
      <c r="DU264" s="357">
        <v>0</v>
      </c>
      <c r="DV264" s="357">
        <v>0</v>
      </c>
      <c r="DW264" s="357">
        <v>336470.46</v>
      </c>
      <c r="DX264" s="357">
        <v>0</v>
      </c>
      <c r="DY264" s="357">
        <v>0</v>
      </c>
      <c r="DZ264" s="357">
        <v>336470.46</v>
      </c>
      <c r="EA264" s="357">
        <v>0</v>
      </c>
      <c r="EB264" s="357">
        <v>0</v>
      </c>
      <c r="EC264" s="357">
        <v>0</v>
      </c>
      <c r="ED264" s="357">
        <v>0</v>
      </c>
      <c r="EE264" s="357">
        <v>0</v>
      </c>
      <c r="EF264" s="357">
        <v>0</v>
      </c>
      <c r="EG264" s="357">
        <v>0</v>
      </c>
      <c r="EH264" s="357">
        <v>0</v>
      </c>
      <c r="EI264" s="357">
        <v>0</v>
      </c>
      <c r="EJ264" s="357">
        <v>0</v>
      </c>
      <c r="EK264" s="357">
        <v>598915</v>
      </c>
      <c r="EL264" s="357">
        <v>0</v>
      </c>
      <c r="EM264" s="357">
        <v>0</v>
      </c>
      <c r="EN264" s="357">
        <v>598915</v>
      </c>
      <c r="EO264" s="357">
        <v>598915</v>
      </c>
      <c r="EP264" s="357">
        <v>0</v>
      </c>
      <c r="EQ264" s="357">
        <v>0</v>
      </c>
      <c r="ER264" s="357">
        <v>0</v>
      </c>
      <c r="ES264" s="357">
        <v>0</v>
      </c>
      <c r="ET264" s="357">
        <v>0</v>
      </c>
      <c r="EU264" s="357">
        <v>598915</v>
      </c>
      <c r="EV264" s="357">
        <v>0</v>
      </c>
      <c r="EW264" s="357">
        <v>0</v>
      </c>
      <c r="EX264" s="357">
        <v>598915</v>
      </c>
      <c r="EY264" s="357">
        <v>45547565</v>
      </c>
      <c r="EZ264" s="357">
        <v>0</v>
      </c>
      <c r="FA264" s="357">
        <v>0</v>
      </c>
      <c r="FB264" s="357">
        <v>45547565</v>
      </c>
      <c r="FC264" s="277">
        <v>0</v>
      </c>
      <c r="FD264" s="205"/>
    </row>
    <row r="265" spans="1:160" ht="12.75">
      <c r="A265" s="169">
        <v>258</v>
      </c>
      <c r="B265" s="172" t="s">
        <v>446</v>
      </c>
      <c r="C265" s="258" t="s">
        <v>447</v>
      </c>
      <c r="D265" s="235">
        <v>41661</v>
      </c>
      <c r="E265" s="357">
        <v>47885585</v>
      </c>
      <c r="F265" s="357">
        <v>0</v>
      </c>
      <c r="G265" s="357">
        <v>0</v>
      </c>
      <c r="H265" s="357">
        <v>47885585</v>
      </c>
      <c r="I265" s="357">
        <v>22554111</v>
      </c>
      <c r="J265" s="357">
        <v>0</v>
      </c>
      <c r="K265" s="357">
        <v>0</v>
      </c>
      <c r="L265" s="357">
        <v>-49440</v>
      </c>
      <c r="M265" s="357">
        <v>0</v>
      </c>
      <c r="N265" s="357">
        <v>0</v>
      </c>
      <c r="O265" s="357">
        <v>22504671</v>
      </c>
      <c r="P265" s="357">
        <v>0</v>
      </c>
      <c r="Q265" s="357">
        <v>0</v>
      </c>
      <c r="R265" s="357">
        <v>22504671</v>
      </c>
      <c r="S265" s="357">
        <v>74713</v>
      </c>
      <c r="T265" s="357">
        <v>0</v>
      </c>
      <c r="U265" s="357">
        <v>0</v>
      </c>
      <c r="V265" s="357">
        <v>74713</v>
      </c>
      <c r="W265" s="357">
        <v>-176</v>
      </c>
      <c r="X265" s="357">
        <v>0</v>
      </c>
      <c r="Y265" s="357">
        <v>0</v>
      </c>
      <c r="Z265" s="357">
        <v>-176</v>
      </c>
      <c r="AA265" s="357">
        <v>74889</v>
      </c>
      <c r="AB265" s="357">
        <v>0</v>
      </c>
      <c r="AC265" s="357">
        <v>0</v>
      </c>
      <c r="AD265" s="357">
        <v>0</v>
      </c>
      <c r="AE265" s="357">
        <v>0</v>
      </c>
      <c r="AF265" s="357">
        <v>0</v>
      </c>
      <c r="AG265" s="357">
        <v>74889</v>
      </c>
      <c r="AH265" s="357">
        <v>0</v>
      </c>
      <c r="AI265" s="357">
        <v>0</v>
      </c>
      <c r="AJ265" s="357">
        <v>74889</v>
      </c>
      <c r="AK265" s="357">
        <v>74889</v>
      </c>
      <c r="AL265" s="357">
        <v>0</v>
      </c>
      <c r="AM265" s="357">
        <v>0</v>
      </c>
      <c r="AN265" s="357">
        <v>74889</v>
      </c>
      <c r="AO265" s="357">
        <v>2129631</v>
      </c>
      <c r="AP265" s="357">
        <v>0</v>
      </c>
      <c r="AQ265" s="357">
        <v>0</v>
      </c>
      <c r="AR265" s="357">
        <v>2129631</v>
      </c>
      <c r="AS265" s="357">
        <v>0</v>
      </c>
      <c r="AT265" s="357">
        <v>0</v>
      </c>
      <c r="AU265" s="357">
        <v>0</v>
      </c>
      <c r="AV265" s="357">
        <v>0</v>
      </c>
      <c r="AW265" s="357">
        <v>401045</v>
      </c>
      <c r="AX265" s="357">
        <v>0</v>
      </c>
      <c r="AY265" s="357">
        <v>0</v>
      </c>
      <c r="AZ265" s="357">
        <v>401045</v>
      </c>
      <c r="BA265" s="357">
        <v>1728586</v>
      </c>
      <c r="BB265" s="357">
        <v>0</v>
      </c>
      <c r="BC265" s="357">
        <v>0</v>
      </c>
      <c r="BD265" s="357">
        <v>1728586</v>
      </c>
      <c r="BE265" s="357">
        <v>1100791</v>
      </c>
      <c r="BF265" s="357">
        <v>0</v>
      </c>
      <c r="BG265" s="357">
        <v>0</v>
      </c>
      <c r="BH265" s="357">
        <v>1100791</v>
      </c>
      <c r="BI265" s="357">
        <v>46912</v>
      </c>
      <c r="BJ265" s="357">
        <v>0</v>
      </c>
      <c r="BK265" s="357">
        <v>0</v>
      </c>
      <c r="BL265" s="357">
        <v>46912</v>
      </c>
      <c r="BM265" s="357">
        <v>17778</v>
      </c>
      <c r="BN265" s="357">
        <v>0</v>
      </c>
      <c r="BO265" s="357">
        <v>0</v>
      </c>
      <c r="BP265" s="357">
        <v>17778</v>
      </c>
      <c r="BQ265" s="357">
        <v>2894067</v>
      </c>
      <c r="BR265" s="357">
        <v>0</v>
      </c>
      <c r="BS265" s="357">
        <v>0</v>
      </c>
      <c r="BT265" s="357">
        <v>-627</v>
      </c>
      <c r="BU265" s="357">
        <v>0</v>
      </c>
      <c r="BV265" s="357">
        <v>0</v>
      </c>
      <c r="BW265" s="357">
        <v>2893440</v>
      </c>
      <c r="BX265" s="357">
        <v>0</v>
      </c>
      <c r="BY265" s="357">
        <v>0</v>
      </c>
      <c r="BZ265" s="357">
        <v>2893440</v>
      </c>
      <c r="CA265" s="357">
        <v>0</v>
      </c>
      <c r="CB265" s="357">
        <v>0</v>
      </c>
      <c r="CC265" s="357">
        <v>0</v>
      </c>
      <c r="CD265" s="357">
        <v>0</v>
      </c>
      <c r="CE265" s="357">
        <v>602565</v>
      </c>
      <c r="CF265" s="357">
        <v>0</v>
      </c>
      <c r="CG265" s="357">
        <v>0</v>
      </c>
      <c r="CH265" s="357">
        <v>602565</v>
      </c>
      <c r="CI265" s="357">
        <v>602565</v>
      </c>
      <c r="CJ265" s="357">
        <v>0</v>
      </c>
      <c r="CK265" s="357">
        <v>0</v>
      </c>
      <c r="CL265" s="357">
        <v>0</v>
      </c>
      <c r="CM265" s="357">
        <v>0</v>
      </c>
      <c r="CN265" s="357">
        <v>0</v>
      </c>
      <c r="CO265" s="357">
        <v>602565</v>
      </c>
      <c r="CP265" s="357">
        <v>0</v>
      </c>
      <c r="CQ265" s="357">
        <v>0</v>
      </c>
      <c r="CR265" s="357">
        <v>602565</v>
      </c>
      <c r="CS265" s="357">
        <v>77881</v>
      </c>
      <c r="CT265" s="357">
        <v>0</v>
      </c>
      <c r="CU265" s="357">
        <v>0</v>
      </c>
      <c r="CV265" s="357">
        <v>77881</v>
      </c>
      <c r="CW265" s="357">
        <v>70941</v>
      </c>
      <c r="CX265" s="357">
        <v>0</v>
      </c>
      <c r="CY265" s="357">
        <v>0</v>
      </c>
      <c r="CZ265" s="357">
        <v>70941</v>
      </c>
      <c r="DA265" s="357">
        <v>3014</v>
      </c>
      <c r="DB265" s="357">
        <v>0</v>
      </c>
      <c r="DC265" s="357">
        <v>0</v>
      </c>
      <c r="DD265" s="357">
        <v>3014</v>
      </c>
      <c r="DE265" s="357">
        <v>7392</v>
      </c>
      <c r="DF265" s="357">
        <v>0</v>
      </c>
      <c r="DG265" s="357">
        <v>0</v>
      </c>
      <c r="DH265" s="357">
        <v>7392</v>
      </c>
      <c r="DI265" s="357">
        <v>0</v>
      </c>
      <c r="DJ265" s="357">
        <v>0</v>
      </c>
      <c r="DK265" s="357">
        <v>0</v>
      </c>
      <c r="DL265" s="357">
        <v>0</v>
      </c>
      <c r="DM265" s="357">
        <v>0</v>
      </c>
      <c r="DN265" s="357">
        <v>0</v>
      </c>
      <c r="DO265" s="357">
        <v>0</v>
      </c>
      <c r="DP265" s="357">
        <v>0</v>
      </c>
      <c r="DQ265" s="357">
        <v>159228</v>
      </c>
      <c r="DR265" s="357">
        <v>0</v>
      </c>
      <c r="DS265" s="357">
        <v>0</v>
      </c>
      <c r="DT265" s="357">
        <v>0</v>
      </c>
      <c r="DU265" s="357">
        <v>0</v>
      </c>
      <c r="DV265" s="357">
        <v>0</v>
      </c>
      <c r="DW265" s="357">
        <v>159228</v>
      </c>
      <c r="DX265" s="357">
        <v>0</v>
      </c>
      <c r="DY265" s="357">
        <v>0</v>
      </c>
      <c r="DZ265" s="357">
        <v>159228</v>
      </c>
      <c r="EA265" s="357">
        <v>0</v>
      </c>
      <c r="EB265" s="357">
        <v>0</v>
      </c>
      <c r="EC265" s="357">
        <v>0</v>
      </c>
      <c r="ED265" s="357">
        <v>0</v>
      </c>
      <c r="EE265" s="357">
        <v>0</v>
      </c>
      <c r="EF265" s="357">
        <v>0</v>
      </c>
      <c r="EG265" s="357">
        <v>0</v>
      </c>
      <c r="EH265" s="357">
        <v>0</v>
      </c>
      <c r="EI265" s="357">
        <v>0</v>
      </c>
      <c r="EJ265" s="357">
        <v>0</v>
      </c>
      <c r="EK265" s="357">
        <v>413633.14</v>
      </c>
      <c r="EL265" s="357">
        <v>0</v>
      </c>
      <c r="EM265" s="357">
        <v>0</v>
      </c>
      <c r="EN265" s="357">
        <v>413633.14</v>
      </c>
      <c r="EO265" s="357">
        <v>413633.14</v>
      </c>
      <c r="EP265" s="357">
        <v>0</v>
      </c>
      <c r="EQ265" s="357">
        <v>0</v>
      </c>
      <c r="ER265" s="357">
        <v>0</v>
      </c>
      <c r="ES265" s="357">
        <v>0</v>
      </c>
      <c r="ET265" s="357">
        <v>0</v>
      </c>
      <c r="EU265" s="357">
        <v>413633.14</v>
      </c>
      <c r="EV265" s="357">
        <v>0</v>
      </c>
      <c r="EW265" s="357">
        <v>0</v>
      </c>
      <c r="EX265" s="357">
        <v>413633.14</v>
      </c>
      <c r="EY265" s="357">
        <v>18360915.9</v>
      </c>
      <c r="EZ265" s="357">
        <v>0</v>
      </c>
      <c r="FA265" s="357">
        <v>0</v>
      </c>
      <c r="FB265" s="357">
        <v>18360915.9</v>
      </c>
      <c r="FC265" s="277">
        <v>0</v>
      </c>
      <c r="FD265" s="205"/>
    </row>
    <row r="266" spans="1:160" ht="12.75">
      <c r="A266" s="169">
        <v>259</v>
      </c>
      <c r="B266" s="172" t="s">
        <v>448</v>
      </c>
      <c r="C266" s="258" t="s">
        <v>449</v>
      </c>
      <c r="D266" s="235">
        <v>41639</v>
      </c>
      <c r="E266" s="357">
        <v>112614685</v>
      </c>
      <c r="F266" s="357">
        <v>0</v>
      </c>
      <c r="G266" s="357">
        <v>0</v>
      </c>
      <c r="H266" s="357">
        <v>112614685</v>
      </c>
      <c r="I266" s="357">
        <v>53041517</v>
      </c>
      <c r="J266" s="357">
        <v>0</v>
      </c>
      <c r="K266" s="357">
        <v>0</v>
      </c>
      <c r="L266" s="357">
        <v>-1131114</v>
      </c>
      <c r="M266" s="357">
        <v>0</v>
      </c>
      <c r="N266" s="357">
        <v>0</v>
      </c>
      <c r="O266" s="357">
        <v>51910403</v>
      </c>
      <c r="P266" s="357">
        <v>0</v>
      </c>
      <c r="Q266" s="357">
        <v>0</v>
      </c>
      <c r="R266" s="357">
        <v>51910403</v>
      </c>
      <c r="S266" s="357">
        <v>26810</v>
      </c>
      <c r="T266" s="357">
        <v>0</v>
      </c>
      <c r="U266" s="357">
        <v>0</v>
      </c>
      <c r="V266" s="357">
        <v>26810</v>
      </c>
      <c r="W266" s="357">
        <v>8572</v>
      </c>
      <c r="X266" s="357">
        <v>0</v>
      </c>
      <c r="Y266" s="357">
        <v>0</v>
      </c>
      <c r="Z266" s="357">
        <v>8572</v>
      </c>
      <c r="AA266" s="357">
        <v>18238</v>
      </c>
      <c r="AB266" s="357">
        <v>0</v>
      </c>
      <c r="AC266" s="357">
        <v>0</v>
      </c>
      <c r="AD266" s="357">
        <v>0</v>
      </c>
      <c r="AE266" s="357">
        <v>0</v>
      </c>
      <c r="AF266" s="357">
        <v>0</v>
      </c>
      <c r="AG266" s="357">
        <v>18238</v>
      </c>
      <c r="AH266" s="357">
        <v>0</v>
      </c>
      <c r="AI266" s="357">
        <v>0</v>
      </c>
      <c r="AJ266" s="357">
        <v>18238</v>
      </c>
      <c r="AK266" s="357">
        <v>18238</v>
      </c>
      <c r="AL266" s="357">
        <v>0</v>
      </c>
      <c r="AM266" s="357">
        <v>0</v>
      </c>
      <c r="AN266" s="357">
        <v>18238</v>
      </c>
      <c r="AO266" s="357">
        <v>804332</v>
      </c>
      <c r="AP266" s="357">
        <v>0</v>
      </c>
      <c r="AQ266" s="357">
        <v>0</v>
      </c>
      <c r="AR266" s="357">
        <v>804332</v>
      </c>
      <c r="AS266" s="357">
        <v>0</v>
      </c>
      <c r="AT266" s="357">
        <v>0</v>
      </c>
      <c r="AU266" s="357">
        <v>0</v>
      </c>
      <c r="AV266" s="357">
        <v>0</v>
      </c>
      <c r="AW266" s="357">
        <v>1158178</v>
      </c>
      <c r="AX266" s="357">
        <v>0</v>
      </c>
      <c r="AY266" s="357">
        <v>0</v>
      </c>
      <c r="AZ266" s="357">
        <v>1158178</v>
      </c>
      <c r="BA266" s="357">
        <v>-353846</v>
      </c>
      <c r="BB266" s="357">
        <v>0</v>
      </c>
      <c r="BC266" s="357">
        <v>0</v>
      </c>
      <c r="BD266" s="357">
        <v>-353846</v>
      </c>
      <c r="BE266" s="357">
        <v>1635104</v>
      </c>
      <c r="BF266" s="357">
        <v>0</v>
      </c>
      <c r="BG266" s="357">
        <v>0</v>
      </c>
      <c r="BH266" s="357">
        <v>1635104</v>
      </c>
      <c r="BI266" s="357">
        <v>3952</v>
      </c>
      <c r="BJ266" s="357">
        <v>0</v>
      </c>
      <c r="BK266" s="357">
        <v>0</v>
      </c>
      <c r="BL266" s="357">
        <v>3952</v>
      </c>
      <c r="BM266" s="357">
        <v>0</v>
      </c>
      <c r="BN266" s="357">
        <v>0</v>
      </c>
      <c r="BO266" s="357">
        <v>0</v>
      </c>
      <c r="BP266" s="357">
        <v>0</v>
      </c>
      <c r="BQ266" s="357">
        <v>1285210</v>
      </c>
      <c r="BR266" s="357">
        <v>0</v>
      </c>
      <c r="BS266" s="357">
        <v>0</v>
      </c>
      <c r="BT266" s="357">
        <v>880493</v>
      </c>
      <c r="BU266" s="357">
        <v>0</v>
      </c>
      <c r="BV266" s="357">
        <v>0</v>
      </c>
      <c r="BW266" s="357">
        <v>2165703</v>
      </c>
      <c r="BX266" s="357">
        <v>0</v>
      </c>
      <c r="BY266" s="357">
        <v>0</v>
      </c>
      <c r="BZ266" s="357">
        <v>2165703</v>
      </c>
      <c r="CA266" s="357">
        <v>20822</v>
      </c>
      <c r="CB266" s="357">
        <v>0</v>
      </c>
      <c r="CC266" s="357">
        <v>0</v>
      </c>
      <c r="CD266" s="357">
        <v>20822</v>
      </c>
      <c r="CE266" s="357">
        <v>1509573</v>
      </c>
      <c r="CF266" s="357">
        <v>0</v>
      </c>
      <c r="CG266" s="357">
        <v>0</v>
      </c>
      <c r="CH266" s="357">
        <v>1509573</v>
      </c>
      <c r="CI266" s="357">
        <v>1530395</v>
      </c>
      <c r="CJ266" s="357">
        <v>0</v>
      </c>
      <c r="CK266" s="357">
        <v>0</v>
      </c>
      <c r="CL266" s="357">
        <v>0</v>
      </c>
      <c r="CM266" s="357">
        <v>0</v>
      </c>
      <c r="CN266" s="357">
        <v>0</v>
      </c>
      <c r="CO266" s="357">
        <v>1530395</v>
      </c>
      <c r="CP266" s="357">
        <v>0</v>
      </c>
      <c r="CQ266" s="357">
        <v>0</v>
      </c>
      <c r="CR266" s="357">
        <v>1530395</v>
      </c>
      <c r="CS266" s="357">
        <v>153309</v>
      </c>
      <c r="CT266" s="357">
        <v>0</v>
      </c>
      <c r="CU266" s="357">
        <v>0</v>
      </c>
      <c r="CV266" s="357">
        <v>153309</v>
      </c>
      <c r="CW266" s="357">
        <v>16226</v>
      </c>
      <c r="CX266" s="357">
        <v>0</v>
      </c>
      <c r="CY266" s="357">
        <v>0</v>
      </c>
      <c r="CZ266" s="357">
        <v>16226</v>
      </c>
      <c r="DA266" s="357">
        <v>988</v>
      </c>
      <c r="DB266" s="357">
        <v>0</v>
      </c>
      <c r="DC266" s="357">
        <v>0</v>
      </c>
      <c r="DD266" s="357">
        <v>988</v>
      </c>
      <c r="DE266" s="357">
        <v>0</v>
      </c>
      <c r="DF266" s="357">
        <v>0</v>
      </c>
      <c r="DG266" s="357">
        <v>0</v>
      </c>
      <c r="DH266" s="357">
        <v>0</v>
      </c>
      <c r="DI266" s="357">
        <v>0</v>
      </c>
      <c r="DJ266" s="357">
        <v>0</v>
      </c>
      <c r="DK266" s="357">
        <v>0</v>
      </c>
      <c r="DL266" s="357">
        <v>0</v>
      </c>
      <c r="DM266" s="357">
        <v>0</v>
      </c>
      <c r="DN266" s="357">
        <v>0</v>
      </c>
      <c r="DO266" s="357">
        <v>0</v>
      </c>
      <c r="DP266" s="357">
        <v>0</v>
      </c>
      <c r="DQ266" s="357">
        <v>170523</v>
      </c>
      <c r="DR266" s="357">
        <v>0</v>
      </c>
      <c r="DS266" s="357">
        <v>0</v>
      </c>
      <c r="DT266" s="357">
        <v>0</v>
      </c>
      <c r="DU266" s="357">
        <v>0</v>
      </c>
      <c r="DV266" s="357">
        <v>0</v>
      </c>
      <c r="DW266" s="357">
        <v>170523</v>
      </c>
      <c r="DX266" s="357">
        <v>0</v>
      </c>
      <c r="DY266" s="357">
        <v>0</v>
      </c>
      <c r="DZ266" s="357">
        <v>170523</v>
      </c>
      <c r="EA266" s="357">
        <v>0</v>
      </c>
      <c r="EB266" s="357">
        <v>0</v>
      </c>
      <c r="EC266" s="357">
        <v>282600</v>
      </c>
      <c r="ED266" s="357">
        <v>0</v>
      </c>
      <c r="EE266" s="357">
        <v>0</v>
      </c>
      <c r="EF266" s="357">
        <v>282600</v>
      </c>
      <c r="EG266" s="357">
        <v>271914</v>
      </c>
      <c r="EH266" s="357">
        <v>0</v>
      </c>
      <c r="EI266" s="357">
        <v>0</v>
      </c>
      <c r="EJ266" s="357">
        <v>271914</v>
      </c>
      <c r="EK266" s="357">
        <v>390299</v>
      </c>
      <c r="EL266" s="357">
        <v>0</v>
      </c>
      <c r="EM266" s="357">
        <v>0</v>
      </c>
      <c r="EN266" s="357">
        <v>390299</v>
      </c>
      <c r="EO266" s="357">
        <v>944813</v>
      </c>
      <c r="EP266" s="357">
        <v>0</v>
      </c>
      <c r="EQ266" s="357">
        <v>0</v>
      </c>
      <c r="ER266" s="357">
        <v>0</v>
      </c>
      <c r="ES266" s="357">
        <v>0</v>
      </c>
      <c r="ET266" s="357">
        <v>0</v>
      </c>
      <c r="EU266" s="357">
        <v>944813</v>
      </c>
      <c r="EV266" s="357">
        <v>0</v>
      </c>
      <c r="EW266" s="357">
        <v>0</v>
      </c>
      <c r="EX266" s="357">
        <v>944813</v>
      </c>
      <c r="EY266" s="357">
        <v>47080731</v>
      </c>
      <c r="EZ266" s="357">
        <v>0</v>
      </c>
      <c r="FA266" s="357">
        <v>0</v>
      </c>
      <c r="FB266" s="357">
        <v>47080731</v>
      </c>
      <c r="FC266" s="277">
        <v>0</v>
      </c>
      <c r="FD266" s="205"/>
    </row>
    <row r="267" spans="1:160" ht="12.75">
      <c r="A267" s="169">
        <v>260</v>
      </c>
      <c r="B267" s="172" t="s">
        <v>450</v>
      </c>
      <c r="C267" s="258" t="s">
        <v>451</v>
      </c>
      <c r="D267" s="235">
        <v>41654</v>
      </c>
      <c r="E267" s="357">
        <v>234654220</v>
      </c>
      <c r="F267" s="357">
        <v>0</v>
      </c>
      <c r="G267" s="357">
        <v>0</v>
      </c>
      <c r="H267" s="357">
        <v>234654220</v>
      </c>
      <c r="I267" s="357">
        <v>110522138</v>
      </c>
      <c r="J267" s="357">
        <v>0</v>
      </c>
      <c r="K267" s="357">
        <v>0</v>
      </c>
      <c r="L267" s="357">
        <v>-1997005</v>
      </c>
      <c r="M267" s="357">
        <v>0</v>
      </c>
      <c r="N267" s="357">
        <v>0</v>
      </c>
      <c r="O267" s="357">
        <v>108525133</v>
      </c>
      <c r="P267" s="357">
        <v>0</v>
      </c>
      <c r="Q267" s="357">
        <v>0</v>
      </c>
      <c r="R267" s="357">
        <v>108525133</v>
      </c>
      <c r="S267" s="357">
        <v>74814</v>
      </c>
      <c r="T267" s="357">
        <v>0</v>
      </c>
      <c r="U267" s="357">
        <v>0</v>
      </c>
      <c r="V267" s="357">
        <v>74814</v>
      </c>
      <c r="W267" s="357">
        <v>11198</v>
      </c>
      <c r="X267" s="357">
        <v>0</v>
      </c>
      <c r="Y267" s="357">
        <v>0</v>
      </c>
      <c r="Z267" s="357">
        <v>11198</v>
      </c>
      <c r="AA267" s="357">
        <v>63616</v>
      </c>
      <c r="AB267" s="357">
        <v>0</v>
      </c>
      <c r="AC267" s="357">
        <v>0</v>
      </c>
      <c r="AD267" s="357">
        <v>0</v>
      </c>
      <c r="AE267" s="357">
        <v>0</v>
      </c>
      <c r="AF267" s="357">
        <v>0</v>
      </c>
      <c r="AG267" s="357">
        <v>63616</v>
      </c>
      <c r="AH267" s="357">
        <v>0</v>
      </c>
      <c r="AI267" s="357">
        <v>0</v>
      </c>
      <c r="AJ267" s="357">
        <v>63616</v>
      </c>
      <c r="AK267" s="357">
        <v>63616</v>
      </c>
      <c r="AL267" s="357">
        <v>0</v>
      </c>
      <c r="AM267" s="357">
        <v>0</v>
      </c>
      <c r="AN267" s="357">
        <v>63616</v>
      </c>
      <c r="AO267" s="357">
        <v>6058136</v>
      </c>
      <c r="AP267" s="357">
        <v>0</v>
      </c>
      <c r="AQ267" s="357">
        <v>0</v>
      </c>
      <c r="AR267" s="357">
        <v>6058136</v>
      </c>
      <c r="AS267" s="357">
        <v>0</v>
      </c>
      <c r="AT267" s="357">
        <v>0</v>
      </c>
      <c r="AU267" s="357">
        <v>0</v>
      </c>
      <c r="AV267" s="357">
        <v>0</v>
      </c>
      <c r="AW267" s="357">
        <v>2166181</v>
      </c>
      <c r="AX267" s="357">
        <v>0</v>
      </c>
      <c r="AY267" s="357">
        <v>0</v>
      </c>
      <c r="AZ267" s="357">
        <v>2166181</v>
      </c>
      <c r="BA267" s="357">
        <v>3891955</v>
      </c>
      <c r="BB267" s="357">
        <v>0</v>
      </c>
      <c r="BC267" s="357">
        <v>0</v>
      </c>
      <c r="BD267" s="357">
        <v>3891955</v>
      </c>
      <c r="BE267" s="357">
        <v>4021557</v>
      </c>
      <c r="BF267" s="357">
        <v>0</v>
      </c>
      <c r="BG267" s="357">
        <v>0</v>
      </c>
      <c r="BH267" s="357">
        <v>4021557</v>
      </c>
      <c r="BI267" s="357">
        <v>244499</v>
      </c>
      <c r="BJ267" s="357">
        <v>0</v>
      </c>
      <c r="BK267" s="357">
        <v>0</v>
      </c>
      <c r="BL267" s="357">
        <v>244499</v>
      </c>
      <c r="BM267" s="357">
        <v>0</v>
      </c>
      <c r="BN267" s="357">
        <v>0</v>
      </c>
      <c r="BO267" s="357">
        <v>0</v>
      </c>
      <c r="BP267" s="357">
        <v>0</v>
      </c>
      <c r="BQ267" s="357">
        <v>8158011</v>
      </c>
      <c r="BR267" s="357">
        <v>0</v>
      </c>
      <c r="BS267" s="357">
        <v>0</v>
      </c>
      <c r="BT267" s="357">
        <v>1057217</v>
      </c>
      <c r="BU267" s="357">
        <v>0</v>
      </c>
      <c r="BV267" s="357">
        <v>0</v>
      </c>
      <c r="BW267" s="357">
        <v>9215228</v>
      </c>
      <c r="BX267" s="357">
        <v>0</v>
      </c>
      <c r="BY267" s="357">
        <v>0</v>
      </c>
      <c r="BZ267" s="357">
        <v>9215228</v>
      </c>
      <c r="CA267" s="357">
        <v>0</v>
      </c>
      <c r="CB267" s="357">
        <v>0</v>
      </c>
      <c r="CC267" s="357">
        <v>0</v>
      </c>
      <c r="CD267" s="357">
        <v>0</v>
      </c>
      <c r="CE267" s="357">
        <v>4571708</v>
      </c>
      <c r="CF267" s="357">
        <v>0</v>
      </c>
      <c r="CG267" s="357">
        <v>0</v>
      </c>
      <c r="CH267" s="357">
        <v>4571708</v>
      </c>
      <c r="CI267" s="357">
        <v>4571708</v>
      </c>
      <c r="CJ267" s="357">
        <v>0</v>
      </c>
      <c r="CK267" s="357">
        <v>0</v>
      </c>
      <c r="CL267" s="357">
        <v>2244718</v>
      </c>
      <c r="CM267" s="357">
        <v>0</v>
      </c>
      <c r="CN267" s="357">
        <v>0</v>
      </c>
      <c r="CO267" s="357">
        <v>6816426</v>
      </c>
      <c r="CP267" s="357">
        <v>0</v>
      </c>
      <c r="CQ267" s="357">
        <v>0</v>
      </c>
      <c r="CR267" s="357">
        <v>6816426</v>
      </c>
      <c r="CS267" s="357">
        <v>0</v>
      </c>
      <c r="CT267" s="357">
        <v>0</v>
      </c>
      <c r="CU267" s="357">
        <v>0</v>
      </c>
      <c r="CV267" s="357">
        <v>0</v>
      </c>
      <c r="CW267" s="357">
        <v>34771</v>
      </c>
      <c r="CX267" s="357">
        <v>0</v>
      </c>
      <c r="CY267" s="357">
        <v>0</v>
      </c>
      <c r="CZ267" s="357">
        <v>34771</v>
      </c>
      <c r="DA267" s="357">
        <v>24905</v>
      </c>
      <c r="DB267" s="357">
        <v>0</v>
      </c>
      <c r="DC267" s="357">
        <v>0</v>
      </c>
      <c r="DD267" s="357">
        <v>24905</v>
      </c>
      <c r="DE267" s="357">
        <v>0</v>
      </c>
      <c r="DF267" s="357">
        <v>0</v>
      </c>
      <c r="DG267" s="357">
        <v>0</v>
      </c>
      <c r="DH267" s="357">
        <v>0</v>
      </c>
      <c r="DI267" s="357">
        <v>0</v>
      </c>
      <c r="DJ267" s="357">
        <v>0</v>
      </c>
      <c r="DK267" s="357">
        <v>0</v>
      </c>
      <c r="DL267" s="357">
        <v>0</v>
      </c>
      <c r="DM267" s="357">
        <v>0</v>
      </c>
      <c r="DN267" s="357">
        <v>0</v>
      </c>
      <c r="DO267" s="357">
        <v>0</v>
      </c>
      <c r="DP267" s="357">
        <v>0</v>
      </c>
      <c r="DQ267" s="357">
        <v>59676</v>
      </c>
      <c r="DR267" s="357">
        <v>0</v>
      </c>
      <c r="DS267" s="357">
        <v>0</v>
      </c>
      <c r="DT267" s="357">
        <v>40000</v>
      </c>
      <c r="DU267" s="357">
        <v>0</v>
      </c>
      <c r="DV267" s="357">
        <v>0</v>
      </c>
      <c r="DW267" s="357">
        <v>99676</v>
      </c>
      <c r="DX267" s="357">
        <v>0</v>
      </c>
      <c r="DY267" s="357">
        <v>0</v>
      </c>
      <c r="DZ267" s="357">
        <v>99676</v>
      </c>
      <c r="EA267" s="357">
        <v>0</v>
      </c>
      <c r="EB267" s="357">
        <v>0</v>
      </c>
      <c r="EC267" s="357">
        <v>0</v>
      </c>
      <c r="ED267" s="357">
        <v>0</v>
      </c>
      <c r="EE267" s="357">
        <v>0</v>
      </c>
      <c r="EF267" s="357">
        <v>0</v>
      </c>
      <c r="EG267" s="357">
        <v>0</v>
      </c>
      <c r="EH267" s="357">
        <v>0</v>
      </c>
      <c r="EI267" s="357">
        <v>0</v>
      </c>
      <c r="EJ267" s="357">
        <v>0</v>
      </c>
      <c r="EK267" s="357">
        <v>2324000</v>
      </c>
      <c r="EL267" s="357">
        <v>0</v>
      </c>
      <c r="EM267" s="357">
        <v>0</v>
      </c>
      <c r="EN267" s="357">
        <v>2324000</v>
      </c>
      <c r="EO267" s="357">
        <v>2324000</v>
      </c>
      <c r="EP267" s="357">
        <v>0</v>
      </c>
      <c r="EQ267" s="357">
        <v>0</v>
      </c>
      <c r="ER267" s="357">
        <v>0</v>
      </c>
      <c r="ES267" s="357">
        <v>0</v>
      </c>
      <c r="ET267" s="357">
        <v>0</v>
      </c>
      <c r="EU267" s="357">
        <v>2324000</v>
      </c>
      <c r="EV267" s="357">
        <v>0</v>
      </c>
      <c r="EW267" s="357">
        <v>0</v>
      </c>
      <c r="EX267" s="357">
        <v>2324000</v>
      </c>
      <c r="EY267" s="357">
        <v>90006187</v>
      </c>
      <c r="EZ267" s="357">
        <v>0</v>
      </c>
      <c r="FA267" s="357">
        <v>0</v>
      </c>
      <c r="FB267" s="357">
        <v>90006187</v>
      </c>
      <c r="FC267" s="277">
        <v>0</v>
      </c>
      <c r="FD267" s="205"/>
    </row>
    <row r="268" spans="1:160" ht="12.75">
      <c r="A268" s="169">
        <v>261</v>
      </c>
      <c r="B268" s="172" t="s">
        <v>452</v>
      </c>
      <c r="C268" s="258" t="s">
        <v>453</v>
      </c>
      <c r="D268" s="235">
        <v>41639</v>
      </c>
      <c r="E268" s="357">
        <v>194303665</v>
      </c>
      <c r="F268" s="357">
        <v>0</v>
      </c>
      <c r="G268" s="357">
        <v>0</v>
      </c>
      <c r="H268" s="357">
        <v>194303665</v>
      </c>
      <c r="I268" s="357">
        <v>91517026</v>
      </c>
      <c r="J268" s="357">
        <v>0</v>
      </c>
      <c r="K268" s="357">
        <v>0</v>
      </c>
      <c r="L268" s="357">
        <v>353780</v>
      </c>
      <c r="M268" s="357">
        <v>0</v>
      </c>
      <c r="N268" s="357">
        <v>1055417</v>
      </c>
      <c r="O268" s="357">
        <v>91870806</v>
      </c>
      <c r="P268" s="357">
        <v>0</v>
      </c>
      <c r="Q268" s="357">
        <v>1055417</v>
      </c>
      <c r="R268" s="357">
        <v>92926223</v>
      </c>
      <c r="S268" s="357">
        <v>80004</v>
      </c>
      <c r="T268" s="357">
        <v>0</v>
      </c>
      <c r="U268" s="357">
        <v>0</v>
      </c>
      <c r="V268" s="357">
        <v>80004</v>
      </c>
      <c r="W268" s="357">
        <v>78356</v>
      </c>
      <c r="X268" s="357">
        <v>0</v>
      </c>
      <c r="Y268" s="357">
        <v>0</v>
      </c>
      <c r="Z268" s="357">
        <v>78356</v>
      </c>
      <c r="AA268" s="357">
        <v>1648</v>
      </c>
      <c r="AB268" s="357">
        <v>0</v>
      </c>
      <c r="AC268" s="357">
        <v>0</v>
      </c>
      <c r="AD268" s="357">
        <v>0</v>
      </c>
      <c r="AE268" s="357">
        <v>0</v>
      </c>
      <c r="AF268" s="357">
        <v>0</v>
      </c>
      <c r="AG268" s="357">
        <v>1648</v>
      </c>
      <c r="AH268" s="357">
        <v>0</v>
      </c>
      <c r="AI268" s="357">
        <v>0</v>
      </c>
      <c r="AJ268" s="357">
        <v>1648</v>
      </c>
      <c r="AK268" s="357">
        <v>1648</v>
      </c>
      <c r="AL268" s="357">
        <v>0</v>
      </c>
      <c r="AM268" s="357">
        <v>0</v>
      </c>
      <c r="AN268" s="357">
        <v>1648</v>
      </c>
      <c r="AO268" s="357">
        <v>2684053</v>
      </c>
      <c r="AP268" s="357">
        <v>0</v>
      </c>
      <c r="AQ268" s="357">
        <v>0</v>
      </c>
      <c r="AR268" s="357">
        <v>2684053</v>
      </c>
      <c r="AS268" s="357">
        <v>102621</v>
      </c>
      <c r="AT268" s="357">
        <v>0</v>
      </c>
      <c r="AU268" s="357">
        <v>0</v>
      </c>
      <c r="AV268" s="357">
        <v>102621</v>
      </c>
      <c r="AW268" s="357">
        <v>1947240</v>
      </c>
      <c r="AX268" s="357">
        <v>0</v>
      </c>
      <c r="AY268" s="357">
        <v>0</v>
      </c>
      <c r="AZ268" s="357">
        <v>1947240</v>
      </c>
      <c r="BA268" s="357">
        <v>736813</v>
      </c>
      <c r="BB268" s="357">
        <v>0</v>
      </c>
      <c r="BC268" s="357">
        <v>0</v>
      </c>
      <c r="BD268" s="357">
        <v>736813</v>
      </c>
      <c r="BE268" s="357">
        <v>3749837</v>
      </c>
      <c r="BF268" s="357">
        <v>0</v>
      </c>
      <c r="BG268" s="357">
        <v>0</v>
      </c>
      <c r="BH268" s="357">
        <v>3749837</v>
      </c>
      <c r="BI268" s="357">
        <v>35938</v>
      </c>
      <c r="BJ268" s="357">
        <v>0</v>
      </c>
      <c r="BK268" s="357">
        <v>0</v>
      </c>
      <c r="BL268" s="357">
        <v>35938</v>
      </c>
      <c r="BM268" s="357">
        <v>9760</v>
      </c>
      <c r="BN268" s="357">
        <v>0</v>
      </c>
      <c r="BO268" s="357">
        <v>0</v>
      </c>
      <c r="BP268" s="357">
        <v>9760</v>
      </c>
      <c r="BQ268" s="357">
        <v>4532348</v>
      </c>
      <c r="BR268" s="357">
        <v>0</v>
      </c>
      <c r="BS268" s="357">
        <v>0</v>
      </c>
      <c r="BT268" s="357">
        <v>289821</v>
      </c>
      <c r="BU268" s="357">
        <v>0</v>
      </c>
      <c r="BV268" s="357">
        <v>0</v>
      </c>
      <c r="BW268" s="357">
        <v>4822169</v>
      </c>
      <c r="BX268" s="357">
        <v>0</v>
      </c>
      <c r="BY268" s="357">
        <v>0</v>
      </c>
      <c r="BZ268" s="357">
        <v>4822169</v>
      </c>
      <c r="CA268" s="357">
        <v>250000</v>
      </c>
      <c r="CB268" s="357">
        <v>0</v>
      </c>
      <c r="CC268" s="357">
        <v>0</v>
      </c>
      <c r="CD268" s="357">
        <v>250000</v>
      </c>
      <c r="CE268" s="357">
        <v>2200000</v>
      </c>
      <c r="CF268" s="357">
        <v>0</v>
      </c>
      <c r="CG268" s="357">
        <v>0</v>
      </c>
      <c r="CH268" s="357">
        <v>2200000</v>
      </c>
      <c r="CI268" s="357">
        <v>2450000</v>
      </c>
      <c r="CJ268" s="357">
        <v>0</v>
      </c>
      <c r="CK268" s="357">
        <v>0</v>
      </c>
      <c r="CL268" s="357">
        <v>0</v>
      </c>
      <c r="CM268" s="357">
        <v>0</v>
      </c>
      <c r="CN268" s="357">
        <v>0</v>
      </c>
      <c r="CO268" s="357">
        <v>2450000</v>
      </c>
      <c r="CP268" s="357">
        <v>0</v>
      </c>
      <c r="CQ268" s="357">
        <v>0</v>
      </c>
      <c r="CR268" s="357">
        <v>2450000</v>
      </c>
      <c r="CS268" s="357">
        <v>182639</v>
      </c>
      <c r="CT268" s="357">
        <v>0</v>
      </c>
      <c r="CU268" s="357">
        <v>0</v>
      </c>
      <c r="CV268" s="357">
        <v>182639</v>
      </c>
      <c r="CW268" s="357">
        <v>85432</v>
      </c>
      <c r="CX268" s="357">
        <v>0</v>
      </c>
      <c r="CY268" s="357">
        <v>0</v>
      </c>
      <c r="CZ268" s="357">
        <v>85432</v>
      </c>
      <c r="DA268" s="357">
        <v>9203</v>
      </c>
      <c r="DB268" s="357">
        <v>0</v>
      </c>
      <c r="DC268" s="357">
        <v>0</v>
      </c>
      <c r="DD268" s="357">
        <v>9203</v>
      </c>
      <c r="DE268" s="357">
        <v>9761</v>
      </c>
      <c r="DF268" s="357">
        <v>0</v>
      </c>
      <c r="DG268" s="357">
        <v>0</v>
      </c>
      <c r="DH268" s="357">
        <v>9761</v>
      </c>
      <c r="DI268" s="357">
        <v>0</v>
      </c>
      <c r="DJ268" s="357">
        <v>0</v>
      </c>
      <c r="DK268" s="357">
        <v>0</v>
      </c>
      <c r="DL268" s="357">
        <v>0</v>
      </c>
      <c r="DM268" s="357">
        <v>125000</v>
      </c>
      <c r="DN268" s="357">
        <v>0</v>
      </c>
      <c r="DO268" s="357">
        <v>118142</v>
      </c>
      <c r="DP268" s="357">
        <v>243142</v>
      </c>
      <c r="DQ268" s="357">
        <v>412035</v>
      </c>
      <c r="DR268" s="357">
        <v>0</v>
      </c>
      <c r="DS268" s="357">
        <v>118142</v>
      </c>
      <c r="DT268" s="357">
        <v>0</v>
      </c>
      <c r="DU268" s="357">
        <v>0</v>
      </c>
      <c r="DV268" s="357">
        <v>0</v>
      </c>
      <c r="DW268" s="357">
        <v>412035</v>
      </c>
      <c r="DX268" s="357">
        <v>0</v>
      </c>
      <c r="DY268" s="357">
        <v>118142</v>
      </c>
      <c r="DZ268" s="357">
        <v>530177</v>
      </c>
      <c r="EA268" s="357">
        <v>46083</v>
      </c>
      <c r="EB268" s="357">
        <v>72059</v>
      </c>
      <c r="EC268" s="357">
        <v>0</v>
      </c>
      <c r="ED268" s="357">
        <v>0</v>
      </c>
      <c r="EE268" s="357">
        <v>0</v>
      </c>
      <c r="EF268" s="357">
        <v>0</v>
      </c>
      <c r="EG268" s="357">
        <v>560631</v>
      </c>
      <c r="EH268" s="357">
        <v>0</v>
      </c>
      <c r="EI268" s="357">
        <v>0</v>
      </c>
      <c r="EJ268" s="357">
        <v>560631</v>
      </c>
      <c r="EK268" s="357">
        <v>1500000</v>
      </c>
      <c r="EL268" s="357">
        <v>0</v>
      </c>
      <c r="EM268" s="357">
        <v>0</v>
      </c>
      <c r="EN268" s="357">
        <v>1500000</v>
      </c>
      <c r="EO268" s="357">
        <v>2060631</v>
      </c>
      <c r="EP268" s="357">
        <v>0</v>
      </c>
      <c r="EQ268" s="357">
        <v>0</v>
      </c>
      <c r="ER268" s="357">
        <v>0</v>
      </c>
      <c r="ES268" s="357">
        <v>0</v>
      </c>
      <c r="ET268" s="357">
        <v>0</v>
      </c>
      <c r="EU268" s="357">
        <v>2060631</v>
      </c>
      <c r="EV268" s="357">
        <v>0</v>
      </c>
      <c r="EW268" s="357">
        <v>0</v>
      </c>
      <c r="EX268" s="357">
        <v>2060631</v>
      </c>
      <c r="EY268" s="357">
        <v>82124323</v>
      </c>
      <c r="EZ268" s="357">
        <v>0</v>
      </c>
      <c r="FA268" s="357">
        <v>937275</v>
      </c>
      <c r="FB268" s="357">
        <v>83061598</v>
      </c>
      <c r="FC268" s="277">
        <v>0</v>
      </c>
      <c r="FD268" s="205"/>
    </row>
    <row r="269" spans="1:160" ht="12.75">
      <c r="A269" s="169">
        <v>262</v>
      </c>
      <c r="B269" s="172" t="s">
        <v>454</v>
      </c>
      <c r="C269" s="258" t="s">
        <v>455</v>
      </c>
      <c r="D269" s="235">
        <v>41639</v>
      </c>
      <c r="E269" s="357">
        <v>214216096</v>
      </c>
      <c r="F269" s="357">
        <v>0</v>
      </c>
      <c r="G269" s="357">
        <v>0</v>
      </c>
      <c r="H269" s="357">
        <v>214216096</v>
      </c>
      <c r="I269" s="357">
        <v>100895781</v>
      </c>
      <c r="J269" s="357">
        <v>0</v>
      </c>
      <c r="K269" s="357">
        <v>0</v>
      </c>
      <c r="L269" s="357">
        <v>-225000</v>
      </c>
      <c r="M269" s="357">
        <v>0</v>
      </c>
      <c r="N269" s="357">
        <v>0</v>
      </c>
      <c r="O269" s="357">
        <v>100670781</v>
      </c>
      <c r="P269" s="357">
        <v>0</v>
      </c>
      <c r="Q269" s="357">
        <v>0</v>
      </c>
      <c r="R269" s="357">
        <v>100670781</v>
      </c>
      <c r="S269" s="357">
        <v>101192</v>
      </c>
      <c r="T269" s="357">
        <v>0</v>
      </c>
      <c r="U269" s="357">
        <v>0</v>
      </c>
      <c r="V269" s="357">
        <v>101192</v>
      </c>
      <c r="W269" s="357">
        <v>47732</v>
      </c>
      <c r="X269" s="357">
        <v>0</v>
      </c>
      <c r="Y269" s="357">
        <v>0</v>
      </c>
      <c r="Z269" s="357">
        <v>47732</v>
      </c>
      <c r="AA269" s="357">
        <v>53460</v>
      </c>
      <c r="AB269" s="357">
        <v>0</v>
      </c>
      <c r="AC269" s="357">
        <v>0</v>
      </c>
      <c r="AD269" s="357">
        <v>0</v>
      </c>
      <c r="AE269" s="357">
        <v>0</v>
      </c>
      <c r="AF269" s="357">
        <v>0</v>
      </c>
      <c r="AG269" s="357">
        <v>53460</v>
      </c>
      <c r="AH269" s="357">
        <v>0</v>
      </c>
      <c r="AI269" s="357">
        <v>0</v>
      </c>
      <c r="AJ269" s="357">
        <v>53460</v>
      </c>
      <c r="AK269" s="357">
        <v>53460</v>
      </c>
      <c r="AL269" s="357">
        <v>0</v>
      </c>
      <c r="AM269" s="357">
        <v>0</v>
      </c>
      <c r="AN269" s="357">
        <v>53460</v>
      </c>
      <c r="AO269" s="357">
        <v>5690766</v>
      </c>
      <c r="AP269" s="357">
        <v>0</v>
      </c>
      <c r="AQ269" s="357">
        <v>0</v>
      </c>
      <c r="AR269" s="357">
        <v>5690766</v>
      </c>
      <c r="AS269" s="357">
        <v>8000</v>
      </c>
      <c r="AT269" s="357">
        <v>0</v>
      </c>
      <c r="AU269" s="357">
        <v>0</v>
      </c>
      <c r="AV269" s="357">
        <v>8000</v>
      </c>
      <c r="AW269" s="357">
        <v>2034671</v>
      </c>
      <c r="AX269" s="357">
        <v>0</v>
      </c>
      <c r="AY269" s="357">
        <v>0</v>
      </c>
      <c r="AZ269" s="357">
        <v>2034671</v>
      </c>
      <c r="BA269" s="357">
        <v>3656095</v>
      </c>
      <c r="BB269" s="357">
        <v>0</v>
      </c>
      <c r="BC269" s="357">
        <v>0</v>
      </c>
      <c r="BD269" s="357">
        <v>3656095</v>
      </c>
      <c r="BE269" s="357">
        <v>4330234</v>
      </c>
      <c r="BF269" s="357">
        <v>0</v>
      </c>
      <c r="BG269" s="357">
        <v>0</v>
      </c>
      <c r="BH269" s="357">
        <v>4330234</v>
      </c>
      <c r="BI269" s="357">
        <v>53031</v>
      </c>
      <c r="BJ269" s="357">
        <v>0</v>
      </c>
      <c r="BK269" s="357">
        <v>0</v>
      </c>
      <c r="BL269" s="357">
        <v>53031</v>
      </c>
      <c r="BM269" s="357">
        <v>0</v>
      </c>
      <c r="BN269" s="357">
        <v>0</v>
      </c>
      <c r="BO269" s="357">
        <v>0</v>
      </c>
      <c r="BP269" s="357">
        <v>0</v>
      </c>
      <c r="BQ269" s="357">
        <v>8039360</v>
      </c>
      <c r="BR269" s="357">
        <v>0</v>
      </c>
      <c r="BS269" s="357">
        <v>0</v>
      </c>
      <c r="BT269" s="357">
        <v>264329</v>
      </c>
      <c r="BU269" s="357">
        <v>0</v>
      </c>
      <c r="BV269" s="357">
        <v>0</v>
      </c>
      <c r="BW269" s="357">
        <v>8303689</v>
      </c>
      <c r="BX269" s="357">
        <v>0</v>
      </c>
      <c r="BY269" s="357">
        <v>0</v>
      </c>
      <c r="BZ269" s="357">
        <v>8303689</v>
      </c>
      <c r="CA269" s="357">
        <v>71054</v>
      </c>
      <c r="CB269" s="357">
        <v>0</v>
      </c>
      <c r="CC269" s="357">
        <v>0</v>
      </c>
      <c r="CD269" s="357">
        <v>71054</v>
      </c>
      <c r="CE269" s="357">
        <v>4609762</v>
      </c>
      <c r="CF269" s="357">
        <v>0</v>
      </c>
      <c r="CG269" s="357">
        <v>0</v>
      </c>
      <c r="CH269" s="357">
        <v>4609762</v>
      </c>
      <c r="CI269" s="357">
        <v>4680816</v>
      </c>
      <c r="CJ269" s="357">
        <v>0</v>
      </c>
      <c r="CK269" s="357">
        <v>0</v>
      </c>
      <c r="CL269" s="357">
        <v>0</v>
      </c>
      <c r="CM269" s="357">
        <v>0</v>
      </c>
      <c r="CN269" s="357">
        <v>0</v>
      </c>
      <c r="CO269" s="357">
        <v>4680816</v>
      </c>
      <c r="CP269" s="357">
        <v>0</v>
      </c>
      <c r="CQ269" s="357">
        <v>0</v>
      </c>
      <c r="CR269" s="357">
        <v>4680816</v>
      </c>
      <c r="CS269" s="357">
        <v>135738</v>
      </c>
      <c r="CT269" s="357">
        <v>0</v>
      </c>
      <c r="CU269" s="357">
        <v>0</v>
      </c>
      <c r="CV269" s="357">
        <v>135738</v>
      </c>
      <c r="CW269" s="357">
        <v>200894</v>
      </c>
      <c r="CX269" s="357">
        <v>0</v>
      </c>
      <c r="CY269" s="357">
        <v>0</v>
      </c>
      <c r="CZ269" s="357">
        <v>200894</v>
      </c>
      <c r="DA269" s="357">
        <v>4753</v>
      </c>
      <c r="DB269" s="357">
        <v>0</v>
      </c>
      <c r="DC269" s="357">
        <v>0</v>
      </c>
      <c r="DD269" s="357">
        <v>4753</v>
      </c>
      <c r="DE269" s="357">
        <v>0</v>
      </c>
      <c r="DF269" s="357">
        <v>0</v>
      </c>
      <c r="DG269" s="357">
        <v>0</v>
      </c>
      <c r="DH269" s="357">
        <v>0</v>
      </c>
      <c r="DI269" s="357">
        <v>0</v>
      </c>
      <c r="DJ269" s="357">
        <v>0</v>
      </c>
      <c r="DK269" s="357">
        <v>0</v>
      </c>
      <c r="DL269" s="357">
        <v>0</v>
      </c>
      <c r="DM269" s="357">
        <v>0</v>
      </c>
      <c r="DN269" s="357">
        <v>0</v>
      </c>
      <c r="DO269" s="357">
        <v>0</v>
      </c>
      <c r="DP269" s="357">
        <v>0</v>
      </c>
      <c r="DQ269" s="357">
        <v>341385</v>
      </c>
      <c r="DR269" s="357">
        <v>0</v>
      </c>
      <c r="DS269" s="357">
        <v>0</v>
      </c>
      <c r="DT269" s="357">
        <v>0</v>
      </c>
      <c r="DU269" s="357">
        <v>0</v>
      </c>
      <c r="DV269" s="357">
        <v>0</v>
      </c>
      <c r="DW269" s="357">
        <v>341385</v>
      </c>
      <c r="DX269" s="357">
        <v>0</v>
      </c>
      <c r="DY269" s="357">
        <v>0</v>
      </c>
      <c r="DZ269" s="357">
        <v>341385</v>
      </c>
      <c r="EA269" s="357">
        <v>0</v>
      </c>
      <c r="EB269" s="357">
        <v>0</v>
      </c>
      <c r="EC269" s="357">
        <v>0</v>
      </c>
      <c r="ED269" s="357">
        <v>0</v>
      </c>
      <c r="EE269" s="357">
        <v>0</v>
      </c>
      <c r="EF269" s="357">
        <v>0</v>
      </c>
      <c r="EG269" s="357">
        <v>74000</v>
      </c>
      <c r="EH269" s="357">
        <v>0</v>
      </c>
      <c r="EI269" s="357">
        <v>0</v>
      </c>
      <c r="EJ269" s="357">
        <v>74000</v>
      </c>
      <c r="EK269" s="357">
        <v>825000</v>
      </c>
      <c r="EL269" s="357">
        <v>0</v>
      </c>
      <c r="EM269" s="357">
        <v>0</v>
      </c>
      <c r="EN269" s="357">
        <v>825000</v>
      </c>
      <c r="EO269" s="357">
        <v>899000</v>
      </c>
      <c r="EP269" s="357">
        <v>0</v>
      </c>
      <c r="EQ269" s="357">
        <v>0</v>
      </c>
      <c r="ER269" s="357">
        <v>0</v>
      </c>
      <c r="ES269" s="357">
        <v>0</v>
      </c>
      <c r="ET269" s="357">
        <v>0</v>
      </c>
      <c r="EU269" s="357">
        <v>899000</v>
      </c>
      <c r="EV269" s="357">
        <v>0</v>
      </c>
      <c r="EW269" s="357">
        <v>0</v>
      </c>
      <c r="EX269" s="357">
        <v>899000</v>
      </c>
      <c r="EY269" s="357">
        <v>86392431</v>
      </c>
      <c r="EZ269" s="357">
        <v>0</v>
      </c>
      <c r="FA269" s="357">
        <v>0</v>
      </c>
      <c r="FB269" s="357">
        <v>86392431</v>
      </c>
      <c r="FC269" s="277">
        <v>0</v>
      </c>
      <c r="FD269" s="205"/>
    </row>
    <row r="270" spans="1:160" ht="12.75">
      <c r="A270" s="169">
        <v>263</v>
      </c>
      <c r="B270" s="172" t="s">
        <v>456</v>
      </c>
      <c r="C270" s="258" t="s">
        <v>457</v>
      </c>
      <c r="D270" s="235">
        <v>41639</v>
      </c>
      <c r="E270" s="357">
        <v>132327814</v>
      </c>
      <c r="F270" s="357">
        <v>0</v>
      </c>
      <c r="G270" s="357">
        <v>0</v>
      </c>
      <c r="H270" s="357">
        <v>132327814</v>
      </c>
      <c r="I270" s="357">
        <v>62326400</v>
      </c>
      <c r="J270" s="357">
        <v>0</v>
      </c>
      <c r="K270" s="357">
        <v>0</v>
      </c>
      <c r="L270" s="357">
        <v>800000</v>
      </c>
      <c r="M270" s="357">
        <v>0</v>
      </c>
      <c r="N270" s="357">
        <v>0</v>
      </c>
      <c r="O270" s="357">
        <v>63126400</v>
      </c>
      <c r="P270" s="357">
        <v>0</v>
      </c>
      <c r="Q270" s="357">
        <v>0</v>
      </c>
      <c r="R270" s="357">
        <v>63126400</v>
      </c>
      <c r="S270" s="357">
        <v>50086.24</v>
      </c>
      <c r="T270" s="357">
        <v>0</v>
      </c>
      <c r="U270" s="357">
        <v>0</v>
      </c>
      <c r="V270" s="357">
        <v>50086.24</v>
      </c>
      <c r="W270" s="357">
        <v>-6612.17</v>
      </c>
      <c r="X270" s="357">
        <v>0</v>
      </c>
      <c r="Y270" s="357">
        <v>0</v>
      </c>
      <c r="Z270" s="357">
        <v>-6612.17</v>
      </c>
      <c r="AA270" s="357">
        <v>56698.41</v>
      </c>
      <c r="AB270" s="357">
        <v>0</v>
      </c>
      <c r="AC270" s="357">
        <v>0</v>
      </c>
      <c r="AD270" s="357">
        <v>0</v>
      </c>
      <c r="AE270" s="357">
        <v>0</v>
      </c>
      <c r="AF270" s="357">
        <v>0</v>
      </c>
      <c r="AG270" s="357">
        <v>56698.41</v>
      </c>
      <c r="AH270" s="357">
        <v>0</v>
      </c>
      <c r="AI270" s="357">
        <v>0</v>
      </c>
      <c r="AJ270" s="357">
        <v>56698.41</v>
      </c>
      <c r="AK270" s="357">
        <v>56698.41</v>
      </c>
      <c r="AL270" s="357">
        <v>0</v>
      </c>
      <c r="AM270" s="357">
        <v>0</v>
      </c>
      <c r="AN270" s="357">
        <v>56698.41</v>
      </c>
      <c r="AO270" s="357">
        <v>3202691</v>
      </c>
      <c r="AP270" s="357">
        <v>0</v>
      </c>
      <c r="AQ270" s="357">
        <v>0</v>
      </c>
      <c r="AR270" s="357">
        <v>3202691</v>
      </c>
      <c r="AS270" s="357">
        <v>0</v>
      </c>
      <c r="AT270" s="357">
        <v>0</v>
      </c>
      <c r="AU270" s="357">
        <v>0</v>
      </c>
      <c r="AV270" s="357">
        <v>0</v>
      </c>
      <c r="AW270" s="357">
        <v>1232120</v>
      </c>
      <c r="AX270" s="357">
        <v>0</v>
      </c>
      <c r="AY270" s="357">
        <v>0</v>
      </c>
      <c r="AZ270" s="357">
        <v>1232120</v>
      </c>
      <c r="BA270" s="357">
        <v>1970571</v>
      </c>
      <c r="BB270" s="357">
        <v>0</v>
      </c>
      <c r="BC270" s="357">
        <v>0</v>
      </c>
      <c r="BD270" s="357">
        <v>1970571</v>
      </c>
      <c r="BE270" s="357">
        <v>3770796</v>
      </c>
      <c r="BF270" s="357">
        <v>0</v>
      </c>
      <c r="BG270" s="357">
        <v>0</v>
      </c>
      <c r="BH270" s="357">
        <v>3770796</v>
      </c>
      <c r="BI270" s="357">
        <v>90722</v>
      </c>
      <c r="BJ270" s="357">
        <v>0</v>
      </c>
      <c r="BK270" s="357">
        <v>0</v>
      </c>
      <c r="BL270" s="357">
        <v>90722</v>
      </c>
      <c r="BM270" s="357">
        <v>39435</v>
      </c>
      <c r="BN270" s="357">
        <v>0</v>
      </c>
      <c r="BO270" s="357">
        <v>0</v>
      </c>
      <c r="BP270" s="357">
        <v>39435</v>
      </c>
      <c r="BQ270" s="357">
        <v>5871524</v>
      </c>
      <c r="BR270" s="357">
        <v>0</v>
      </c>
      <c r="BS270" s="357">
        <v>0</v>
      </c>
      <c r="BT270" s="357">
        <v>0</v>
      </c>
      <c r="BU270" s="357">
        <v>0</v>
      </c>
      <c r="BV270" s="357">
        <v>0</v>
      </c>
      <c r="BW270" s="357">
        <v>5871524</v>
      </c>
      <c r="BX270" s="357">
        <v>0</v>
      </c>
      <c r="BY270" s="357">
        <v>0</v>
      </c>
      <c r="BZ270" s="357">
        <v>5871524</v>
      </c>
      <c r="CA270" s="357">
        <v>40000</v>
      </c>
      <c r="CB270" s="357">
        <v>0</v>
      </c>
      <c r="CC270" s="357">
        <v>0</v>
      </c>
      <c r="CD270" s="357">
        <v>40000</v>
      </c>
      <c r="CE270" s="357">
        <v>1408201</v>
      </c>
      <c r="CF270" s="357">
        <v>0</v>
      </c>
      <c r="CG270" s="357">
        <v>0</v>
      </c>
      <c r="CH270" s="357">
        <v>1408201</v>
      </c>
      <c r="CI270" s="357">
        <v>1448201</v>
      </c>
      <c r="CJ270" s="357">
        <v>0</v>
      </c>
      <c r="CK270" s="357">
        <v>0</v>
      </c>
      <c r="CL270" s="357">
        <v>0</v>
      </c>
      <c r="CM270" s="357">
        <v>0</v>
      </c>
      <c r="CN270" s="357">
        <v>0</v>
      </c>
      <c r="CO270" s="357">
        <v>1448201</v>
      </c>
      <c r="CP270" s="357">
        <v>0</v>
      </c>
      <c r="CQ270" s="357">
        <v>0</v>
      </c>
      <c r="CR270" s="357">
        <v>1448201</v>
      </c>
      <c r="CS270" s="357">
        <v>9401</v>
      </c>
      <c r="CT270" s="357">
        <v>0</v>
      </c>
      <c r="CU270" s="357">
        <v>0</v>
      </c>
      <c r="CV270" s="357">
        <v>9401</v>
      </c>
      <c r="CW270" s="357">
        <v>9215</v>
      </c>
      <c r="CX270" s="357">
        <v>0</v>
      </c>
      <c r="CY270" s="357">
        <v>0</v>
      </c>
      <c r="CZ270" s="357">
        <v>9215</v>
      </c>
      <c r="DA270" s="357">
        <v>0</v>
      </c>
      <c r="DB270" s="357">
        <v>0</v>
      </c>
      <c r="DC270" s="357">
        <v>0</v>
      </c>
      <c r="DD270" s="357">
        <v>0</v>
      </c>
      <c r="DE270" s="357">
        <v>6843</v>
      </c>
      <c r="DF270" s="357">
        <v>0</v>
      </c>
      <c r="DG270" s="357">
        <v>0</v>
      </c>
      <c r="DH270" s="357">
        <v>6843</v>
      </c>
      <c r="DI270" s="357">
        <v>0</v>
      </c>
      <c r="DJ270" s="357">
        <v>0</v>
      </c>
      <c r="DK270" s="357">
        <v>0</v>
      </c>
      <c r="DL270" s="357">
        <v>0</v>
      </c>
      <c r="DM270" s="357">
        <v>0</v>
      </c>
      <c r="DN270" s="357">
        <v>0</v>
      </c>
      <c r="DO270" s="357">
        <v>0</v>
      </c>
      <c r="DP270" s="357">
        <v>0</v>
      </c>
      <c r="DQ270" s="357">
        <v>25459</v>
      </c>
      <c r="DR270" s="357">
        <v>0</v>
      </c>
      <c r="DS270" s="357">
        <v>0</v>
      </c>
      <c r="DT270" s="357">
        <v>0</v>
      </c>
      <c r="DU270" s="357">
        <v>0</v>
      </c>
      <c r="DV270" s="357">
        <v>0</v>
      </c>
      <c r="DW270" s="357">
        <v>25459</v>
      </c>
      <c r="DX270" s="357">
        <v>0</v>
      </c>
      <c r="DY270" s="357">
        <v>0</v>
      </c>
      <c r="DZ270" s="357">
        <v>25459</v>
      </c>
      <c r="EA270" s="357">
        <v>0</v>
      </c>
      <c r="EB270" s="357">
        <v>0</v>
      </c>
      <c r="EC270" s="357">
        <v>0</v>
      </c>
      <c r="ED270" s="357">
        <v>0</v>
      </c>
      <c r="EE270" s="357">
        <v>0</v>
      </c>
      <c r="EF270" s="357">
        <v>0</v>
      </c>
      <c r="EG270" s="357">
        <v>0</v>
      </c>
      <c r="EH270" s="357">
        <v>0</v>
      </c>
      <c r="EI270" s="357">
        <v>0</v>
      </c>
      <c r="EJ270" s="357">
        <v>0</v>
      </c>
      <c r="EK270" s="357">
        <v>734000</v>
      </c>
      <c r="EL270" s="357">
        <v>0</v>
      </c>
      <c r="EM270" s="357">
        <v>0</v>
      </c>
      <c r="EN270" s="357">
        <v>734000</v>
      </c>
      <c r="EO270" s="357">
        <v>734000</v>
      </c>
      <c r="EP270" s="357">
        <v>0</v>
      </c>
      <c r="EQ270" s="357">
        <v>0</v>
      </c>
      <c r="ER270" s="357">
        <v>0</v>
      </c>
      <c r="ES270" s="357">
        <v>0</v>
      </c>
      <c r="ET270" s="357">
        <v>0</v>
      </c>
      <c r="EU270" s="357">
        <v>734000</v>
      </c>
      <c r="EV270" s="357">
        <v>0</v>
      </c>
      <c r="EW270" s="357">
        <v>0</v>
      </c>
      <c r="EX270" s="357">
        <v>734000</v>
      </c>
      <c r="EY270" s="357">
        <v>54990517.6</v>
      </c>
      <c r="EZ270" s="357">
        <v>0</v>
      </c>
      <c r="FA270" s="357">
        <v>0</v>
      </c>
      <c r="FB270" s="357">
        <v>54990517.6</v>
      </c>
      <c r="FC270" s="277">
        <v>0</v>
      </c>
      <c r="FD270" s="205"/>
    </row>
    <row r="271" spans="1:160" ht="12.75">
      <c r="A271" s="169">
        <v>264</v>
      </c>
      <c r="B271" s="172" t="s">
        <v>458</v>
      </c>
      <c r="C271" s="258" t="s">
        <v>459</v>
      </c>
      <c r="D271" s="235">
        <v>41654</v>
      </c>
      <c r="E271" s="357">
        <v>65630261</v>
      </c>
      <c r="F271" s="357">
        <v>0</v>
      </c>
      <c r="G271" s="357">
        <v>0</v>
      </c>
      <c r="H271" s="357">
        <v>65630261</v>
      </c>
      <c r="I271" s="357">
        <v>30911853</v>
      </c>
      <c r="J271" s="357">
        <v>0</v>
      </c>
      <c r="K271" s="357">
        <v>0</v>
      </c>
      <c r="L271" s="357">
        <v>282600</v>
      </c>
      <c r="M271" s="357">
        <v>0</v>
      </c>
      <c r="N271" s="357">
        <v>0</v>
      </c>
      <c r="O271" s="357">
        <v>31194453</v>
      </c>
      <c r="P271" s="357">
        <v>0</v>
      </c>
      <c r="Q271" s="357">
        <v>0</v>
      </c>
      <c r="R271" s="357">
        <v>31194453</v>
      </c>
      <c r="S271" s="357">
        <v>37408</v>
      </c>
      <c r="T271" s="357">
        <v>0</v>
      </c>
      <c r="U271" s="357">
        <v>0</v>
      </c>
      <c r="V271" s="357">
        <v>37408</v>
      </c>
      <c r="W271" s="357">
        <v>7407</v>
      </c>
      <c r="X271" s="357">
        <v>0</v>
      </c>
      <c r="Y271" s="357">
        <v>0</v>
      </c>
      <c r="Z271" s="357">
        <v>7407</v>
      </c>
      <c r="AA271" s="357">
        <v>30001</v>
      </c>
      <c r="AB271" s="357">
        <v>0</v>
      </c>
      <c r="AC271" s="357">
        <v>0</v>
      </c>
      <c r="AD271" s="357">
        <v>0</v>
      </c>
      <c r="AE271" s="357">
        <v>0</v>
      </c>
      <c r="AF271" s="357">
        <v>0</v>
      </c>
      <c r="AG271" s="357">
        <v>30001</v>
      </c>
      <c r="AH271" s="357">
        <v>0</v>
      </c>
      <c r="AI271" s="357">
        <v>0</v>
      </c>
      <c r="AJ271" s="357">
        <v>30001</v>
      </c>
      <c r="AK271" s="357">
        <v>30001</v>
      </c>
      <c r="AL271" s="357">
        <v>0</v>
      </c>
      <c r="AM271" s="357">
        <v>0</v>
      </c>
      <c r="AN271" s="357">
        <v>30001</v>
      </c>
      <c r="AO271" s="357">
        <v>2040900</v>
      </c>
      <c r="AP271" s="357">
        <v>0</v>
      </c>
      <c r="AQ271" s="357">
        <v>0</v>
      </c>
      <c r="AR271" s="357">
        <v>2040900</v>
      </c>
      <c r="AS271" s="357">
        <v>14000</v>
      </c>
      <c r="AT271" s="357">
        <v>0</v>
      </c>
      <c r="AU271" s="357">
        <v>0</v>
      </c>
      <c r="AV271" s="357">
        <v>14000</v>
      </c>
      <c r="AW271" s="357">
        <v>564159</v>
      </c>
      <c r="AX271" s="357">
        <v>0</v>
      </c>
      <c r="AY271" s="357">
        <v>0</v>
      </c>
      <c r="AZ271" s="357">
        <v>564159</v>
      </c>
      <c r="BA271" s="357">
        <v>1476741</v>
      </c>
      <c r="BB271" s="357">
        <v>0</v>
      </c>
      <c r="BC271" s="357">
        <v>0</v>
      </c>
      <c r="BD271" s="357">
        <v>1476741</v>
      </c>
      <c r="BE271" s="357">
        <v>2038559</v>
      </c>
      <c r="BF271" s="357">
        <v>0</v>
      </c>
      <c r="BG271" s="357">
        <v>0</v>
      </c>
      <c r="BH271" s="357">
        <v>2038559</v>
      </c>
      <c r="BI271" s="357">
        <v>55085</v>
      </c>
      <c r="BJ271" s="357">
        <v>0</v>
      </c>
      <c r="BK271" s="357">
        <v>0</v>
      </c>
      <c r="BL271" s="357">
        <v>55085</v>
      </c>
      <c r="BM271" s="357">
        <v>43239</v>
      </c>
      <c r="BN271" s="357">
        <v>0</v>
      </c>
      <c r="BO271" s="357">
        <v>0</v>
      </c>
      <c r="BP271" s="357">
        <v>43239</v>
      </c>
      <c r="BQ271" s="357">
        <v>3613624</v>
      </c>
      <c r="BR271" s="357">
        <v>0</v>
      </c>
      <c r="BS271" s="357">
        <v>0</v>
      </c>
      <c r="BT271" s="357">
        <v>0</v>
      </c>
      <c r="BU271" s="357">
        <v>0</v>
      </c>
      <c r="BV271" s="357">
        <v>0</v>
      </c>
      <c r="BW271" s="357">
        <v>3613624</v>
      </c>
      <c r="BX271" s="357">
        <v>0</v>
      </c>
      <c r="BY271" s="357">
        <v>0</v>
      </c>
      <c r="BZ271" s="357">
        <v>3613624</v>
      </c>
      <c r="CA271" s="357">
        <v>90000</v>
      </c>
      <c r="CB271" s="357">
        <v>0</v>
      </c>
      <c r="CC271" s="357">
        <v>0</v>
      </c>
      <c r="CD271" s="357">
        <v>90000</v>
      </c>
      <c r="CE271" s="357">
        <v>1000000</v>
      </c>
      <c r="CF271" s="357">
        <v>0</v>
      </c>
      <c r="CG271" s="357">
        <v>0</v>
      </c>
      <c r="CH271" s="357">
        <v>1000000</v>
      </c>
      <c r="CI271" s="357">
        <v>1090000</v>
      </c>
      <c r="CJ271" s="357">
        <v>0</v>
      </c>
      <c r="CK271" s="357">
        <v>0</v>
      </c>
      <c r="CL271" s="357">
        <v>0</v>
      </c>
      <c r="CM271" s="357">
        <v>0</v>
      </c>
      <c r="CN271" s="357">
        <v>0</v>
      </c>
      <c r="CO271" s="357">
        <v>1090000</v>
      </c>
      <c r="CP271" s="357">
        <v>0</v>
      </c>
      <c r="CQ271" s="357">
        <v>0</v>
      </c>
      <c r="CR271" s="357">
        <v>1090000</v>
      </c>
      <c r="CS271" s="357">
        <v>94272</v>
      </c>
      <c r="CT271" s="357">
        <v>0</v>
      </c>
      <c r="CU271" s="357">
        <v>0</v>
      </c>
      <c r="CV271" s="357">
        <v>94272</v>
      </c>
      <c r="CW271" s="357">
        <v>14506</v>
      </c>
      <c r="CX271" s="357">
        <v>0</v>
      </c>
      <c r="CY271" s="357">
        <v>0</v>
      </c>
      <c r="CZ271" s="357">
        <v>14506</v>
      </c>
      <c r="DA271" s="357">
        <v>0</v>
      </c>
      <c r="DB271" s="357">
        <v>0</v>
      </c>
      <c r="DC271" s="357">
        <v>0</v>
      </c>
      <c r="DD271" s="357">
        <v>0</v>
      </c>
      <c r="DE271" s="357">
        <v>3157</v>
      </c>
      <c r="DF271" s="357">
        <v>0</v>
      </c>
      <c r="DG271" s="357">
        <v>0</v>
      </c>
      <c r="DH271" s="357">
        <v>3157</v>
      </c>
      <c r="DI271" s="357">
        <v>0</v>
      </c>
      <c r="DJ271" s="357">
        <v>0</v>
      </c>
      <c r="DK271" s="357">
        <v>0</v>
      </c>
      <c r="DL271" s="357">
        <v>0</v>
      </c>
      <c r="DM271" s="357">
        <v>0</v>
      </c>
      <c r="DN271" s="357">
        <v>0</v>
      </c>
      <c r="DO271" s="357">
        <v>0</v>
      </c>
      <c r="DP271" s="357">
        <v>0</v>
      </c>
      <c r="DQ271" s="357">
        <v>111935</v>
      </c>
      <c r="DR271" s="357">
        <v>0</v>
      </c>
      <c r="DS271" s="357">
        <v>0</v>
      </c>
      <c r="DT271" s="357">
        <v>0</v>
      </c>
      <c r="DU271" s="357">
        <v>0</v>
      </c>
      <c r="DV271" s="357">
        <v>0</v>
      </c>
      <c r="DW271" s="357">
        <v>111935</v>
      </c>
      <c r="DX271" s="357">
        <v>0</v>
      </c>
      <c r="DY271" s="357">
        <v>0</v>
      </c>
      <c r="DZ271" s="357">
        <v>111935</v>
      </c>
      <c r="EA271" s="357">
        <v>0</v>
      </c>
      <c r="EB271" s="357">
        <v>0</v>
      </c>
      <c r="EC271" s="357">
        <v>0</v>
      </c>
      <c r="ED271" s="357">
        <v>0</v>
      </c>
      <c r="EE271" s="357">
        <v>0</v>
      </c>
      <c r="EF271" s="357">
        <v>0</v>
      </c>
      <c r="EG271" s="357">
        <v>50000</v>
      </c>
      <c r="EH271" s="357">
        <v>0</v>
      </c>
      <c r="EI271" s="357">
        <v>0</v>
      </c>
      <c r="EJ271" s="357">
        <v>50000</v>
      </c>
      <c r="EK271" s="357">
        <v>550000</v>
      </c>
      <c r="EL271" s="357">
        <v>0</v>
      </c>
      <c r="EM271" s="357">
        <v>0</v>
      </c>
      <c r="EN271" s="357">
        <v>550000</v>
      </c>
      <c r="EO271" s="357">
        <v>600000</v>
      </c>
      <c r="EP271" s="357">
        <v>0</v>
      </c>
      <c r="EQ271" s="357">
        <v>0</v>
      </c>
      <c r="ER271" s="357">
        <v>0</v>
      </c>
      <c r="ES271" s="357">
        <v>0</v>
      </c>
      <c r="ET271" s="357">
        <v>0</v>
      </c>
      <c r="EU271" s="357">
        <v>600000</v>
      </c>
      <c r="EV271" s="357">
        <v>0</v>
      </c>
      <c r="EW271" s="357">
        <v>0</v>
      </c>
      <c r="EX271" s="357">
        <v>600000</v>
      </c>
      <c r="EY271" s="357">
        <v>25748893</v>
      </c>
      <c r="EZ271" s="357">
        <v>0</v>
      </c>
      <c r="FA271" s="357">
        <v>0</v>
      </c>
      <c r="FB271" s="357">
        <v>25748893</v>
      </c>
      <c r="FC271" s="277">
        <v>0</v>
      </c>
      <c r="FD271" s="205"/>
    </row>
    <row r="272" spans="1:160" ht="12.75">
      <c r="A272" s="169">
        <v>265</v>
      </c>
      <c r="B272" s="172" t="s">
        <v>460</v>
      </c>
      <c r="C272" s="258" t="s">
        <v>461</v>
      </c>
      <c r="D272" s="235">
        <v>41639</v>
      </c>
      <c r="E272" s="357">
        <v>159129902</v>
      </c>
      <c r="F272" s="357">
        <v>0</v>
      </c>
      <c r="G272" s="357">
        <v>0</v>
      </c>
      <c r="H272" s="357">
        <v>159129902</v>
      </c>
      <c r="I272" s="357">
        <v>74950184</v>
      </c>
      <c r="J272" s="357">
        <v>0</v>
      </c>
      <c r="K272" s="357">
        <v>0</v>
      </c>
      <c r="L272" s="357">
        <v>-1638800</v>
      </c>
      <c r="M272" s="357">
        <v>0</v>
      </c>
      <c r="N272" s="357">
        <v>0</v>
      </c>
      <c r="O272" s="357">
        <v>73311384</v>
      </c>
      <c r="P272" s="357">
        <v>0</v>
      </c>
      <c r="Q272" s="357">
        <v>0</v>
      </c>
      <c r="R272" s="357">
        <v>73311384</v>
      </c>
      <c r="S272" s="357">
        <v>16986323.3</v>
      </c>
      <c r="T272" s="357">
        <v>0</v>
      </c>
      <c r="U272" s="357">
        <v>0</v>
      </c>
      <c r="V272" s="357">
        <v>16986323.3</v>
      </c>
      <c r="W272" s="357">
        <v>5575.66</v>
      </c>
      <c r="X272" s="357">
        <v>0</v>
      </c>
      <c r="Y272" s="357">
        <v>0</v>
      </c>
      <c r="Z272" s="357">
        <v>5575.66</v>
      </c>
      <c r="AA272" s="357">
        <v>16980747.6</v>
      </c>
      <c r="AB272" s="357">
        <v>0</v>
      </c>
      <c r="AC272" s="357">
        <v>0</v>
      </c>
      <c r="AD272" s="357">
        <v>0</v>
      </c>
      <c r="AE272" s="357">
        <v>0</v>
      </c>
      <c r="AF272" s="357">
        <v>0</v>
      </c>
      <c r="AG272" s="357">
        <v>16980747.6</v>
      </c>
      <c r="AH272" s="357">
        <v>0</v>
      </c>
      <c r="AI272" s="357">
        <v>0</v>
      </c>
      <c r="AJ272" s="357">
        <v>16980747.6</v>
      </c>
      <c r="AK272" s="357">
        <v>16980747.6</v>
      </c>
      <c r="AL272" s="357">
        <v>0</v>
      </c>
      <c r="AM272" s="357">
        <v>0</v>
      </c>
      <c r="AN272" s="357">
        <v>16980747.6</v>
      </c>
      <c r="AO272" s="357">
        <v>3398981.91</v>
      </c>
      <c r="AP272" s="357">
        <v>0</v>
      </c>
      <c r="AQ272" s="357">
        <v>0</v>
      </c>
      <c r="AR272" s="357">
        <v>3398981.91</v>
      </c>
      <c r="AS272" s="357">
        <v>0</v>
      </c>
      <c r="AT272" s="357">
        <v>0</v>
      </c>
      <c r="AU272" s="357">
        <v>0</v>
      </c>
      <c r="AV272" s="357">
        <v>0</v>
      </c>
      <c r="AW272" s="357">
        <v>1545293.2</v>
      </c>
      <c r="AX272" s="357">
        <v>0</v>
      </c>
      <c r="AY272" s="357">
        <v>0</v>
      </c>
      <c r="AZ272" s="357">
        <v>1545293.2</v>
      </c>
      <c r="BA272" s="357">
        <v>1853688.71</v>
      </c>
      <c r="BB272" s="357">
        <v>0</v>
      </c>
      <c r="BC272" s="357">
        <v>0</v>
      </c>
      <c r="BD272" s="357">
        <v>1853688.71</v>
      </c>
      <c r="BE272" s="357">
        <v>2229969</v>
      </c>
      <c r="BF272" s="357">
        <v>0</v>
      </c>
      <c r="BG272" s="357">
        <v>0</v>
      </c>
      <c r="BH272" s="357">
        <v>2229969</v>
      </c>
      <c r="BI272" s="357">
        <v>39021</v>
      </c>
      <c r="BJ272" s="357">
        <v>0</v>
      </c>
      <c r="BK272" s="357">
        <v>0</v>
      </c>
      <c r="BL272" s="357">
        <v>39021</v>
      </c>
      <c r="BM272" s="357">
        <v>67858.32</v>
      </c>
      <c r="BN272" s="357">
        <v>0</v>
      </c>
      <c r="BO272" s="357">
        <v>0</v>
      </c>
      <c r="BP272" s="357">
        <v>67858.32</v>
      </c>
      <c r="BQ272" s="357">
        <v>4190537.03</v>
      </c>
      <c r="BR272" s="357">
        <v>0</v>
      </c>
      <c r="BS272" s="357">
        <v>0</v>
      </c>
      <c r="BT272" s="357">
        <v>0</v>
      </c>
      <c r="BU272" s="357">
        <v>0</v>
      </c>
      <c r="BV272" s="357">
        <v>0</v>
      </c>
      <c r="BW272" s="357">
        <v>4190537.03</v>
      </c>
      <c r="BX272" s="357">
        <v>0</v>
      </c>
      <c r="BY272" s="357">
        <v>0</v>
      </c>
      <c r="BZ272" s="357">
        <v>4190537.03</v>
      </c>
      <c r="CA272" s="357">
        <v>0</v>
      </c>
      <c r="CB272" s="357">
        <v>0</v>
      </c>
      <c r="CC272" s="357">
        <v>0</v>
      </c>
      <c r="CD272" s="357">
        <v>0</v>
      </c>
      <c r="CE272" s="357">
        <v>1080856.63</v>
      </c>
      <c r="CF272" s="357">
        <v>0</v>
      </c>
      <c r="CG272" s="357">
        <v>0</v>
      </c>
      <c r="CH272" s="357">
        <v>1080856.63</v>
      </c>
      <c r="CI272" s="357">
        <v>1080856.63</v>
      </c>
      <c r="CJ272" s="357">
        <v>0</v>
      </c>
      <c r="CK272" s="357">
        <v>0</v>
      </c>
      <c r="CL272" s="357">
        <v>0</v>
      </c>
      <c r="CM272" s="357">
        <v>0</v>
      </c>
      <c r="CN272" s="357">
        <v>0</v>
      </c>
      <c r="CO272" s="357">
        <v>1080856.63</v>
      </c>
      <c r="CP272" s="357">
        <v>0</v>
      </c>
      <c r="CQ272" s="357">
        <v>0</v>
      </c>
      <c r="CR272" s="357">
        <v>1080856.63</v>
      </c>
      <c r="CS272" s="357">
        <v>47977</v>
      </c>
      <c r="CT272" s="357">
        <v>0</v>
      </c>
      <c r="CU272" s="357">
        <v>0</v>
      </c>
      <c r="CV272" s="357">
        <v>47977</v>
      </c>
      <c r="CW272" s="357">
        <v>301363.09</v>
      </c>
      <c r="CX272" s="357">
        <v>0</v>
      </c>
      <c r="CY272" s="357">
        <v>0</v>
      </c>
      <c r="CZ272" s="357">
        <v>301363.09</v>
      </c>
      <c r="DA272" s="357">
        <v>481.48</v>
      </c>
      <c r="DB272" s="357">
        <v>0</v>
      </c>
      <c r="DC272" s="357">
        <v>0</v>
      </c>
      <c r="DD272" s="357">
        <v>481.48</v>
      </c>
      <c r="DE272" s="357">
        <v>14756.86</v>
      </c>
      <c r="DF272" s="357">
        <v>0</v>
      </c>
      <c r="DG272" s="357">
        <v>0</v>
      </c>
      <c r="DH272" s="357">
        <v>14756.86</v>
      </c>
      <c r="DI272" s="357">
        <v>11422.66</v>
      </c>
      <c r="DJ272" s="357">
        <v>0</v>
      </c>
      <c r="DK272" s="357">
        <v>0</v>
      </c>
      <c r="DL272" s="357">
        <v>11422.66</v>
      </c>
      <c r="DM272" s="357">
        <v>0</v>
      </c>
      <c r="DN272" s="357">
        <v>0</v>
      </c>
      <c r="DO272" s="357">
        <v>0</v>
      </c>
      <c r="DP272" s="357">
        <v>0</v>
      </c>
      <c r="DQ272" s="357">
        <v>376001.09</v>
      </c>
      <c r="DR272" s="357">
        <v>0</v>
      </c>
      <c r="DS272" s="357">
        <v>0</v>
      </c>
      <c r="DT272" s="357">
        <v>0</v>
      </c>
      <c r="DU272" s="357">
        <v>0</v>
      </c>
      <c r="DV272" s="357">
        <v>0</v>
      </c>
      <c r="DW272" s="357">
        <v>376001.09</v>
      </c>
      <c r="DX272" s="357">
        <v>0</v>
      </c>
      <c r="DY272" s="357">
        <v>0</v>
      </c>
      <c r="DZ272" s="357">
        <v>376001.09</v>
      </c>
      <c r="EA272" s="357">
        <v>0</v>
      </c>
      <c r="EB272" s="357">
        <v>0</v>
      </c>
      <c r="EC272" s="357">
        <v>0</v>
      </c>
      <c r="ED272" s="357">
        <v>0</v>
      </c>
      <c r="EE272" s="357">
        <v>0</v>
      </c>
      <c r="EF272" s="357">
        <v>0</v>
      </c>
      <c r="EG272" s="357">
        <v>36892.28</v>
      </c>
      <c r="EH272" s="357">
        <v>0</v>
      </c>
      <c r="EI272" s="357">
        <v>0</v>
      </c>
      <c r="EJ272" s="357">
        <v>36892.28</v>
      </c>
      <c r="EK272" s="357">
        <v>602584.53</v>
      </c>
      <c r="EL272" s="357">
        <v>0</v>
      </c>
      <c r="EM272" s="357">
        <v>0</v>
      </c>
      <c r="EN272" s="357">
        <v>602584.53</v>
      </c>
      <c r="EO272" s="357">
        <v>639476.81</v>
      </c>
      <c r="EP272" s="357">
        <v>0</v>
      </c>
      <c r="EQ272" s="357">
        <v>0</v>
      </c>
      <c r="ER272" s="357">
        <v>0</v>
      </c>
      <c r="ES272" s="357">
        <v>0</v>
      </c>
      <c r="ET272" s="357">
        <v>0</v>
      </c>
      <c r="EU272" s="357">
        <v>639476.81</v>
      </c>
      <c r="EV272" s="357">
        <v>0</v>
      </c>
      <c r="EW272" s="357">
        <v>0</v>
      </c>
      <c r="EX272" s="357">
        <v>639476.81</v>
      </c>
      <c r="EY272" s="357">
        <v>50043764.8</v>
      </c>
      <c r="EZ272" s="357">
        <v>0</v>
      </c>
      <c r="FA272" s="357">
        <v>0</v>
      </c>
      <c r="FB272" s="357">
        <v>50043764.8</v>
      </c>
      <c r="FC272" s="277">
        <v>0</v>
      </c>
      <c r="FD272" s="205"/>
    </row>
    <row r="273" spans="1:160" ht="12.75">
      <c r="A273" s="169">
        <v>266</v>
      </c>
      <c r="B273" s="172" t="s">
        <v>462</v>
      </c>
      <c r="C273" s="258" t="s">
        <v>463</v>
      </c>
      <c r="D273" s="235">
        <v>220114</v>
      </c>
      <c r="E273" s="357">
        <v>219551513</v>
      </c>
      <c r="F273" s="357">
        <v>0</v>
      </c>
      <c r="G273" s="357">
        <v>1752000</v>
      </c>
      <c r="H273" s="357">
        <v>221303513</v>
      </c>
      <c r="I273" s="357">
        <v>103408763</v>
      </c>
      <c r="J273" s="357">
        <v>0</v>
      </c>
      <c r="K273" s="357">
        <v>825192</v>
      </c>
      <c r="L273" s="357">
        <v>-1453251</v>
      </c>
      <c r="M273" s="357">
        <v>0</v>
      </c>
      <c r="N273" s="357">
        <v>0</v>
      </c>
      <c r="O273" s="357">
        <v>101955512</v>
      </c>
      <c r="P273" s="357">
        <v>0</v>
      </c>
      <c r="Q273" s="357">
        <v>825192</v>
      </c>
      <c r="R273" s="357">
        <v>102780704</v>
      </c>
      <c r="S273" s="357">
        <v>95514</v>
      </c>
      <c r="T273" s="357">
        <v>0</v>
      </c>
      <c r="U273" s="357">
        <v>0</v>
      </c>
      <c r="V273" s="357">
        <v>95514</v>
      </c>
      <c r="W273" s="357">
        <v>14419</v>
      </c>
      <c r="X273" s="357">
        <v>0</v>
      </c>
      <c r="Y273" s="357">
        <v>0</v>
      </c>
      <c r="Z273" s="357">
        <v>14419</v>
      </c>
      <c r="AA273" s="357">
        <v>81095</v>
      </c>
      <c r="AB273" s="357">
        <v>0</v>
      </c>
      <c r="AC273" s="357">
        <v>0</v>
      </c>
      <c r="AD273" s="357">
        <v>0</v>
      </c>
      <c r="AE273" s="357">
        <v>0</v>
      </c>
      <c r="AF273" s="357">
        <v>0</v>
      </c>
      <c r="AG273" s="357">
        <v>81095</v>
      </c>
      <c r="AH273" s="357">
        <v>0</v>
      </c>
      <c r="AI273" s="357">
        <v>0</v>
      </c>
      <c r="AJ273" s="357">
        <v>81095</v>
      </c>
      <c r="AK273" s="357">
        <v>81095</v>
      </c>
      <c r="AL273" s="357">
        <v>0</v>
      </c>
      <c r="AM273" s="357">
        <v>0</v>
      </c>
      <c r="AN273" s="357">
        <v>81095</v>
      </c>
      <c r="AO273" s="357">
        <v>4240708</v>
      </c>
      <c r="AP273" s="357">
        <v>0</v>
      </c>
      <c r="AQ273" s="357">
        <v>0</v>
      </c>
      <c r="AR273" s="357">
        <v>4240708</v>
      </c>
      <c r="AS273" s="357">
        <v>55440</v>
      </c>
      <c r="AT273" s="357">
        <v>0</v>
      </c>
      <c r="AU273" s="357">
        <v>0</v>
      </c>
      <c r="AV273" s="357">
        <v>55440</v>
      </c>
      <c r="AW273" s="357">
        <v>2137690</v>
      </c>
      <c r="AX273" s="357">
        <v>0</v>
      </c>
      <c r="AY273" s="357">
        <v>19272</v>
      </c>
      <c r="AZ273" s="357">
        <v>2156962</v>
      </c>
      <c r="BA273" s="357">
        <v>2103018</v>
      </c>
      <c r="BB273" s="357">
        <v>0</v>
      </c>
      <c r="BC273" s="357">
        <v>-19272</v>
      </c>
      <c r="BD273" s="357">
        <v>2083746</v>
      </c>
      <c r="BE273" s="357">
        <v>5088289</v>
      </c>
      <c r="BF273" s="357">
        <v>0</v>
      </c>
      <c r="BG273" s="357">
        <v>0</v>
      </c>
      <c r="BH273" s="357">
        <v>5088289</v>
      </c>
      <c r="BI273" s="357">
        <v>33123</v>
      </c>
      <c r="BJ273" s="357">
        <v>0</v>
      </c>
      <c r="BK273" s="357">
        <v>0</v>
      </c>
      <c r="BL273" s="357">
        <v>33123</v>
      </c>
      <c r="BM273" s="357">
        <v>1675</v>
      </c>
      <c r="BN273" s="357">
        <v>0</v>
      </c>
      <c r="BO273" s="357">
        <v>0</v>
      </c>
      <c r="BP273" s="357">
        <v>1675</v>
      </c>
      <c r="BQ273" s="357">
        <v>7226105</v>
      </c>
      <c r="BR273" s="357">
        <v>0</v>
      </c>
      <c r="BS273" s="357">
        <v>-19272</v>
      </c>
      <c r="BT273" s="357">
        <v>600000</v>
      </c>
      <c r="BU273" s="357">
        <v>0</v>
      </c>
      <c r="BV273" s="357">
        <v>0</v>
      </c>
      <c r="BW273" s="357">
        <v>7826105</v>
      </c>
      <c r="BX273" s="357">
        <v>0</v>
      </c>
      <c r="BY273" s="357">
        <v>-19272</v>
      </c>
      <c r="BZ273" s="357">
        <v>7806833</v>
      </c>
      <c r="CA273" s="357">
        <v>250000</v>
      </c>
      <c r="CB273" s="357">
        <v>0</v>
      </c>
      <c r="CC273" s="357">
        <v>0</v>
      </c>
      <c r="CD273" s="357">
        <v>250000</v>
      </c>
      <c r="CE273" s="357">
        <v>2063633</v>
      </c>
      <c r="CF273" s="357">
        <v>0</v>
      </c>
      <c r="CG273" s="357">
        <v>0</v>
      </c>
      <c r="CH273" s="357">
        <v>2063633</v>
      </c>
      <c r="CI273" s="357">
        <v>2313633</v>
      </c>
      <c r="CJ273" s="357">
        <v>0</v>
      </c>
      <c r="CK273" s="357">
        <v>0</v>
      </c>
      <c r="CL273" s="357">
        <v>988873</v>
      </c>
      <c r="CM273" s="357">
        <v>0</v>
      </c>
      <c r="CN273" s="357">
        <v>0</v>
      </c>
      <c r="CO273" s="357">
        <v>3302506</v>
      </c>
      <c r="CP273" s="357">
        <v>0</v>
      </c>
      <c r="CQ273" s="357">
        <v>0</v>
      </c>
      <c r="CR273" s="357">
        <v>3302506</v>
      </c>
      <c r="CS273" s="357">
        <v>58451</v>
      </c>
      <c r="CT273" s="357">
        <v>0</v>
      </c>
      <c r="CU273" s="357">
        <v>0</v>
      </c>
      <c r="CV273" s="357">
        <v>58451</v>
      </c>
      <c r="CW273" s="357">
        <v>119253</v>
      </c>
      <c r="CX273" s="357">
        <v>0</v>
      </c>
      <c r="CY273" s="357">
        <v>0</v>
      </c>
      <c r="CZ273" s="357">
        <v>119253</v>
      </c>
      <c r="DA273" s="357">
        <v>578</v>
      </c>
      <c r="DB273" s="357">
        <v>0</v>
      </c>
      <c r="DC273" s="357">
        <v>0</v>
      </c>
      <c r="DD273" s="357">
        <v>578</v>
      </c>
      <c r="DE273" s="357">
        <v>0</v>
      </c>
      <c r="DF273" s="357">
        <v>0</v>
      </c>
      <c r="DG273" s="357">
        <v>0</v>
      </c>
      <c r="DH273" s="357">
        <v>0</v>
      </c>
      <c r="DI273" s="357">
        <v>0</v>
      </c>
      <c r="DJ273" s="357">
        <v>0</v>
      </c>
      <c r="DK273" s="357">
        <v>0</v>
      </c>
      <c r="DL273" s="357">
        <v>0</v>
      </c>
      <c r="DM273" s="357">
        <v>0</v>
      </c>
      <c r="DN273" s="357">
        <v>0</v>
      </c>
      <c r="DO273" s="357">
        <v>0</v>
      </c>
      <c r="DP273" s="357">
        <v>0</v>
      </c>
      <c r="DQ273" s="357">
        <v>178282</v>
      </c>
      <c r="DR273" s="357">
        <v>0</v>
      </c>
      <c r="DS273" s="357">
        <v>0</v>
      </c>
      <c r="DT273" s="357">
        <v>0</v>
      </c>
      <c r="DU273" s="357">
        <v>0</v>
      </c>
      <c r="DV273" s="357">
        <v>0</v>
      </c>
      <c r="DW273" s="357">
        <v>178282</v>
      </c>
      <c r="DX273" s="357">
        <v>0</v>
      </c>
      <c r="DY273" s="357">
        <v>0</v>
      </c>
      <c r="DZ273" s="357">
        <v>178282</v>
      </c>
      <c r="EA273" s="357">
        <v>0</v>
      </c>
      <c r="EB273" s="357">
        <v>33740</v>
      </c>
      <c r="EC273" s="357">
        <v>0</v>
      </c>
      <c r="ED273" s="357">
        <v>0</v>
      </c>
      <c r="EE273" s="357">
        <v>0</v>
      </c>
      <c r="EF273" s="357">
        <v>0</v>
      </c>
      <c r="EG273" s="357">
        <v>66627</v>
      </c>
      <c r="EH273" s="357">
        <v>0</v>
      </c>
      <c r="EI273" s="357">
        <v>0</v>
      </c>
      <c r="EJ273" s="357">
        <v>66627</v>
      </c>
      <c r="EK273" s="357">
        <v>730000</v>
      </c>
      <c r="EL273" s="357">
        <v>0</v>
      </c>
      <c r="EM273" s="357">
        <v>0</v>
      </c>
      <c r="EN273" s="357">
        <v>730000</v>
      </c>
      <c r="EO273" s="357">
        <v>796627</v>
      </c>
      <c r="EP273" s="357">
        <v>0</v>
      </c>
      <c r="EQ273" s="357">
        <v>0</v>
      </c>
      <c r="ER273" s="357">
        <v>0</v>
      </c>
      <c r="ES273" s="357">
        <v>0</v>
      </c>
      <c r="ET273" s="357">
        <v>0</v>
      </c>
      <c r="EU273" s="357">
        <v>796627</v>
      </c>
      <c r="EV273" s="357">
        <v>0</v>
      </c>
      <c r="EW273" s="357">
        <v>0</v>
      </c>
      <c r="EX273" s="357">
        <v>796627</v>
      </c>
      <c r="EY273" s="357">
        <v>89770897</v>
      </c>
      <c r="EZ273" s="357">
        <v>0</v>
      </c>
      <c r="FA273" s="357">
        <v>844464</v>
      </c>
      <c r="FB273" s="357">
        <v>90615361</v>
      </c>
      <c r="FC273" s="277">
        <v>0</v>
      </c>
      <c r="FD273" s="205"/>
    </row>
    <row r="274" spans="1:160" ht="12.75">
      <c r="A274" s="169">
        <v>267</v>
      </c>
      <c r="B274" s="172" t="s">
        <v>464</v>
      </c>
      <c r="C274" s="258" t="s">
        <v>465</v>
      </c>
      <c r="D274" s="235">
        <v>41550</v>
      </c>
      <c r="E274" s="357">
        <v>83967565</v>
      </c>
      <c r="F274" s="357">
        <v>0</v>
      </c>
      <c r="G274" s="357">
        <v>0</v>
      </c>
      <c r="H274" s="357">
        <v>83967565</v>
      </c>
      <c r="I274" s="357">
        <v>39548723</v>
      </c>
      <c r="J274" s="357">
        <v>0</v>
      </c>
      <c r="K274" s="357">
        <v>0</v>
      </c>
      <c r="L274" s="357">
        <v>-2600979</v>
      </c>
      <c r="M274" s="357">
        <v>0</v>
      </c>
      <c r="N274" s="357">
        <v>0</v>
      </c>
      <c r="O274" s="357">
        <v>36947744</v>
      </c>
      <c r="P274" s="357">
        <v>0</v>
      </c>
      <c r="Q274" s="357">
        <v>0</v>
      </c>
      <c r="R274" s="357">
        <v>36947744</v>
      </c>
      <c r="S274" s="357">
        <v>17084</v>
      </c>
      <c r="T274" s="357">
        <v>0</v>
      </c>
      <c r="U274" s="357">
        <v>0</v>
      </c>
      <c r="V274" s="357">
        <v>17084</v>
      </c>
      <c r="W274" s="357">
        <v>410277</v>
      </c>
      <c r="X274" s="357">
        <v>0</v>
      </c>
      <c r="Y274" s="357">
        <v>0</v>
      </c>
      <c r="Z274" s="357">
        <v>410277</v>
      </c>
      <c r="AA274" s="357">
        <v>-393193</v>
      </c>
      <c r="AB274" s="357">
        <v>0</v>
      </c>
      <c r="AC274" s="357">
        <v>0</v>
      </c>
      <c r="AD274" s="357">
        <v>0</v>
      </c>
      <c r="AE274" s="357">
        <v>0</v>
      </c>
      <c r="AF274" s="357">
        <v>0</v>
      </c>
      <c r="AG274" s="357">
        <v>-393193</v>
      </c>
      <c r="AH274" s="357">
        <v>0</v>
      </c>
      <c r="AI274" s="357">
        <v>0</v>
      </c>
      <c r="AJ274" s="357">
        <v>-393193</v>
      </c>
      <c r="AK274" s="357">
        <v>-393193</v>
      </c>
      <c r="AL274" s="357">
        <v>0</v>
      </c>
      <c r="AM274" s="357">
        <v>0</v>
      </c>
      <c r="AN274" s="357">
        <v>-393193</v>
      </c>
      <c r="AO274" s="357">
        <v>1192081</v>
      </c>
      <c r="AP274" s="357">
        <v>0</v>
      </c>
      <c r="AQ274" s="357">
        <v>0</v>
      </c>
      <c r="AR274" s="357">
        <v>1192081</v>
      </c>
      <c r="AS274" s="357">
        <v>1000</v>
      </c>
      <c r="AT274" s="357">
        <v>0</v>
      </c>
      <c r="AU274" s="357">
        <v>0</v>
      </c>
      <c r="AV274" s="357">
        <v>1000</v>
      </c>
      <c r="AW274" s="357">
        <v>821744</v>
      </c>
      <c r="AX274" s="357">
        <v>0</v>
      </c>
      <c r="AY274" s="357">
        <v>0</v>
      </c>
      <c r="AZ274" s="357">
        <v>821744</v>
      </c>
      <c r="BA274" s="357">
        <v>370337</v>
      </c>
      <c r="BB274" s="357">
        <v>0</v>
      </c>
      <c r="BC274" s="357">
        <v>0</v>
      </c>
      <c r="BD274" s="357">
        <v>370337</v>
      </c>
      <c r="BE274" s="357">
        <v>1302746</v>
      </c>
      <c r="BF274" s="357">
        <v>0</v>
      </c>
      <c r="BG274" s="357">
        <v>0</v>
      </c>
      <c r="BH274" s="357">
        <v>1302746</v>
      </c>
      <c r="BI274" s="357">
        <v>5640</v>
      </c>
      <c r="BJ274" s="357">
        <v>0</v>
      </c>
      <c r="BK274" s="357">
        <v>0</v>
      </c>
      <c r="BL274" s="357">
        <v>5640</v>
      </c>
      <c r="BM274" s="357">
        <v>0</v>
      </c>
      <c r="BN274" s="357">
        <v>0</v>
      </c>
      <c r="BO274" s="357">
        <v>0</v>
      </c>
      <c r="BP274" s="357">
        <v>0</v>
      </c>
      <c r="BQ274" s="357">
        <v>1678723</v>
      </c>
      <c r="BR274" s="357">
        <v>0</v>
      </c>
      <c r="BS274" s="357">
        <v>0</v>
      </c>
      <c r="BT274" s="357">
        <v>0</v>
      </c>
      <c r="BU274" s="357">
        <v>0</v>
      </c>
      <c r="BV274" s="357">
        <v>0</v>
      </c>
      <c r="BW274" s="357">
        <v>1678723</v>
      </c>
      <c r="BX274" s="357">
        <v>0</v>
      </c>
      <c r="BY274" s="357">
        <v>0</v>
      </c>
      <c r="BZ274" s="357">
        <v>1678723</v>
      </c>
      <c r="CA274" s="357">
        <v>50000</v>
      </c>
      <c r="CB274" s="357">
        <v>0</v>
      </c>
      <c r="CC274" s="357">
        <v>0</v>
      </c>
      <c r="CD274" s="357">
        <v>50000</v>
      </c>
      <c r="CE274" s="357">
        <v>855870</v>
      </c>
      <c r="CF274" s="357">
        <v>0</v>
      </c>
      <c r="CG274" s="357">
        <v>0</v>
      </c>
      <c r="CH274" s="357">
        <v>855870</v>
      </c>
      <c r="CI274" s="357">
        <v>905870</v>
      </c>
      <c r="CJ274" s="357">
        <v>0</v>
      </c>
      <c r="CK274" s="357">
        <v>0</v>
      </c>
      <c r="CL274" s="357">
        <v>50000</v>
      </c>
      <c r="CM274" s="357">
        <v>0</v>
      </c>
      <c r="CN274" s="357">
        <v>0</v>
      </c>
      <c r="CO274" s="357">
        <v>955870</v>
      </c>
      <c r="CP274" s="357">
        <v>0</v>
      </c>
      <c r="CQ274" s="357">
        <v>0</v>
      </c>
      <c r="CR274" s="357">
        <v>955870</v>
      </c>
      <c r="CS274" s="357">
        <v>225166</v>
      </c>
      <c r="CT274" s="357">
        <v>0</v>
      </c>
      <c r="CU274" s="357">
        <v>0</v>
      </c>
      <c r="CV274" s="357">
        <v>225166</v>
      </c>
      <c r="CW274" s="357">
        <v>70422</v>
      </c>
      <c r="CX274" s="357">
        <v>0</v>
      </c>
      <c r="CY274" s="357">
        <v>0</v>
      </c>
      <c r="CZ274" s="357">
        <v>70422</v>
      </c>
      <c r="DA274" s="357">
        <v>1410</v>
      </c>
      <c r="DB274" s="357">
        <v>0</v>
      </c>
      <c r="DC274" s="357">
        <v>0</v>
      </c>
      <c r="DD274" s="357">
        <v>1410</v>
      </c>
      <c r="DE274" s="357">
        <v>0</v>
      </c>
      <c r="DF274" s="357">
        <v>0</v>
      </c>
      <c r="DG274" s="357">
        <v>0</v>
      </c>
      <c r="DH274" s="357">
        <v>0</v>
      </c>
      <c r="DI274" s="357">
        <v>0</v>
      </c>
      <c r="DJ274" s="357">
        <v>0</v>
      </c>
      <c r="DK274" s="357">
        <v>0</v>
      </c>
      <c r="DL274" s="357">
        <v>0</v>
      </c>
      <c r="DM274" s="357">
        <v>0</v>
      </c>
      <c r="DN274" s="357">
        <v>0</v>
      </c>
      <c r="DO274" s="357">
        <v>0</v>
      </c>
      <c r="DP274" s="357">
        <v>0</v>
      </c>
      <c r="DQ274" s="357">
        <v>296998</v>
      </c>
      <c r="DR274" s="357">
        <v>0</v>
      </c>
      <c r="DS274" s="357">
        <v>0</v>
      </c>
      <c r="DT274" s="357">
        <v>0</v>
      </c>
      <c r="DU274" s="357">
        <v>0</v>
      </c>
      <c r="DV274" s="357">
        <v>0</v>
      </c>
      <c r="DW274" s="357">
        <v>296998</v>
      </c>
      <c r="DX274" s="357">
        <v>0</v>
      </c>
      <c r="DY274" s="357">
        <v>0</v>
      </c>
      <c r="DZ274" s="357">
        <v>296998</v>
      </c>
      <c r="EA274" s="357">
        <v>0</v>
      </c>
      <c r="EB274" s="357">
        <v>0</v>
      </c>
      <c r="EC274" s="357">
        <v>20000</v>
      </c>
      <c r="ED274" s="357">
        <v>0</v>
      </c>
      <c r="EE274" s="357">
        <v>0</v>
      </c>
      <c r="EF274" s="357">
        <v>20000</v>
      </c>
      <c r="EG274" s="357">
        <v>10000</v>
      </c>
      <c r="EH274" s="357">
        <v>0</v>
      </c>
      <c r="EI274" s="357">
        <v>0</v>
      </c>
      <c r="EJ274" s="357">
        <v>10000</v>
      </c>
      <c r="EK274" s="357">
        <v>541000</v>
      </c>
      <c r="EL274" s="357">
        <v>0</v>
      </c>
      <c r="EM274" s="357">
        <v>0</v>
      </c>
      <c r="EN274" s="357">
        <v>541000</v>
      </c>
      <c r="EO274" s="357">
        <v>571000</v>
      </c>
      <c r="EP274" s="357">
        <v>0</v>
      </c>
      <c r="EQ274" s="357">
        <v>0</v>
      </c>
      <c r="ER274" s="357">
        <v>0</v>
      </c>
      <c r="ES274" s="357">
        <v>0</v>
      </c>
      <c r="ET274" s="357">
        <v>0</v>
      </c>
      <c r="EU274" s="357">
        <v>571000</v>
      </c>
      <c r="EV274" s="357">
        <v>0</v>
      </c>
      <c r="EW274" s="357">
        <v>0</v>
      </c>
      <c r="EX274" s="357">
        <v>571000</v>
      </c>
      <c r="EY274" s="357">
        <v>33838346</v>
      </c>
      <c r="EZ274" s="357">
        <v>0</v>
      </c>
      <c r="FA274" s="357">
        <v>0</v>
      </c>
      <c r="FB274" s="357">
        <v>33838346</v>
      </c>
      <c r="FC274" s="277">
        <v>0</v>
      </c>
      <c r="FD274" s="205"/>
    </row>
    <row r="275" spans="1:160" ht="12.75">
      <c r="A275" s="169">
        <v>268</v>
      </c>
      <c r="B275" s="172" t="s">
        <v>466</v>
      </c>
      <c r="C275" s="258" t="s">
        <v>467</v>
      </c>
      <c r="D275" s="235">
        <v>41639</v>
      </c>
      <c r="E275" s="357">
        <v>131485107</v>
      </c>
      <c r="F275" s="357">
        <v>0</v>
      </c>
      <c r="G275" s="357">
        <v>0</v>
      </c>
      <c r="H275" s="357">
        <v>131485107</v>
      </c>
      <c r="I275" s="357">
        <v>61929485</v>
      </c>
      <c r="J275" s="357">
        <v>0</v>
      </c>
      <c r="K275" s="357">
        <v>0</v>
      </c>
      <c r="L275" s="357">
        <v>0</v>
      </c>
      <c r="M275" s="357">
        <v>0</v>
      </c>
      <c r="N275" s="357">
        <v>0</v>
      </c>
      <c r="O275" s="357">
        <v>61929485</v>
      </c>
      <c r="P275" s="357">
        <v>0</v>
      </c>
      <c r="Q275" s="357">
        <v>0</v>
      </c>
      <c r="R275" s="357">
        <v>61929485</v>
      </c>
      <c r="S275" s="357">
        <v>26858</v>
      </c>
      <c r="T275" s="357">
        <v>0</v>
      </c>
      <c r="U275" s="357">
        <v>0</v>
      </c>
      <c r="V275" s="357">
        <v>26858</v>
      </c>
      <c r="W275" s="357">
        <v>18629</v>
      </c>
      <c r="X275" s="357">
        <v>0</v>
      </c>
      <c r="Y275" s="357">
        <v>0</v>
      </c>
      <c r="Z275" s="357">
        <v>18629</v>
      </c>
      <c r="AA275" s="357">
        <v>8229</v>
      </c>
      <c r="AB275" s="357">
        <v>0</v>
      </c>
      <c r="AC275" s="357">
        <v>0</v>
      </c>
      <c r="AD275" s="357">
        <v>0</v>
      </c>
      <c r="AE275" s="357">
        <v>0</v>
      </c>
      <c r="AF275" s="357">
        <v>0</v>
      </c>
      <c r="AG275" s="357">
        <v>8229</v>
      </c>
      <c r="AH275" s="357">
        <v>0</v>
      </c>
      <c r="AI275" s="357">
        <v>0</v>
      </c>
      <c r="AJ275" s="357">
        <v>8229</v>
      </c>
      <c r="AK275" s="357">
        <v>8229</v>
      </c>
      <c r="AL275" s="357">
        <v>0</v>
      </c>
      <c r="AM275" s="357">
        <v>0</v>
      </c>
      <c r="AN275" s="357">
        <v>8229</v>
      </c>
      <c r="AO275" s="357">
        <v>2650292</v>
      </c>
      <c r="AP275" s="357">
        <v>0</v>
      </c>
      <c r="AQ275" s="357">
        <v>0</v>
      </c>
      <c r="AR275" s="357">
        <v>2650292</v>
      </c>
      <c r="AS275" s="357">
        <v>50000</v>
      </c>
      <c r="AT275" s="357">
        <v>0</v>
      </c>
      <c r="AU275" s="357">
        <v>0</v>
      </c>
      <c r="AV275" s="357">
        <v>50000</v>
      </c>
      <c r="AW275" s="357">
        <v>1183697</v>
      </c>
      <c r="AX275" s="357">
        <v>0</v>
      </c>
      <c r="AY275" s="357">
        <v>0</v>
      </c>
      <c r="AZ275" s="357">
        <v>1183697</v>
      </c>
      <c r="BA275" s="357">
        <v>1466595</v>
      </c>
      <c r="BB275" s="357">
        <v>0</v>
      </c>
      <c r="BC275" s="357">
        <v>0</v>
      </c>
      <c r="BD275" s="357">
        <v>1466595</v>
      </c>
      <c r="BE275" s="357">
        <v>4524968</v>
      </c>
      <c r="BF275" s="357">
        <v>0</v>
      </c>
      <c r="BG275" s="357">
        <v>0</v>
      </c>
      <c r="BH275" s="357">
        <v>4524968</v>
      </c>
      <c r="BI275" s="357">
        <v>18605</v>
      </c>
      <c r="BJ275" s="357">
        <v>0</v>
      </c>
      <c r="BK275" s="357">
        <v>0</v>
      </c>
      <c r="BL275" s="357">
        <v>18605</v>
      </c>
      <c r="BM275" s="357">
        <v>0</v>
      </c>
      <c r="BN275" s="357">
        <v>0</v>
      </c>
      <c r="BO275" s="357">
        <v>0</v>
      </c>
      <c r="BP275" s="357">
        <v>0</v>
      </c>
      <c r="BQ275" s="357">
        <v>6010168</v>
      </c>
      <c r="BR275" s="357">
        <v>0</v>
      </c>
      <c r="BS275" s="357">
        <v>0</v>
      </c>
      <c r="BT275" s="357">
        <v>50000</v>
      </c>
      <c r="BU275" s="357">
        <v>0</v>
      </c>
      <c r="BV275" s="357">
        <v>0</v>
      </c>
      <c r="BW275" s="357">
        <v>6060168</v>
      </c>
      <c r="BX275" s="357">
        <v>0</v>
      </c>
      <c r="BY275" s="357">
        <v>0</v>
      </c>
      <c r="BZ275" s="357">
        <v>6060168</v>
      </c>
      <c r="CA275" s="357">
        <v>25000</v>
      </c>
      <c r="CB275" s="357">
        <v>0</v>
      </c>
      <c r="CC275" s="357">
        <v>0</v>
      </c>
      <c r="CD275" s="357">
        <v>25000</v>
      </c>
      <c r="CE275" s="357">
        <v>969951</v>
      </c>
      <c r="CF275" s="357">
        <v>0</v>
      </c>
      <c r="CG275" s="357">
        <v>0</v>
      </c>
      <c r="CH275" s="357">
        <v>969951</v>
      </c>
      <c r="CI275" s="357">
        <v>994951</v>
      </c>
      <c r="CJ275" s="357">
        <v>0</v>
      </c>
      <c r="CK275" s="357">
        <v>0</v>
      </c>
      <c r="CL275" s="357">
        <v>0</v>
      </c>
      <c r="CM275" s="357">
        <v>0</v>
      </c>
      <c r="CN275" s="357">
        <v>0</v>
      </c>
      <c r="CO275" s="357">
        <v>994951</v>
      </c>
      <c r="CP275" s="357">
        <v>0</v>
      </c>
      <c r="CQ275" s="357">
        <v>0</v>
      </c>
      <c r="CR275" s="357">
        <v>994951</v>
      </c>
      <c r="CS275" s="357">
        <v>0</v>
      </c>
      <c r="CT275" s="357">
        <v>0</v>
      </c>
      <c r="CU275" s="357">
        <v>0</v>
      </c>
      <c r="CV275" s="357">
        <v>0</v>
      </c>
      <c r="CW275" s="357">
        <v>108986</v>
      </c>
      <c r="CX275" s="357">
        <v>0</v>
      </c>
      <c r="CY275" s="357">
        <v>0</v>
      </c>
      <c r="CZ275" s="357">
        <v>108986</v>
      </c>
      <c r="DA275" s="357">
        <v>0</v>
      </c>
      <c r="DB275" s="357">
        <v>0</v>
      </c>
      <c r="DC275" s="357">
        <v>0</v>
      </c>
      <c r="DD275" s="357">
        <v>0</v>
      </c>
      <c r="DE275" s="357">
        <v>0</v>
      </c>
      <c r="DF275" s="357">
        <v>0</v>
      </c>
      <c r="DG275" s="357">
        <v>0</v>
      </c>
      <c r="DH275" s="357">
        <v>0</v>
      </c>
      <c r="DI275" s="357">
        <v>0</v>
      </c>
      <c r="DJ275" s="357">
        <v>0</v>
      </c>
      <c r="DK275" s="357">
        <v>0</v>
      </c>
      <c r="DL275" s="357">
        <v>0</v>
      </c>
      <c r="DM275" s="357">
        <v>0</v>
      </c>
      <c r="DN275" s="357">
        <v>0</v>
      </c>
      <c r="DO275" s="357">
        <v>0</v>
      </c>
      <c r="DP275" s="357">
        <v>0</v>
      </c>
      <c r="DQ275" s="357">
        <v>108986</v>
      </c>
      <c r="DR275" s="357">
        <v>0</v>
      </c>
      <c r="DS275" s="357">
        <v>0</v>
      </c>
      <c r="DT275" s="357">
        <v>0</v>
      </c>
      <c r="DU275" s="357">
        <v>0</v>
      </c>
      <c r="DV275" s="357">
        <v>0</v>
      </c>
      <c r="DW275" s="357">
        <v>108986</v>
      </c>
      <c r="DX275" s="357">
        <v>0</v>
      </c>
      <c r="DY275" s="357">
        <v>0</v>
      </c>
      <c r="DZ275" s="357">
        <v>108986</v>
      </c>
      <c r="EA275" s="357">
        <v>0</v>
      </c>
      <c r="EB275" s="357">
        <v>0</v>
      </c>
      <c r="EC275" s="357">
        <v>250000</v>
      </c>
      <c r="ED275" s="357">
        <v>0</v>
      </c>
      <c r="EE275" s="357">
        <v>0</v>
      </c>
      <c r="EF275" s="357">
        <v>250000</v>
      </c>
      <c r="EG275" s="357">
        <v>100000</v>
      </c>
      <c r="EH275" s="357">
        <v>0</v>
      </c>
      <c r="EI275" s="357">
        <v>0</v>
      </c>
      <c r="EJ275" s="357">
        <v>100000</v>
      </c>
      <c r="EK275" s="357">
        <v>1724000</v>
      </c>
      <c r="EL275" s="357">
        <v>0</v>
      </c>
      <c r="EM275" s="357">
        <v>0</v>
      </c>
      <c r="EN275" s="357">
        <v>1724000</v>
      </c>
      <c r="EO275" s="357">
        <v>2074000</v>
      </c>
      <c r="EP275" s="357">
        <v>0</v>
      </c>
      <c r="EQ275" s="357">
        <v>0</v>
      </c>
      <c r="ER275" s="357">
        <v>0</v>
      </c>
      <c r="ES275" s="357">
        <v>0</v>
      </c>
      <c r="ET275" s="357">
        <v>0</v>
      </c>
      <c r="EU275" s="357">
        <v>2074000</v>
      </c>
      <c r="EV275" s="357">
        <v>0</v>
      </c>
      <c r="EW275" s="357">
        <v>0</v>
      </c>
      <c r="EX275" s="357">
        <v>2074000</v>
      </c>
      <c r="EY275" s="357">
        <v>52683151</v>
      </c>
      <c r="EZ275" s="357">
        <v>0</v>
      </c>
      <c r="FA275" s="357">
        <v>0</v>
      </c>
      <c r="FB275" s="357">
        <v>52683151</v>
      </c>
      <c r="FC275" s="277">
        <v>0</v>
      </c>
      <c r="FD275" s="205"/>
    </row>
    <row r="276" spans="1:160" ht="12.75">
      <c r="A276" s="169">
        <v>269</v>
      </c>
      <c r="B276" s="172" t="s">
        <v>468</v>
      </c>
      <c r="C276" s="258" t="s">
        <v>469</v>
      </c>
      <c r="D276" s="235">
        <v>41628</v>
      </c>
      <c r="E276" s="357">
        <v>110395730</v>
      </c>
      <c r="F276" s="357">
        <v>0</v>
      </c>
      <c r="G276" s="357">
        <v>0</v>
      </c>
      <c r="H276" s="357">
        <v>110395730</v>
      </c>
      <c r="I276" s="357">
        <v>51996389</v>
      </c>
      <c r="J276" s="357">
        <v>0</v>
      </c>
      <c r="K276" s="357">
        <v>0</v>
      </c>
      <c r="L276" s="357">
        <v>0</v>
      </c>
      <c r="M276" s="357">
        <v>0</v>
      </c>
      <c r="N276" s="357">
        <v>0</v>
      </c>
      <c r="O276" s="357">
        <v>51996389</v>
      </c>
      <c r="P276" s="357">
        <v>0</v>
      </c>
      <c r="Q276" s="357">
        <v>0</v>
      </c>
      <c r="R276" s="357">
        <v>51996389</v>
      </c>
      <c r="S276" s="357">
        <v>43704</v>
      </c>
      <c r="T276" s="357">
        <v>0</v>
      </c>
      <c r="U276" s="357">
        <v>0</v>
      </c>
      <c r="V276" s="357">
        <v>43704</v>
      </c>
      <c r="W276" s="357">
        <v>0</v>
      </c>
      <c r="X276" s="357">
        <v>0</v>
      </c>
      <c r="Y276" s="357">
        <v>0</v>
      </c>
      <c r="Z276" s="357">
        <v>0</v>
      </c>
      <c r="AA276" s="357">
        <v>43704</v>
      </c>
      <c r="AB276" s="357">
        <v>0</v>
      </c>
      <c r="AC276" s="357">
        <v>0</v>
      </c>
      <c r="AD276" s="357">
        <v>0</v>
      </c>
      <c r="AE276" s="357">
        <v>0</v>
      </c>
      <c r="AF276" s="357">
        <v>0</v>
      </c>
      <c r="AG276" s="357">
        <v>43704</v>
      </c>
      <c r="AH276" s="357">
        <v>0</v>
      </c>
      <c r="AI276" s="357">
        <v>0</v>
      </c>
      <c r="AJ276" s="357">
        <v>43704</v>
      </c>
      <c r="AK276" s="357">
        <v>43704</v>
      </c>
      <c r="AL276" s="357">
        <v>0</v>
      </c>
      <c r="AM276" s="357">
        <v>0</v>
      </c>
      <c r="AN276" s="357">
        <v>43704</v>
      </c>
      <c r="AO276" s="357">
        <v>2999576</v>
      </c>
      <c r="AP276" s="357">
        <v>0</v>
      </c>
      <c r="AQ276" s="357">
        <v>0</v>
      </c>
      <c r="AR276" s="357">
        <v>2999576</v>
      </c>
      <c r="AS276" s="357">
        <v>0</v>
      </c>
      <c r="AT276" s="357">
        <v>0</v>
      </c>
      <c r="AU276" s="357">
        <v>0</v>
      </c>
      <c r="AV276" s="357">
        <v>0</v>
      </c>
      <c r="AW276" s="357">
        <v>1033876</v>
      </c>
      <c r="AX276" s="357">
        <v>0</v>
      </c>
      <c r="AY276" s="357">
        <v>0</v>
      </c>
      <c r="AZ276" s="357">
        <v>1033876</v>
      </c>
      <c r="BA276" s="357">
        <v>1965700</v>
      </c>
      <c r="BB276" s="357">
        <v>0</v>
      </c>
      <c r="BC276" s="357">
        <v>0</v>
      </c>
      <c r="BD276" s="357">
        <v>1965700</v>
      </c>
      <c r="BE276" s="357">
        <v>2627956</v>
      </c>
      <c r="BF276" s="357">
        <v>0</v>
      </c>
      <c r="BG276" s="357">
        <v>0</v>
      </c>
      <c r="BH276" s="357">
        <v>2627956</v>
      </c>
      <c r="BI276" s="357">
        <v>89645</v>
      </c>
      <c r="BJ276" s="357">
        <v>0</v>
      </c>
      <c r="BK276" s="357">
        <v>0</v>
      </c>
      <c r="BL276" s="357">
        <v>89645</v>
      </c>
      <c r="BM276" s="357">
        <v>37889</v>
      </c>
      <c r="BN276" s="357">
        <v>0</v>
      </c>
      <c r="BO276" s="357">
        <v>0</v>
      </c>
      <c r="BP276" s="357">
        <v>37889</v>
      </c>
      <c r="BQ276" s="357">
        <v>4721190</v>
      </c>
      <c r="BR276" s="357">
        <v>0</v>
      </c>
      <c r="BS276" s="357">
        <v>0</v>
      </c>
      <c r="BT276" s="357">
        <v>0</v>
      </c>
      <c r="BU276" s="357">
        <v>0</v>
      </c>
      <c r="BV276" s="357">
        <v>0</v>
      </c>
      <c r="BW276" s="357">
        <v>4721190</v>
      </c>
      <c r="BX276" s="357">
        <v>0</v>
      </c>
      <c r="BY276" s="357">
        <v>0</v>
      </c>
      <c r="BZ276" s="357">
        <v>4721190</v>
      </c>
      <c r="CA276" s="357">
        <v>30000</v>
      </c>
      <c r="CB276" s="357">
        <v>0</v>
      </c>
      <c r="CC276" s="357">
        <v>0</v>
      </c>
      <c r="CD276" s="357">
        <v>30000</v>
      </c>
      <c r="CE276" s="357">
        <v>2402753</v>
      </c>
      <c r="CF276" s="357">
        <v>0</v>
      </c>
      <c r="CG276" s="357">
        <v>0</v>
      </c>
      <c r="CH276" s="357">
        <v>2402753</v>
      </c>
      <c r="CI276" s="357">
        <v>2432753</v>
      </c>
      <c r="CJ276" s="357">
        <v>0</v>
      </c>
      <c r="CK276" s="357">
        <v>0</v>
      </c>
      <c r="CL276" s="357">
        <v>0</v>
      </c>
      <c r="CM276" s="357">
        <v>0</v>
      </c>
      <c r="CN276" s="357">
        <v>0</v>
      </c>
      <c r="CO276" s="357">
        <v>2432753</v>
      </c>
      <c r="CP276" s="357">
        <v>0</v>
      </c>
      <c r="CQ276" s="357">
        <v>0</v>
      </c>
      <c r="CR276" s="357">
        <v>2432753</v>
      </c>
      <c r="CS276" s="357">
        <v>237437</v>
      </c>
      <c r="CT276" s="357">
        <v>0</v>
      </c>
      <c r="CU276" s="357">
        <v>0</v>
      </c>
      <c r="CV276" s="357">
        <v>237437</v>
      </c>
      <c r="CW276" s="357">
        <v>136138</v>
      </c>
      <c r="CX276" s="357">
        <v>0</v>
      </c>
      <c r="CY276" s="357">
        <v>0</v>
      </c>
      <c r="CZ276" s="357">
        <v>136138</v>
      </c>
      <c r="DA276" s="357">
        <v>22411</v>
      </c>
      <c r="DB276" s="357">
        <v>0</v>
      </c>
      <c r="DC276" s="357">
        <v>0</v>
      </c>
      <c r="DD276" s="357">
        <v>22411</v>
      </c>
      <c r="DE276" s="357">
        <v>37889</v>
      </c>
      <c r="DF276" s="357">
        <v>0</v>
      </c>
      <c r="DG276" s="357">
        <v>0</v>
      </c>
      <c r="DH276" s="357">
        <v>37889</v>
      </c>
      <c r="DI276" s="357">
        <v>9243</v>
      </c>
      <c r="DJ276" s="357">
        <v>0</v>
      </c>
      <c r="DK276" s="357">
        <v>0</v>
      </c>
      <c r="DL276" s="357">
        <v>9243</v>
      </c>
      <c r="DM276" s="357">
        <v>0</v>
      </c>
      <c r="DN276" s="357">
        <v>0</v>
      </c>
      <c r="DO276" s="357">
        <v>0</v>
      </c>
      <c r="DP276" s="357">
        <v>0</v>
      </c>
      <c r="DQ276" s="357">
        <v>443118</v>
      </c>
      <c r="DR276" s="357">
        <v>0</v>
      </c>
      <c r="DS276" s="357">
        <v>0</v>
      </c>
      <c r="DT276" s="357">
        <v>0</v>
      </c>
      <c r="DU276" s="357">
        <v>0</v>
      </c>
      <c r="DV276" s="357">
        <v>0</v>
      </c>
      <c r="DW276" s="357">
        <v>443118</v>
      </c>
      <c r="DX276" s="357">
        <v>0</v>
      </c>
      <c r="DY276" s="357">
        <v>0</v>
      </c>
      <c r="DZ276" s="357">
        <v>443118</v>
      </c>
      <c r="EA276" s="357">
        <v>0</v>
      </c>
      <c r="EB276" s="357">
        <v>0</v>
      </c>
      <c r="EC276" s="357">
        <v>10000</v>
      </c>
      <c r="ED276" s="357">
        <v>0</v>
      </c>
      <c r="EE276" s="357">
        <v>0</v>
      </c>
      <c r="EF276" s="357">
        <v>10000</v>
      </c>
      <c r="EG276" s="357">
        <v>21694</v>
      </c>
      <c r="EH276" s="357">
        <v>0</v>
      </c>
      <c r="EI276" s="357">
        <v>0</v>
      </c>
      <c r="EJ276" s="357">
        <v>21694</v>
      </c>
      <c r="EK276" s="357">
        <v>550000</v>
      </c>
      <c r="EL276" s="357">
        <v>0</v>
      </c>
      <c r="EM276" s="357">
        <v>0</v>
      </c>
      <c r="EN276" s="357">
        <v>550000</v>
      </c>
      <c r="EO276" s="357">
        <v>581694</v>
      </c>
      <c r="EP276" s="357">
        <v>0</v>
      </c>
      <c r="EQ276" s="357">
        <v>0</v>
      </c>
      <c r="ER276" s="357">
        <v>0</v>
      </c>
      <c r="ES276" s="357">
        <v>0</v>
      </c>
      <c r="ET276" s="357">
        <v>0</v>
      </c>
      <c r="EU276" s="357">
        <v>581694</v>
      </c>
      <c r="EV276" s="357">
        <v>0</v>
      </c>
      <c r="EW276" s="357">
        <v>0</v>
      </c>
      <c r="EX276" s="357">
        <v>581694</v>
      </c>
      <c r="EY276" s="357">
        <v>43773930</v>
      </c>
      <c r="EZ276" s="357">
        <v>0</v>
      </c>
      <c r="FA276" s="357">
        <v>0</v>
      </c>
      <c r="FB276" s="357">
        <v>43773930</v>
      </c>
      <c r="FC276" s="277">
        <v>0</v>
      </c>
      <c r="FD276" s="205"/>
    </row>
    <row r="277" spans="1:160" ht="12.75">
      <c r="A277" s="169">
        <v>270</v>
      </c>
      <c r="B277" s="172" t="s">
        <v>470</v>
      </c>
      <c r="C277" s="258" t="s">
        <v>471</v>
      </c>
      <c r="D277" s="235">
        <v>41639</v>
      </c>
      <c r="E277" s="357">
        <v>255329312</v>
      </c>
      <c r="F277" s="357">
        <v>0</v>
      </c>
      <c r="G277" s="357">
        <v>0</v>
      </c>
      <c r="H277" s="357">
        <v>255329312</v>
      </c>
      <c r="I277" s="357">
        <v>120260106</v>
      </c>
      <c r="J277" s="357">
        <v>0</v>
      </c>
      <c r="K277" s="357">
        <v>0</v>
      </c>
      <c r="L277" s="357">
        <v>1094300</v>
      </c>
      <c r="M277" s="357">
        <v>0</v>
      </c>
      <c r="N277" s="357">
        <v>0</v>
      </c>
      <c r="O277" s="357">
        <v>121354406</v>
      </c>
      <c r="P277" s="357">
        <v>0</v>
      </c>
      <c r="Q277" s="357">
        <v>0</v>
      </c>
      <c r="R277" s="357">
        <v>121354406</v>
      </c>
      <c r="S277" s="357">
        <v>31988.64</v>
      </c>
      <c r="T277" s="357">
        <v>0</v>
      </c>
      <c r="U277" s="357">
        <v>0</v>
      </c>
      <c r="V277" s="357">
        <v>31988.64</v>
      </c>
      <c r="W277" s="357">
        <v>167023.94</v>
      </c>
      <c r="X277" s="357">
        <v>0</v>
      </c>
      <c r="Y277" s="357">
        <v>0</v>
      </c>
      <c r="Z277" s="357">
        <v>167023.94</v>
      </c>
      <c r="AA277" s="357">
        <v>-135035.3</v>
      </c>
      <c r="AB277" s="357">
        <v>0</v>
      </c>
      <c r="AC277" s="357">
        <v>0</v>
      </c>
      <c r="AD277" s="357">
        <v>0</v>
      </c>
      <c r="AE277" s="357">
        <v>0</v>
      </c>
      <c r="AF277" s="357">
        <v>0</v>
      </c>
      <c r="AG277" s="357">
        <v>-135035.3</v>
      </c>
      <c r="AH277" s="357">
        <v>0</v>
      </c>
      <c r="AI277" s="357">
        <v>0</v>
      </c>
      <c r="AJ277" s="357">
        <v>-135035.3</v>
      </c>
      <c r="AK277" s="357">
        <v>-135035.3</v>
      </c>
      <c r="AL277" s="357">
        <v>0</v>
      </c>
      <c r="AM277" s="357">
        <v>0</v>
      </c>
      <c r="AN277" s="357">
        <v>-135035.3</v>
      </c>
      <c r="AO277" s="357">
        <v>2474301.65</v>
      </c>
      <c r="AP277" s="357">
        <v>0</v>
      </c>
      <c r="AQ277" s="357">
        <v>0</v>
      </c>
      <c r="AR277" s="357">
        <v>2474301.65</v>
      </c>
      <c r="AS277" s="357">
        <v>0</v>
      </c>
      <c r="AT277" s="357">
        <v>0</v>
      </c>
      <c r="AU277" s="357">
        <v>0</v>
      </c>
      <c r="AV277" s="357">
        <v>0</v>
      </c>
      <c r="AW277" s="357">
        <v>2374046.82</v>
      </c>
      <c r="AX277" s="357">
        <v>0</v>
      </c>
      <c r="AY277" s="357">
        <v>0</v>
      </c>
      <c r="AZ277" s="357">
        <v>2374046.82</v>
      </c>
      <c r="BA277" s="357">
        <v>100254.83</v>
      </c>
      <c r="BB277" s="357">
        <v>0</v>
      </c>
      <c r="BC277" s="357">
        <v>0</v>
      </c>
      <c r="BD277" s="357">
        <v>100254.83</v>
      </c>
      <c r="BE277" s="357">
        <v>5785588.58</v>
      </c>
      <c r="BF277" s="357">
        <v>0</v>
      </c>
      <c r="BG277" s="357">
        <v>0</v>
      </c>
      <c r="BH277" s="357">
        <v>5785588.58</v>
      </c>
      <c r="BI277" s="357">
        <v>34029.2</v>
      </c>
      <c r="BJ277" s="357">
        <v>0</v>
      </c>
      <c r="BK277" s="357">
        <v>0</v>
      </c>
      <c r="BL277" s="357">
        <v>34029.2</v>
      </c>
      <c r="BM277" s="357">
        <v>6670.61</v>
      </c>
      <c r="BN277" s="357">
        <v>0</v>
      </c>
      <c r="BO277" s="357">
        <v>0</v>
      </c>
      <c r="BP277" s="357">
        <v>6670.61</v>
      </c>
      <c r="BQ277" s="357">
        <v>5926543.22</v>
      </c>
      <c r="BR277" s="357">
        <v>0</v>
      </c>
      <c r="BS277" s="357">
        <v>0</v>
      </c>
      <c r="BT277" s="357">
        <v>478900</v>
      </c>
      <c r="BU277" s="357">
        <v>0</v>
      </c>
      <c r="BV277" s="357">
        <v>0</v>
      </c>
      <c r="BW277" s="357">
        <v>6405443.22</v>
      </c>
      <c r="BX277" s="357">
        <v>0</v>
      </c>
      <c r="BY277" s="357">
        <v>0</v>
      </c>
      <c r="BZ277" s="357">
        <v>6405443.22</v>
      </c>
      <c r="CA277" s="357">
        <v>637649.09</v>
      </c>
      <c r="CB277" s="357">
        <v>0</v>
      </c>
      <c r="CC277" s="357">
        <v>0</v>
      </c>
      <c r="CD277" s="357">
        <v>637649.09</v>
      </c>
      <c r="CE277" s="357">
        <v>4891684.77</v>
      </c>
      <c r="CF277" s="357">
        <v>0</v>
      </c>
      <c r="CG277" s="357">
        <v>0</v>
      </c>
      <c r="CH277" s="357">
        <v>4891684.77</v>
      </c>
      <c r="CI277" s="357">
        <v>5529333.86</v>
      </c>
      <c r="CJ277" s="357">
        <v>0</v>
      </c>
      <c r="CK277" s="357">
        <v>0</v>
      </c>
      <c r="CL277" s="357">
        <v>0</v>
      </c>
      <c r="CM277" s="357">
        <v>0</v>
      </c>
      <c r="CN277" s="357">
        <v>0</v>
      </c>
      <c r="CO277" s="357">
        <v>5529333.86</v>
      </c>
      <c r="CP277" s="357">
        <v>0</v>
      </c>
      <c r="CQ277" s="357">
        <v>0</v>
      </c>
      <c r="CR277" s="357">
        <v>5529333.86</v>
      </c>
      <c r="CS277" s="357">
        <v>181425.32</v>
      </c>
      <c r="CT277" s="357">
        <v>0</v>
      </c>
      <c r="CU277" s="357">
        <v>0</v>
      </c>
      <c r="CV277" s="357">
        <v>181425.32</v>
      </c>
      <c r="CW277" s="357">
        <v>59002.49</v>
      </c>
      <c r="CX277" s="357">
        <v>0</v>
      </c>
      <c r="CY277" s="357">
        <v>0</v>
      </c>
      <c r="CZ277" s="357">
        <v>59002.49</v>
      </c>
      <c r="DA277" s="357">
        <v>8507.3</v>
      </c>
      <c r="DB277" s="357">
        <v>0</v>
      </c>
      <c r="DC277" s="357">
        <v>0</v>
      </c>
      <c r="DD277" s="357">
        <v>8507.3</v>
      </c>
      <c r="DE277" s="357">
        <v>6670.61</v>
      </c>
      <c r="DF277" s="357">
        <v>0</v>
      </c>
      <c r="DG277" s="357">
        <v>0</v>
      </c>
      <c r="DH277" s="357">
        <v>6670.61</v>
      </c>
      <c r="DI277" s="357">
        <v>0</v>
      </c>
      <c r="DJ277" s="357">
        <v>0</v>
      </c>
      <c r="DK277" s="357">
        <v>0</v>
      </c>
      <c r="DL277" s="357">
        <v>0</v>
      </c>
      <c r="DM277" s="357">
        <v>0</v>
      </c>
      <c r="DN277" s="357">
        <v>0</v>
      </c>
      <c r="DO277" s="357">
        <v>0</v>
      </c>
      <c r="DP277" s="357">
        <v>0</v>
      </c>
      <c r="DQ277" s="357">
        <v>255605.72</v>
      </c>
      <c r="DR277" s="357">
        <v>0</v>
      </c>
      <c r="DS277" s="357">
        <v>0</v>
      </c>
      <c r="DT277" s="357">
        <v>0</v>
      </c>
      <c r="DU277" s="357">
        <v>0</v>
      </c>
      <c r="DV277" s="357">
        <v>0</v>
      </c>
      <c r="DW277" s="357">
        <v>255605.72</v>
      </c>
      <c r="DX277" s="357">
        <v>0</v>
      </c>
      <c r="DY277" s="357">
        <v>0</v>
      </c>
      <c r="DZ277" s="357">
        <v>255605.72</v>
      </c>
      <c r="EA277" s="357">
        <v>0</v>
      </c>
      <c r="EB277" s="357">
        <v>0</v>
      </c>
      <c r="EC277" s="357">
        <v>0</v>
      </c>
      <c r="ED277" s="357">
        <v>0</v>
      </c>
      <c r="EE277" s="357">
        <v>0</v>
      </c>
      <c r="EF277" s="357">
        <v>0</v>
      </c>
      <c r="EG277" s="357">
        <v>75000</v>
      </c>
      <c r="EH277" s="357">
        <v>0</v>
      </c>
      <c r="EI277" s="357">
        <v>0</v>
      </c>
      <c r="EJ277" s="357">
        <v>75000</v>
      </c>
      <c r="EK277" s="357">
        <v>1380000</v>
      </c>
      <c r="EL277" s="357">
        <v>0</v>
      </c>
      <c r="EM277" s="357">
        <v>0</v>
      </c>
      <c r="EN277" s="357">
        <v>1380000</v>
      </c>
      <c r="EO277" s="357">
        <v>1455000</v>
      </c>
      <c r="EP277" s="357">
        <v>0</v>
      </c>
      <c r="EQ277" s="357">
        <v>0</v>
      </c>
      <c r="ER277" s="357">
        <v>0</v>
      </c>
      <c r="ES277" s="357">
        <v>0</v>
      </c>
      <c r="ET277" s="357">
        <v>0</v>
      </c>
      <c r="EU277" s="357">
        <v>1455000</v>
      </c>
      <c r="EV277" s="357">
        <v>0</v>
      </c>
      <c r="EW277" s="357">
        <v>0</v>
      </c>
      <c r="EX277" s="357">
        <v>1455000</v>
      </c>
      <c r="EY277" s="357">
        <v>107844059</v>
      </c>
      <c r="EZ277" s="357">
        <v>0</v>
      </c>
      <c r="FA277" s="357">
        <v>0</v>
      </c>
      <c r="FB277" s="357">
        <v>107844059</v>
      </c>
      <c r="FC277" s="277">
        <v>0</v>
      </c>
      <c r="FD277" s="205"/>
    </row>
    <row r="278" spans="1:160" ht="12.75">
      <c r="A278" s="169">
        <v>271</v>
      </c>
      <c r="B278" s="172" t="s">
        <v>472</v>
      </c>
      <c r="C278" s="258" t="s">
        <v>473</v>
      </c>
      <c r="D278" s="235">
        <v>311213</v>
      </c>
      <c r="E278" s="357">
        <v>151355208</v>
      </c>
      <c r="F278" s="357">
        <v>0</v>
      </c>
      <c r="G278" s="357">
        <v>0</v>
      </c>
      <c r="H278" s="357">
        <v>151355208</v>
      </c>
      <c r="I278" s="357">
        <v>71288303</v>
      </c>
      <c r="J278" s="357">
        <v>0</v>
      </c>
      <c r="K278" s="357">
        <v>0</v>
      </c>
      <c r="L278" s="357">
        <v>-331000</v>
      </c>
      <c r="M278" s="357">
        <v>0</v>
      </c>
      <c r="N278" s="357">
        <v>0</v>
      </c>
      <c r="O278" s="357">
        <v>70957303</v>
      </c>
      <c r="P278" s="357">
        <v>0</v>
      </c>
      <c r="Q278" s="357">
        <v>0</v>
      </c>
      <c r="R278" s="357">
        <v>70957303</v>
      </c>
      <c r="S278" s="357">
        <v>104664</v>
      </c>
      <c r="T278" s="357">
        <v>0</v>
      </c>
      <c r="U278" s="357">
        <v>0</v>
      </c>
      <c r="V278" s="357">
        <v>104664</v>
      </c>
      <c r="W278" s="357">
        <v>8732</v>
      </c>
      <c r="X278" s="357">
        <v>0</v>
      </c>
      <c r="Y278" s="357">
        <v>0</v>
      </c>
      <c r="Z278" s="357">
        <v>8732</v>
      </c>
      <c r="AA278" s="357">
        <v>95932</v>
      </c>
      <c r="AB278" s="357">
        <v>0</v>
      </c>
      <c r="AC278" s="357">
        <v>0</v>
      </c>
      <c r="AD278" s="357">
        <v>-95932</v>
      </c>
      <c r="AE278" s="357">
        <v>0</v>
      </c>
      <c r="AF278" s="357">
        <v>0</v>
      </c>
      <c r="AG278" s="357">
        <v>0</v>
      </c>
      <c r="AH278" s="357">
        <v>0</v>
      </c>
      <c r="AI278" s="357">
        <v>0</v>
      </c>
      <c r="AJ278" s="357">
        <v>0</v>
      </c>
      <c r="AK278" s="357">
        <v>0</v>
      </c>
      <c r="AL278" s="357">
        <v>0</v>
      </c>
      <c r="AM278" s="357">
        <v>0</v>
      </c>
      <c r="AN278" s="357">
        <v>0</v>
      </c>
      <c r="AO278" s="357">
        <v>5531299</v>
      </c>
      <c r="AP278" s="357">
        <v>0</v>
      </c>
      <c r="AQ278" s="357">
        <v>0</v>
      </c>
      <c r="AR278" s="357">
        <v>5531299</v>
      </c>
      <c r="AS278" s="357">
        <v>0</v>
      </c>
      <c r="AT278" s="357">
        <v>0</v>
      </c>
      <c r="AU278" s="357">
        <v>0</v>
      </c>
      <c r="AV278" s="357">
        <v>0</v>
      </c>
      <c r="AW278" s="357">
        <v>1375550</v>
      </c>
      <c r="AX278" s="357">
        <v>0</v>
      </c>
      <c r="AY278" s="357">
        <v>0</v>
      </c>
      <c r="AZ278" s="357">
        <v>1375550</v>
      </c>
      <c r="BA278" s="357">
        <v>4155749</v>
      </c>
      <c r="BB278" s="357">
        <v>0</v>
      </c>
      <c r="BC278" s="357">
        <v>0</v>
      </c>
      <c r="BD278" s="357">
        <v>4155749</v>
      </c>
      <c r="BE278" s="357">
        <v>2743388</v>
      </c>
      <c r="BF278" s="357">
        <v>0</v>
      </c>
      <c r="BG278" s="357">
        <v>0</v>
      </c>
      <c r="BH278" s="357">
        <v>2743388</v>
      </c>
      <c r="BI278" s="357">
        <v>110768</v>
      </c>
      <c r="BJ278" s="357">
        <v>0</v>
      </c>
      <c r="BK278" s="357">
        <v>0</v>
      </c>
      <c r="BL278" s="357">
        <v>110768</v>
      </c>
      <c r="BM278" s="357">
        <v>0</v>
      </c>
      <c r="BN278" s="357">
        <v>0</v>
      </c>
      <c r="BO278" s="357">
        <v>0</v>
      </c>
      <c r="BP278" s="357">
        <v>0</v>
      </c>
      <c r="BQ278" s="357">
        <v>7009905</v>
      </c>
      <c r="BR278" s="357">
        <v>0</v>
      </c>
      <c r="BS278" s="357">
        <v>0</v>
      </c>
      <c r="BT278" s="357">
        <v>275000</v>
      </c>
      <c r="BU278" s="357">
        <v>0</v>
      </c>
      <c r="BV278" s="357">
        <v>0</v>
      </c>
      <c r="BW278" s="357">
        <v>7284905</v>
      </c>
      <c r="BX278" s="357">
        <v>0</v>
      </c>
      <c r="BY278" s="357">
        <v>0</v>
      </c>
      <c r="BZ278" s="357">
        <v>7284905</v>
      </c>
      <c r="CA278" s="357">
        <v>0</v>
      </c>
      <c r="CB278" s="357">
        <v>0</v>
      </c>
      <c r="CC278" s="357">
        <v>0</v>
      </c>
      <c r="CD278" s="357">
        <v>0</v>
      </c>
      <c r="CE278" s="357">
        <v>3147511</v>
      </c>
      <c r="CF278" s="357">
        <v>0</v>
      </c>
      <c r="CG278" s="357">
        <v>0</v>
      </c>
      <c r="CH278" s="357">
        <v>3147511</v>
      </c>
      <c r="CI278" s="357">
        <v>3147511</v>
      </c>
      <c r="CJ278" s="357">
        <v>0</v>
      </c>
      <c r="CK278" s="357">
        <v>0</v>
      </c>
      <c r="CL278" s="357">
        <v>0</v>
      </c>
      <c r="CM278" s="357">
        <v>0</v>
      </c>
      <c r="CN278" s="357">
        <v>0</v>
      </c>
      <c r="CO278" s="357">
        <v>3147511</v>
      </c>
      <c r="CP278" s="357">
        <v>0</v>
      </c>
      <c r="CQ278" s="357">
        <v>0</v>
      </c>
      <c r="CR278" s="357">
        <v>3147511</v>
      </c>
      <c r="CS278" s="357">
        <v>23024</v>
      </c>
      <c r="CT278" s="357">
        <v>0</v>
      </c>
      <c r="CU278" s="357">
        <v>0</v>
      </c>
      <c r="CV278" s="357">
        <v>23024</v>
      </c>
      <c r="CW278" s="357">
        <v>19047</v>
      </c>
      <c r="CX278" s="357">
        <v>0</v>
      </c>
      <c r="CY278" s="357">
        <v>0</v>
      </c>
      <c r="CZ278" s="357">
        <v>19047</v>
      </c>
      <c r="DA278" s="357">
        <v>1974</v>
      </c>
      <c r="DB278" s="357">
        <v>0</v>
      </c>
      <c r="DC278" s="357">
        <v>0</v>
      </c>
      <c r="DD278" s="357">
        <v>1974</v>
      </c>
      <c r="DE278" s="357">
        <v>0</v>
      </c>
      <c r="DF278" s="357">
        <v>0</v>
      </c>
      <c r="DG278" s="357">
        <v>0</v>
      </c>
      <c r="DH278" s="357">
        <v>0</v>
      </c>
      <c r="DI278" s="357">
        <v>0</v>
      </c>
      <c r="DJ278" s="357">
        <v>0</v>
      </c>
      <c r="DK278" s="357">
        <v>0</v>
      </c>
      <c r="DL278" s="357">
        <v>0</v>
      </c>
      <c r="DM278" s="357">
        <v>0</v>
      </c>
      <c r="DN278" s="357">
        <v>0</v>
      </c>
      <c r="DO278" s="357">
        <v>0</v>
      </c>
      <c r="DP278" s="357">
        <v>0</v>
      </c>
      <c r="DQ278" s="357">
        <v>44045</v>
      </c>
      <c r="DR278" s="357">
        <v>0</v>
      </c>
      <c r="DS278" s="357">
        <v>0</v>
      </c>
      <c r="DT278" s="357">
        <v>0</v>
      </c>
      <c r="DU278" s="357">
        <v>0</v>
      </c>
      <c r="DV278" s="357">
        <v>0</v>
      </c>
      <c r="DW278" s="357">
        <v>44045</v>
      </c>
      <c r="DX278" s="357">
        <v>0</v>
      </c>
      <c r="DY278" s="357">
        <v>0</v>
      </c>
      <c r="DZ278" s="357">
        <v>44045</v>
      </c>
      <c r="EA278" s="357">
        <v>0</v>
      </c>
      <c r="EB278" s="357">
        <v>0</v>
      </c>
      <c r="EC278" s="357">
        <v>0</v>
      </c>
      <c r="ED278" s="357">
        <v>0</v>
      </c>
      <c r="EE278" s="357">
        <v>0</v>
      </c>
      <c r="EF278" s="357">
        <v>0</v>
      </c>
      <c r="EG278" s="357">
        <v>63779</v>
      </c>
      <c r="EH278" s="357">
        <v>0</v>
      </c>
      <c r="EI278" s="357">
        <v>0</v>
      </c>
      <c r="EJ278" s="357">
        <v>63779</v>
      </c>
      <c r="EK278" s="357">
        <v>957555</v>
      </c>
      <c r="EL278" s="357">
        <v>0</v>
      </c>
      <c r="EM278" s="357">
        <v>0</v>
      </c>
      <c r="EN278" s="357">
        <v>957555</v>
      </c>
      <c r="EO278" s="357">
        <v>1021334</v>
      </c>
      <c r="EP278" s="357">
        <v>0</v>
      </c>
      <c r="EQ278" s="357">
        <v>0</v>
      </c>
      <c r="ER278" s="357">
        <v>0</v>
      </c>
      <c r="ES278" s="357">
        <v>0</v>
      </c>
      <c r="ET278" s="357">
        <v>0</v>
      </c>
      <c r="EU278" s="357">
        <v>1021334</v>
      </c>
      <c r="EV278" s="357">
        <v>0</v>
      </c>
      <c r="EW278" s="357">
        <v>0</v>
      </c>
      <c r="EX278" s="357">
        <v>1021334</v>
      </c>
      <c r="EY278" s="357">
        <v>59459508</v>
      </c>
      <c r="EZ278" s="357">
        <v>0</v>
      </c>
      <c r="FA278" s="357">
        <v>0</v>
      </c>
      <c r="FB278" s="357">
        <v>59459508</v>
      </c>
      <c r="FC278" s="277">
        <v>0</v>
      </c>
      <c r="FD278" s="205"/>
    </row>
    <row r="279" spans="1:160" ht="12.75">
      <c r="A279" s="169">
        <v>272</v>
      </c>
      <c r="B279" s="172" t="s">
        <v>474</v>
      </c>
      <c r="C279" s="258" t="s">
        <v>475</v>
      </c>
      <c r="D279" s="235">
        <v>41639</v>
      </c>
      <c r="E279" s="357">
        <v>79321201</v>
      </c>
      <c r="F279" s="357">
        <v>0</v>
      </c>
      <c r="G279" s="357">
        <v>0</v>
      </c>
      <c r="H279" s="357">
        <v>79321201</v>
      </c>
      <c r="I279" s="357">
        <v>37360286</v>
      </c>
      <c r="J279" s="357">
        <v>0</v>
      </c>
      <c r="K279" s="357">
        <v>0</v>
      </c>
      <c r="L279" s="357">
        <v>-103548</v>
      </c>
      <c r="M279" s="357">
        <v>0</v>
      </c>
      <c r="N279" s="357">
        <v>0</v>
      </c>
      <c r="O279" s="357">
        <v>37256738</v>
      </c>
      <c r="P279" s="357">
        <v>0</v>
      </c>
      <c r="Q279" s="357">
        <v>0</v>
      </c>
      <c r="R279" s="357">
        <v>37256738</v>
      </c>
      <c r="S279" s="357">
        <v>11113</v>
      </c>
      <c r="T279" s="357">
        <v>0</v>
      </c>
      <c r="U279" s="357">
        <v>0</v>
      </c>
      <c r="V279" s="357">
        <v>11113</v>
      </c>
      <c r="W279" s="357">
        <v>0</v>
      </c>
      <c r="X279" s="357">
        <v>0</v>
      </c>
      <c r="Y279" s="357">
        <v>0</v>
      </c>
      <c r="Z279" s="357">
        <v>0</v>
      </c>
      <c r="AA279" s="357">
        <v>11113</v>
      </c>
      <c r="AB279" s="357">
        <v>0</v>
      </c>
      <c r="AC279" s="357">
        <v>0</v>
      </c>
      <c r="AD279" s="357">
        <v>0</v>
      </c>
      <c r="AE279" s="357">
        <v>0</v>
      </c>
      <c r="AF279" s="357">
        <v>0</v>
      </c>
      <c r="AG279" s="357">
        <v>11113</v>
      </c>
      <c r="AH279" s="357">
        <v>0</v>
      </c>
      <c r="AI279" s="357">
        <v>0</v>
      </c>
      <c r="AJ279" s="357">
        <v>11113</v>
      </c>
      <c r="AK279" s="357">
        <v>11113</v>
      </c>
      <c r="AL279" s="357">
        <v>0</v>
      </c>
      <c r="AM279" s="357">
        <v>0</v>
      </c>
      <c r="AN279" s="357">
        <v>11113</v>
      </c>
      <c r="AO279" s="357">
        <v>1236714</v>
      </c>
      <c r="AP279" s="357">
        <v>0</v>
      </c>
      <c r="AQ279" s="357">
        <v>0</v>
      </c>
      <c r="AR279" s="357">
        <v>1236714</v>
      </c>
      <c r="AS279" s="357">
        <v>56520</v>
      </c>
      <c r="AT279" s="357">
        <v>0</v>
      </c>
      <c r="AU279" s="357">
        <v>0</v>
      </c>
      <c r="AV279" s="357">
        <v>56520</v>
      </c>
      <c r="AW279" s="357">
        <v>788606</v>
      </c>
      <c r="AX279" s="357">
        <v>0</v>
      </c>
      <c r="AY279" s="357">
        <v>0</v>
      </c>
      <c r="AZ279" s="357">
        <v>788606</v>
      </c>
      <c r="BA279" s="357">
        <v>448108</v>
      </c>
      <c r="BB279" s="357">
        <v>0</v>
      </c>
      <c r="BC279" s="357">
        <v>0</v>
      </c>
      <c r="BD279" s="357">
        <v>448108</v>
      </c>
      <c r="BE279" s="357">
        <v>1058516</v>
      </c>
      <c r="BF279" s="357">
        <v>0</v>
      </c>
      <c r="BG279" s="357">
        <v>0</v>
      </c>
      <c r="BH279" s="357">
        <v>1058516</v>
      </c>
      <c r="BI279" s="357">
        <v>27488</v>
      </c>
      <c r="BJ279" s="357">
        <v>0</v>
      </c>
      <c r="BK279" s="357">
        <v>0</v>
      </c>
      <c r="BL279" s="357">
        <v>27488</v>
      </c>
      <c r="BM279" s="357">
        <v>0</v>
      </c>
      <c r="BN279" s="357">
        <v>0</v>
      </c>
      <c r="BO279" s="357">
        <v>0</v>
      </c>
      <c r="BP279" s="357">
        <v>0</v>
      </c>
      <c r="BQ279" s="357">
        <v>1534112</v>
      </c>
      <c r="BR279" s="357">
        <v>0</v>
      </c>
      <c r="BS279" s="357">
        <v>0</v>
      </c>
      <c r="BT279" s="357">
        <v>129382</v>
      </c>
      <c r="BU279" s="357">
        <v>0</v>
      </c>
      <c r="BV279" s="357">
        <v>0</v>
      </c>
      <c r="BW279" s="357">
        <v>1663494</v>
      </c>
      <c r="BX279" s="357">
        <v>0</v>
      </c>
      <c r="BY279" s="357">
        <v>0</v>
      </c>
      <c r="BZ279" s="357">
        <v>1663494</v>
      </c>
      <c r="CA279" s="357">
        <v>139884</v>
      </c>
      <c r="CB279" s="357">
        <v>0</v>
      </c>
      <c r="CC279" s="357">
        <v>0</v>
      </c>
      <c r="CD279" s="357">
        <v>139884</v>
      </c>
      <c r="CE279" s="357">
        <v>1048877</v>
      </c>
      <c r="CF279" s="357">
        <v>0</v>
      </c>
      <c r="CG279" s="357">
        <v>0</v>
      </c>
      <c r="CH279" s="357">
        <v>1048877</v>
      </c>
      <c r="CI279" s="357">
        <v>1188761</v>
      </c>
      <c r="CJ279" s="357">
        <v>0</v>
      </c>
      <c r="CK279" s="357">
        <v>0</v>
      </c>
      <c r="CL279" s="357">
        <v>674107</v>
      </c>
      <c r="CM279" s="357">
        <v>0</v>
      </c>
      <c r="CN279" s="357">
        <v>0</v>
      </c>
      <c r="CO279" s="357">
        <v>1862868</v>
      </c>
      <c r="CP279" s="357">
        <v>0</v>
      </c>
      <c r="CQ279" s="357">
        <v>0</v>
      </c>
      <c r="CR279" s="357">
        <v>1862868</v>
      </c>
      <c r="CS279" s="357">
        <v>20273</v>
      </c>
      <c r="CT279" s="357">
        <v>0</v>
      </c>
      <c r="CU279" s="357">
        <v>0</v>
      </c>
      <c r="CV279" s="357">
        <v>20273</v>
      </c>
      <c r="CW279" s="357">
        <v>4180</v>
      </c>
      <c r="CX279" s="357">
        <v>0</v>
      </c>
      <c r="CY279" s="357">
        <v>0</v>
      </c>
      <c r="CZ279" s="357">
        <v>4180</v>
      </c>
      <c r="DA279" s="357">
        <v>2308</v>
      </c>
      <c r="DB279" s="357">
        <v>0</v>
      </c>
      <c r="DC279" s="357">
        <v>0</v>
      </c>
      <c r="DD279" s="357">
        <v>2308</v>
      </c>
      <c r="DE279" s="357">
        <v>0</v>
      </c>
      <c r="DF279" s="357">
        <v>0</v>
      </c>
      <c r="DG279" s="357">
        <v>0</v>
      </c>
      <c r="DH279" s="357">
        <v>0</v>
      </c>
      <c r="DI279" s="357">
        <v>0</v>
      </c>
      <c r="DJ279" s="357">
        <v>0</v>
      </c>
      <c r="DK279" s="357">
        <v>0</v>
      </c>
      <c r="DL279" s="357">
        <v>0</v>
      </c>
      <c r="DM279" s="357">
        <v>0</v>
      </c>
      <c r="DN279" s="357">
        <v>0</v>
      </c>
      <c r="DO279" s="357">
        <v>0</v>
      </c>
      <c r="DP279" s="357">
        <v>0</v>
      </c>
      <c r="DQ279" s="357">
        <v>26761</v>
      </c>
      <c r="DR279" s="357">
        <v>0</v>
      </c>
      <c r="DS279" s="357">
        <v>0</v>
      </c>
      <c r="DT279" s="357">
        <v>65352</v>
      </c>
      <c r="DU279" s="357">
        <v>0</v>
      </c>
      <c r="DV279" s="357">
        <v>0</v>
      </c>
      <c r="DW279" s="357">
        <v>92113</v>
      </c>
      <c r="DX279" s="357">
        <v>0</v>
      </c>
      <c r="DY279" s="357">
        <v>0</v>
      </c>
      <c r="DZ279" s="357">
        <v>92113</v>
      </c>
      <c r="EA279" s="357">
        <v>0</v>
      </c>
      <c r="EB279" s="357">
        <v>0</v>
      </c>
      <c r="EC279" s="357">
        <v>0</v>
      </c>
      <c r="ED279" s="357">
        <v>0</v>
      </c>
      <c r="EE279" s="357">
        <v>0</v>
      </c>
      <c r="EF279" s="357">
        <v>0</v>
      </c>
      <c r="EG279" s="357">
        <v>239506</v>
      </c>
      <c r="EH279" s="357">
        <v>0</v>
      </c>
      <c r="EI279" s="357">
        <v>0</v>
      </c>
      <c r="EJ279" s="357">
        <v>239506</v>
      </c>
      <c r="EK279" s="357">
        <v>280165</v>
      </c>
      <c r="EL279" s="357">
        <v>0</v>
      </c>
      <c r="EM279" s="357">
        <v>0</v>
      </c>
      <c r="EN279" s="357">
        <v>280165</v>
      </c>
      <c r="EO279" s="357">
        <v>519671</v>
      </c>
      <c r="EP279" s="357">
        <v>0</v>
      </c>
      <c r="EQ279" s="357">
        <v>0</v>
      </c>
      <c r="ER279" s="357">
        <v>51967</v>
      </c>
      <c r="ES279" s="357">
        <v>0</v>
      </c>
      <c r="ET279" s="357">
        <v>0</v>
      </c>
      <c r="EU279" s="357">
        <v>571638</v>
      </c>
      <c r="EV279" s="357">
        <v>0</v>
      </c>
      <c r="EW279" s="357">
        <v>0</v>
      </c>
      <c r="EX279" s="357">
        <v>571638</v>
      </c>
      <c r="EY279" s="357">
        <v>33055512</v>
      </c>
      <c r="EZ279" s="357">
        <v>0</v>
      </c>
      <c r="FA279" s="357">
        <v>0</v>
      </c>
      <c r="FB279" s="357">
        <v>33055512</v>
      </c>
      <c r="FC279" s="277">
        <v>0</v>
      </c>
      <c r="FD279" s="205"/>
    </row>
    <row r="280" spans="1:160" ht="12.75">
      <c r="A280" s="169">
        <v>273</v>
      </c>
      <c r="B280" s="172" t="s">
        <v>476</v>
      </c>
      <c r="C280" s="258" t="s">
        <v>477</v>
      </c>
      <c r="D280" s="235">
        <v>41639</v>
      </c>
      <c r="E280" s="357">
        <v>54396724</v>
      </c>
      <c r="F280" s="357">
        <v>0</v>
      </c>
      <c r="G280" s="357">
        <v>0</v>
      </c>
      <c r="H280" s="357">
        <v>54396724</v>
      </c>
      <c r="I280" s="357">
        <v>25620857</v>
      </c>
      <c r="J280" s="357">
        <v>0</v>
      </c>
      <c r="K280" s="357">
        <v>0</v>
      </c>
      <c r="L280" s="357">
        <v>-150000</v>
      </c>
      <c r="M280" s="357">
        <v>0</v>
      </c>
      <c r="N280" s="357">
        <v>0</v>
      </c>
      <c r="O280" s="357">
        <v>25470857</v>
      </c>
      <c r="P280" s="357">
        <v>0</v>
      </c>
      <c r="Q280" s="357">
        <v>0</v>
      </c>
      <c r="R280" s="357">
        <v>25470857</v>
      </c>
      <c r="S280" s="357">
        <v>80314</v>
      </c>
      <c r="T280" s="357">
        <v>0</v>
      </c>
      <c r="U280" s="357">
        <v>0</v>
      </c>
      <c r="V280" s="357">
        <v>80314</v>
      </c>
      <c r="W280" s="357">
        <v>288</v>
      </c>
      <c r="X280" s="357">
        <v>0</v>
      </c>
      <c r="Y280" s="357">
        <v>0</v>
      </c>
      <c r="Z280" s="357">
        <v>288</v>
      </c>
      <c r="AA280" s="357">
        <v>80026</v>
      </c>
      <c r="AB280" s="357">
        <v>0</v>
      </c>
      <c r="AC280" s="357">
        <v>0</v>
      </c>
      <c r="AD280" s="357">
        <v>0</v>
      </c>
      <c r="AE280" s="357">
        <v>0</v>
      </c>
      <c r="AF280" s="357">
        <v>0</v>
      </c>
      <c r="AG280" s="357">
        <v>80026</v>
      </c>
      <c r="AH280" s="357">
        <v>0</v>
      </c>
      <c r="AI280" s="357">
        <v>0</v>
      </c>
      <c r="AJ280" s="357">
        <v>80026</v>
      </c>
      <c r="AK280" s="357">
        <v>80026</v>
      </c>
      <c r="AL280" s="357">
        <v>0</v>
      </c>
      <c r="AM280" s="357">
        <v>0</v>
      </c>
      <c r="AN280" s="357">
        <v>80026</v>
      </c>
      <c r="AO280" s="357">
        <v>1961170</v>
      </c>
      <c r="AP280" s="357">
        <v>0</v>
      </c>
      <c r="AQ280" s="357">
        <v>0</v>
      </c>
      <c r="AR280" s="357">
        <v>1961170</v>
      </c>
      <c r="AS280" s="357">
        <v>8341</v>
      </c>
      <c r="AT280" s="357">
        <v>0</v>
      </c>
      <c r="AU280" s="357">
        <v>0</v>
      </c>
      <c r="AV280" s="357">
        <v>8341</v>
      </c>
      <c r="AW280" s="357">
        <v>457988</v>
      </c>
      <c r="AX280" s="357">
        <v>0</v>
      </c>
      <c r="AY280" s="357">
        <v>0</v>
      </c>
      <c r="AZ280" s="357">
        <v>457988</v>
      </c>
      <c r="BA280" s="357">
        <v>1503182</v>
      </c>
      <c r="BB280" s="357">
        <v>0</v>
      </c>
      <c r="BC280" s="357">
        <v>0</v>
      </c>
      <c r="BD280" s="357">
        <v>1503182</v>
      </c>
      <c r="BE280" s="357">
        <v>2367598</v>
      </c>
      <c r="BF280" s="357">
        <v>0</v>
      </c>
      <c r="BG280" s="357">
        <v>0</v>
      </c>
      <c r="BH280" s="357">
        <v>2367598</v>
      </c>
      <c r="BI280" s="357">
        <v>30932</v>
      </c>
      <c r="BJ280" s="357">
        <v>0</v>
      </c>
      <c r="BK280" s="357">
        <v>0</v>
      </c>
      <c r="BL280" s="357">
        <v>30932</v>
      </c>
      <c r="BM280" s="357">
        <v>14733</v>
      </c>
      <c r="BN280" s="357">
        <v>0</v>
      </c>
      <c r="BO280" s="357">
        <v>0</v>
      </c>
      <c r="BP280" s="357">
        <v>14733</v>
      </c>
      <c r="BQ280" s="357">
        <v>3916445</v>
      </c>
      <c r="BR280" s="357">
        <v>0</v>
      </c>
      <c r="BS280" s="357">
        <v>0</v>
      </c>
      <c r="BT280" s="357">
        <v>0</v>
      </c>
      <c r="BU280" s="357">
        <v>0</v>
      </c>
      <c r="BV280" s="357">
        <v>0</v>
      </c>
      <c r="BW280" s="357">
        <v>3916445</v>
      </c>
      <c r="BX280" s="357">
        <v>0</v>
      </c>
      <c r="BY280" s="357">
        <v>0</v>
      </c>
      <c r="BZ280" s="357">
        <v>3916445</v>
      </c>
      <c r="CA280" s="357">
        <v>0</v>
      </c>
      <c r="CB280" s="357">
        <v>0</v>
      </c>
      <c r="CC280" s="357">
        <v>0</v>
      </c>
      <c r="CD280" s="357">
        <v>0</v>
      </c>
      <c r="CE280" s="357">
        <v>556514</v>
      </c>
      <c r="CF280" s="357">
        <v>0</v>
      </c>
      <c r="CG280" s="357">
        <v>0</v>
      </c>
      <c r="CH280" s="357">
        <v>556514</v>
      </c>
      <c r="CI280" s="357">
        <v>556514</v>
      </c>
      <c r="CJ280" s="357">
        <v>0</v>
      </c>
      <c r="CK280" s="357">
        <v>0</v>
      </c>
      <c r="CL280" s="357">
        <v>-20000</v>
      </c>
      <c r="CM280" s="357">
        <v>0</v>
      </c>
      <c r="CN280" s="357">
        <v>0</v>
      </c>
      <c r="CO280" s="357">
        <v>536514</v>
      </c>
      <c r="CP280" s="357">
        <v>0</v>
      </c>
      <c r="CQ280" s="357">
        <v>0</v>
      </c>
      <c r="CR280" s="357">
        <v>536514</v>
      </c>
      <c r="CS280" s="357">
        <v>51948</v>
      </c>
      <c r="CT280" s="357">
        <v>0</v>
      </c>
      <c r="CU280" s="357">
        <v>0</v>
      </c>
      <c r="CV280" s="357">
        <v>51948</v>
      </c>
      <c r="CW280" s="357">
        <v>13247</v>
      </c>
      <c r="CX280" s="357">
        <v>0</v>
      </c>
      <c r="CY280" s="357">
        <v>0</v>
      </c>
      <c r="CZ280" s="357">
        <v>13247</v>
      </c>
      <c r="DA280" s="357">
        <v>0</v>
      </c>
      <c r="DB280" s="357">
        <v>0</v>
      </c>
      <c r="DC280" s="357">
        <v>0</v>
      </c>
      <c r="DD280" s="357">
        <v>0</v>
      </c>
      <c r="DE280" s="357">
        <v>14733</v>
      </c>
      <c r="DF280" s="357">
        <v>0</v>
      </c>
      <c r="DG280" s="357">
        <v>0</v>
      </c>
      <c r="DH280" s="357">
        <v>14733</v>
      </c>
      <c r="DI280" s="357">
        <v>5181</v>
      </c>
      <c r="DJ280" s="357">
        <v>0</v>
      </c>
      <c r="DK280" s="357">
        <v>0</v>
      </c>
      <c r="DL280" s="357">
        <v>5181</v>
      </c>
      <c r="DM280" s="357">
        <v>1000</v>
      </c>
      <c r="DN280" s="357">
        <v>0</v>
      </c>
      <c r="DO280" s="357">
        <v>0</v>
      </c>
      <c r="DP280" s="357">
        <v>1000</v>
      </c>
      <c r="DQ280" s="357">
        <v>86109</v>
      </c>
      <c r="DR280" s="357">
        <v>0</v>
      </c>
      <c r="DS280" s="357">
        <v>0</v>
      </c>
      <c r="DT280" s="357">
        <v>0</v>
      </c>
      <c r="DU280" s="357">
        <v>0</v>
      </c>
      <c r="DV280" s="357">
        <v>0</v>
      </c>
      <c r="DW280" s="357">
        <v>86109</v>
      </c>
      <c r="DX280" s="357">
        <v>0</v>
      </c>
      <c r="DY280" s="357">
        <v>0</v>
      </c>
      <c r="DZ280" s="357">
        <v>86109</v>
      </c>
      <c r="EA280" s="357">
        <v>0</v>
      </c>
      <c r="EB280" s="357">
        <v>0</v>
      </c>
      <c r="EC280" s="357">
        <v>10000</v>
      </c>
      <c r="ED280" s="357">
        <v>0</v>
      </c>
      <c r="EE280" s="357">
        <v>0</v>
      </c>
      <c r="EF280" s="357">
        <v>10000</v>
      </c>
      <c r="EG280" s="357">
        <v>5000</v>
      </c>
      <c r="EH280" s="357">
        <v>0</v>
      </c>
      <c r="EI280" s="357">
        <v>0</v>
      </c>
      <c r="EJ280" s="357">
        <v>5000</v>
      </c>
      <c r="EK280" s="357">
        <v>329000</v>
      </c>
      <c r="EL280" s="357">
        <v>0</v>
      </c>
      <c r="EM280" s="357">
        <v>0</v>
      </c>
      <c r="EN280" s="357">
        <v>329000</v>
      </c>
      <c r="EO280" s="357">
        <v>344000</v>
      </c>
      <c r="EP280" s="357">
        <v>0</v>
      </c>
      <c r="EQ280" s="357">
        <v>0</v>
      </c>
      <c r="ER280" s="357">
        <v>0</v>
      </c>
      <c r="ES280" s="357">
        <v>0</v>
      </c>
      <c r="ET280" s="357">
        <v>0</v>
      </c>
      <c r="EU280" s="357">
        <v>344000</v>
      </c>
      <c r="EV280" s="357">
        <v>0</v>
      </c>
      <c r="EW280" s="357">
        <v>0</v>
      </c>
      <c r="EX280" s="357">
        <v>344000</v>
      </c>
      <c r="EY280" s="357">
        <v>20507763</v>
      </c>
      <c r="EZ280" s="357">
        <v>0</v>
      </c>
      <c r="FA280" s="357">
        <v>0</v>
      </c>
      <c r="FB280" s="357">
        <v>20507763</v>
      </c>
      <c r="FC280" s="277">
        <v>0</v>
      </c>
      <c r="FD280" s="205"/>
    </row>
    <row r="281" spans="1:160" ht="12.75">
      <c r="A281" s="169">
        <v>274</v>
      </c>
      <c r="B281" s="172" t="s">
        <v>478</v>
      </c>
      <c r="C281" s="258" t="s">
        <v>479</v>
      </c>
      <c r="D281" s="235">
        <v>41639</v>
      </c>
      <c r="E281" s="357">
        <v>101695780</v>
      </c>
      <c r="F281" s="357">
        <v>0</v>
      </c>
      <c r="G281" s="357">
        <v>0</v>
      </c>
      <c r="H281" s="357">
        <v>101695780</v>
      </c>
      <c r="I281" s="357">
        <v>47898712</v>
      </c>
      <c r="J281" s="357">
        <v>0</v>
      </c>
      <c r="K281" s="357">
        <v>0</v>
      </c>
      <c r="L281" s="357">
        <v>-1330519</v>
      </c>
      <c r="M281" s="357">
        <v>0</v>
      </c>
      <c r="N281" s="357">
        <v>0</v>
      </c>
      <c r="O281" s="357">
        <v>46568193</v>
      </c>
      <c r="P281" s="357">
        <v>0</v>
      </c>
      <c r="Q281" s="357">
        <v>0</v>
      </c>
      <c r="R281" s="357">
        <v>46568193</v>
      </c>
      <c r="S281" s="357">
        <v>31145</v>
      </c>
      <c r="T281" s="357">
        <v>0</v>
      </c>
      <c r="U281" s="357">
        <v>0</v>
      </c>
      <c r="V281" s="357">
        <v>31145</v>
      </c>
      <c r="W281" s="357">
        <v>14500</v>
      </c>
      <c r="X281" s="357">
        <v>0</v>
      </c>
      <c r="Y281" s="357">
        <v>0</v>
      </c>
      <c r="Z281" s="357">
        <v>14500</v>
      </c>
      <c r="AA281" s="357">
        <v>16645</v>
      </c>
      <c r="AB281" s="357">
        <v>0</v>
      </c>
      <c r="AC281" s="357">
        <v>0</v>
      </c>
      <c r="AD281" s="357">
        <v>0</v>
      </c>
      <c r="AE281" s="357">
        <v>0</v>
      </c>
      <c r="AF281" s="357">
        <v>0</v>
      </c>
      <c r="AG281" s="357">
        <v>16645</v>
      </c>
      <c r="AH281" s="357">
        <v>0</v>
      </c>
      <c r="AI281" s="357">
        <v>0</v>
      </c>
      <c r="AJ281" s="357">
        <v>16645</v>
      </c>
      <c r="AK281" s="357">
        <v>16645</v>
      </c>
      <c r="AL281" s="357">
        <v>0</v>
      </c>
      <c r="AM281" s="357">
        <v>0</v>
      </c>
      <c r="AN281" s="357">
        <v>16645</v>
      </c>
      <c r="AO281" s="357">
        <v>2247913</v>
      </c>
      <c r="AP281" s="357">
        <v>0</v>
      </c>
      <c r="AQ281" s="357">
        <v>0</v>
      </c>
      <c r="AR281" s="357">
        <v>2247913</v>
      </c>
      <c r="AS281" s="357">
        <v>24000</v>
      </c>
      <c r="AT281" s="357">
        <v>0</v>
      </c>
      <c r="AU281" s="357">
        <v>0</v>
      </c>
      <c r="AV281" s="357">
        <v>24000</v>
      </c>
      <c r="AW281" s="357">
        <v>787328</v>
      </c>
      <c r="AX281" s="357">
        <v>0</v>
      </c>
      <c r="AY281" s="357">
        <v>0</v>
      </c>
      <c r="AZ281" s="357">
        <v>787328</v>
      </c>
      <c r="BA281" s="357">
        <v>1460585</v>
      </c>
      <c r="BB281" s="357">
        <v>0</v>
      </c>
      <c r="BC281" s="357">
        <v>0</v>
      </c>
      <c r="BD281" s="357">
        <v>1460585</v>
      </c>
      <c r="BE281" s="357">
        <v>3100378</v>
      </c>
      <c r="BF281" s="357">
        <v>0</v>
      </c>
      <c r="BG281" s="357">
        <v>0</v>
      </c>
      <c r="BH281" s="357">
        <v>3100378</v>
      </c>
      <c r="BI281" s="357">
        <v>46150</v>
      </c>
      <c r="BJ281" s="357">
        <v>0</v>
      </c>
      <c r="BK281" s="357">
        <v>0</v>
      </c>
      <c r="BL281" s="357">
        <v>46150</v>
      </c>
      <c r="BM281" s="357">
        <v>37242</v>
      </c>
      <c r="BN281" s="357">
        <v>0</v>
      </c>
      <c r="BO281" s="357">
        <v>0</v>
      </c>
      <c r="BP281" s="357">
        <v>37242</v>
      </c>
      <c r="BQ281" s="357">
        <v>4644355</v>
      </c>
      <c r="BR281" s="357">
        <v>0</v>
      </c>
      <c r="BS281" s="357">
        <v>0</v>
      </c>
      <c r="BT281" s="357">
        <v>-103736</v>
      </c>
      <c r="BU281" s="357">
        <v>0</v>
      </c>
      <c r="BV281" s="357">
        <v>0</v>
      </c>
      <c r="BW281" s="357">
        <v>4540619</v>
      </c>
      <c r="BX281" s="357">
        <v>0</v>
      </c>
      <c r="BY281" s="357">
        <v>0</v>
      </c>
      <c r="BZ281" s="357">
        <v>4540619</v>
      </c>
      <c r="CA281" s="357">
        <v>30000</v>
      </c>
      <c r="CB281" s="357">
        <v>0</v>
      </c>
      <c r="CC281" s="357">
        <v>0</v>
      </c>
      <c r="CD281" s="357">
        <v>30000</v>
      </c>
      <c r="CE281" s="357">
        <v>1578689</v>
      </c>
      <c r="CF281" s="357">
        <v>0</v>
      </c>
      <c r="CG281" s="357">
        <v>0</v>
      </c>
      <c r="CH281" s="357">
        <v>1578689</v>
      </c>
      <c r="CI281" s="357">
        <v>1608689</v>
      </c>
      <c r="CJ281" s="357">
        <v>0</v>
      </c>
      <c r="CK281" s="357">
        <v>0</v>
      </c>
      <c r="CL281" s="357">
        <v>10000</v>
      </c>
      <c r="CM281" s="357">
        <v>0</v>
      </c>
      <c r="CN281" s="357">
        <v>0</v>
      </c>
      <c r="CO281" s="357">
        <v>1618689</v>
      </c>
      <c r="CP281" s="357">
        <v>0</v>
      </c>
      <c r="CQ281" s="357">
        <v>0</v>
      </c>
      <c r="CR281" s="357">
        <v>1618689</v>
      </c>
      <c r="CS281" s="357">
        <v>87381</v>
      </c>
      <c r="CT281" s="357">
        <v>0</v>
      </c>
      <c r="CU281" s="357">
        <v>0</v>
      </c>
      <c r="CV281" s="357">
        <v>87381</v>
      </c>
      <c r="CW281" s="357">
        <v>50327</v>
      </c>
      <c r="CX281" s="357">
        <v>0</v>
      </c>
      <c r="CY281" s="357">
        <v>0</v>
      </c>
      <c r="CZ281" s="357">
        <v>50327</v>
      </c>
      <c r="DA281" s="357">
        <v>2329</v>
      </c>
      <c r="DB281" s="357">
        <v>0</v>
      </c>
      <c r="DC281" s="357">
        <v>0</v>
      </c>
      <c r="DD281" s="357">
        <v>2329</v>
      </c>
      <c r="DE281" s="357">
        <v>11428</v>
      </c>
      <c r="DF281" s="357">
        <v>0</v>
      </c>
      <c r="DG281" s="357">
        <v>0</v>
      </c>
      <c r="DH281" s="357">
        <v>11428</v>
      </c>
      <c r="DI281" s="357">
        <v>0</v>
      </c>
      <c r="DJ281" s="357">
        <v>0</v>
      </c>
      <c r="DK281" s="357">
        <v>0</v>
      </c>
      <c r="DL281" s="357">
        <v>0</v>
      </c>
      <c r="DM281" s="357">
        <v>16568</v>
      </c>
      <c r="DN281" s="357">
        <v>0</v>
      </c>
      <c r="DO281" s="357">
        <v>0</v>
      </c>
      <c r="DP281" s="357">
        <v>16568</v>
      </c>
      <c r="DQ281" s="357">
        <v>168033</v>
      </c>
      <c r="DR281" s="357">
        <v>0</v>
      </c>
      <c r="DS281" s="357">
        <v>0</v>
      </c>
      <c r="DT281" s="357">
        <v>30000</v>
      </c>
      <c r="DU281" s="357">
        <v>0</v>
      </c>
      <c r="DV281" s="357">
        <v>0</v>
      </c>
      <c r="DW281" s="357">
        <v>198033</v>
      </c>
      <c r="DX281" s="357">
        <v>0</v>
      </c>
      <c r="DY281" s="357">
        <v>0</v>
      </c>
      <c r="DZ281" s="357">
        <v>198033</v>
      </c>
      <c r="EA281" s="357">
        <v>0</v>
      </c>
      <c r="EB281" s="357">
        <v>0</v>
      </c>
      <c r="EC281" s="357">
        <v>44751</v>
      </c>
      <c r="ED281" s="357">
        <v>0</v>
      </c>
      <c r="EE281" s="357">
        <v>0</v>
      </c>
      <c r="EF281" s="357">
        <v>44751</v>
      </c>
      <c r="EG281" s="357">
        <v>98262</v>
      </c>
      <c r="EH281" s="357">
        <v>0</v>
      </c>
      <c r="EI281" s="357">
        <v>0</v>
      </c>
      <c r="EJ281" s="357">
        <v>98262</v>
      </c>
      <c r="EK281" s="357">
        <v>493050</v>
      </c>
      <c r="EL281" s="357">
        <v>0</v>
      </c>
      <c r="EM281" s="357">
        <v>0</v>
      </c>
      <c r="EN281" s="357">
        <v>493050</v>
      </c>
      <c r="EO281" s="357">
        <v>636063</v>
      </c>
      <c r="EP281" s="357">
        <v>0</v>
      </c>
      <c r="EQ281" s="357">
        <v>0</v>
      </c>
      <c r="ER281" s="357">
        <v>25000</v>
      </c>
      <c r="ES281" s="357">
        <v>0</v>
      </c>
      <c r="ET281" s="357">
        <v>0</v>
      </c>
      <c r="EU281" s="357">
        <v>661063</v>
      </c>
      <c r="EV281" s="357">
        <v>0</v>
      </c>
      <c r="EW281" s="357">
        <v>0</v>
      </c>
      <c r="EX281" s="357">
        <v>661063</v>
      </c>
      <c r="EY281" s="357">
        <v>39533144</v>
      </c>
      <c r="EZ281" s="357">
        <v>0</v>
      </c>
      <c r="FA281" s="357">
        <v>0</v>
      </c>
      <c r="FB281" s="357">
        <v>39533144</v>
      </c>
      <c r="FC281" s="277">
        <v>0</v>
      </c>
      <c r="FD281" s="205"/>
    </row>
    <row r="282" spans="1:160" ht="12.75">
      <c r="A282" s="169">
        <v>275</v>
      </c>
      <c r="B282" s="172" t="s">
        <v>480</v>
      </c>
      <c r="C282" s="258" t="s">
        <v>481</v>
      </c>
      <c r="D282" s="235">
        <v>80114</v>
      </c>
      <c r="E282" s="357">
        <v>81485337</v>
      </c>
      <c r="F282" s="357">
        <v>0</v>
      </c>
      <c r="G282" s="357">
        <v>0</v>
      </c>
      <c r="H282" s="357">
        <v>81485337</v>
      </c>
      <c r="I282" s="357">
        <v>38379594</v>
      </c>
      <c r="J282" s="357">
        <v>0</v>
      </c>
      <c r="K282" s="357">
        <v>0</v>
      </c>
      <c r="L282" s="357">
        <v>0</v>
      </c>
      <c r="M282" s="357">
        <v>0</v>
      </c>
      <c r="N282" s="357">
        <v>0</v>
      </c>
      <c r="O282" s="357">
        <v>38379594</v>
      </c>
      <c r="P282" s="357">
        <v>0</v>
      </c>
      <c r="Q282" s="357">
        <v>0</v>
      </c>
      <c r="R282" s="357">
        <v>38379594</v>
      </c>
      <c r="S282" s="357">
        <v>247000.64</v>
      </c>
      <c r="T282" s="357">
        <v>0</v>
      </c>
      <c r="U282" s="357">
        <v>0</v>
      </c>
      <c r="V282" s="357">
        <v>247000.64</v>
      </c>
      <c r="W282" s="357">
        <v>76749.19</v>
      </c>
      <c r="X282" s="357">
        <v>0</v>
      </c>
      <c r="Y282" s="357">
        <v>0</v>
      </c>
      <c r="Z282" s="357">
        <v>76749.19</v>
      </c>
      <c r="AA282" s="357">
        <v>170251.45</v>
      </c>
      <c r="AB282" s="357">
        <v>0</v>
      </c>
      <c r="AC282" s="357">
        <v>0</v>
      </c>
      <c r="AD282" s="357">
        <v>0</v>
      </c>
      <c r="AE282" s="357">
        <v>0</v>
      </c>
      <c r="AF282" s="357">
        <v>0</v>
      </c>
      <c r="AG282" s="357">
        <v>170251.45</v>
      </c>
      <c r="AH282" s="357">
        <v>0</v>
      </c>
      <c r="AI282" s="357">
        <v>0</v>
      </c>
      <c r="AJ282" s="357">
        <v>170251.45</v>
      </c>
      <c r="AK282" s="357">
        <v>170251.45</v>
      </c>
      <c r="AL282" s="357">
        <v>0</v>
      </c>
      <c r="AM282" s="357">
        <v>0</v>
      </c>
      <c r="AN282" s="357">
        <v>170251.45</v>
      </c>
      <c r="AO282" s="357">
        <v>3408264.55</v>
      </c>
      <c r="AP282" s="357">
        <v>0</v>
      </c>
      <c r="AQ282" s="357">
        <v>0</v>
      </c>
      <c r="AR282" s="357">
        <v>3408264.55</v>
      </c>
      <c r="AS282" s="357">
        <v>10000</v>
      </c>
      <c r="AT282" s="357">
        <v>0</v>
      </c>
      <c r="AU282" s="357">
        <v>0</v>
      </c>
      <c r="AV282" s="357">
        <v>10000</v>
      </c>
      <c r="AW282" s="357">
        <v>672448.2</v>
      </c>
      <c r="AX282" s="357">
        <v>0</v>
      </c>
      <c r="AY282" s="357">
        <v>0</v>
      </c>
      <c r="AZ282" s="357">
        <v>672448.2</v>
      </c>
      <c r="BA282" s="357">
        <v>2735816.35</v>
      </c>
      <c r="BB282" s="357">
        <v>0</v>
      </c>
      <c r="BC282" s="357">
        <v>0</v>
      </c>
      <c r="BD282" s="357">
        <v>2735816.35</v>
      </c>
      <c r="BE282" s="357">
        <v>1985836.47</v>
      </c>
      <c r="BF282" s="357">
        <v>0</v>
      </c>
      <c r="BG282" s="357">
        <v>0</v>
      </c>
      <c r="BH282" s="357">
        <v>1985836.47</v>
      </c>
      <c r="BI282" s="357">
        <v>71374</v>
      </c>
      <c r="BJ282" s="357">
        <v>0</v>
      </c>
      <c r="BK282" s="357">
        <v>0</v>
      </c>
      <c r="BL282" s="357">
        <v>71374</v>
      </c>
      <c r="BM282" s="357">
        <v>55628</v>
      </c>
      <c r="BN282" s="357">
        <v>0</v>
      </c>
      <c r="BO282" s="357">
        <v>0</v>
      </c>
      <c r="BP282" s="357">
        <v>55628</v>
      </c>
      <c r="BQ282" s="357">
        <v>4848654.82</v>
      </c>
      <c r="BR282" s="357">
        <v>0</v>
      </c>
      <c r="BS282" s="357">
        <v>0</v>
      </c>
      <c r="BT282" s="357">
        <v>6862</v>
      </c>
      <c r="BU282" s="357">
        <v>0</v>
      </c>
      <c r="BV282" s="357">
        <v>0</v>
      </c>
      <c r="BW282" s="357">
        <v>4855516.82</v>
      </c>
      <c r="BX282" s="357">
        <v>0</v>
      </c>
      <c r="BY282" s="357">
        <v>0</v>
      </c>
      <c r="BZ282" s="357">
        <v>4855516.82</v>
      </c>
      <c r="CA282" s="357">
        <v>0</v>
      </c>
      <c r="CB282" s="357">
        <v>0</v>
      </c>
      <c r="CC282" s="357">
        <v>0</v>
      </c>
      <c r="CD282" s="357">
        <v>0</v>
      </c>
      <c r="CE282" s="357">
        <v>720004.17</v>
      </c>
      <c r="CF282" s="357">
        <v>0</v>
      </c>
      <c r="CG282" s="357">
        <v>0</v>
      </c>
      <c r="CH282" s="357">
        <v>720004.17</v>
      </c>
      <c r="CI282" s="357">
        <v>720004.17</v>
      </c>
      <c r="CJ282" s="357">
        <v>0</v>
      </c>
      <c r="CK282" s="357">
        <v>0</v>
      </c>
      <c r="CL282" s="357">
        <v>0</v>
      </c>
      <c r="CM282" s="357">
        <v>0</v>
      </c>
      <c r="CN282" s="357">
        <v>0</v>
      </c>
      <c r="CO282" s="357">
        <v>720004.17</v>
      </c>
      <c r="CP282" s="357">
        <v>0</v>
      </c>
      <c r="CQ282" s="357">
        <v>0</v>
      </c>
      <c r="CR282" s="357">
        <v>720004.17</v>
      </c>
      <c r="CS282" s="357">
        <v>90117.36</v>
      </c>
      <c r="CT282" s="357">
        <v>0</v>
      </c>
      <c r="CU282" s="357">
        <v>0</v>
      </c>
      <c r="CV282" s="357">
        <v>90117.36</v>
      </c>
      <c r="CW282" s="357">
        <v>52836.75</v>
      </c>
      <c r="CX282" s="357">
        <v>0</v>
      </c>
      <c r="CY282" s="357">
        <v>0</v>
      </c>
      <c r="CZ282" s="357">
        <v>52836.75</v>
      </c>
      <c r="DA282" s="357">
        <v>7211.34</v>
      </c>
      <c r="DB282" s="357">
        <v>0</v>
      </c>
      <c r="DC282" s="357">
        <v>0</v>
      </c>
      <c r="DD282" s="357">
        <v>7211.34</v>
      </c>
      <c r="DE282" s="357">
        <v>33268.76</v>
      </c>
      <c r="DF282" s="357">
        <v>0</v>
      </c>
      <c r="DG282" s="357">
        <v>0</v>
      </c>
      <c r="DH282" s="357">
        <v>33268.76</v>
      </c>
      <c r="DI282" s="357">
        <v>3141.8</v>
      </c>
      <c r="DJ282" s="357">
        <v>0</v>
      </c>
      <c r="DK282" s="357">
        <v>0</v>
      </c>
      <c r="DL282" s="357">
        <v>3141.8</v>
      </c>
      <c r="DM282" s="357">
        <v>0</v>
      </c>
      <c r="DN282" s="357">
        <v>0</v>
      </c>
      <c r="DO282" s="357">
        <v>0</v>
      </c>
      <c r="DP282" s="357">
        <v>0</v>
      </c>
      <c r="DQ282" s="357">
        <v>186576.01</v>
      </c>
      <c r="DR282" s="357">
        <v>0</v>
      </c>
      <c r="DS282" s="357">
        <v>0</v>
      </c>
      <c r="DT282" s="357">
        <v>0</v>
      </c>
      <c r="DU282" s="357">
        <v>0</v>
      </c>
      <c r="DV282" s="357">
        <v>0</v>
      </c>
      <c r="DW282" s="357">
        <v>186576.01</v>
      </c>
      <c r="DX282" s="357">
        <v>0</v>
      </c>
      <c r="DY282" s="357">
        <v>0</v>
      </c>
      <c r="DZ282" s="357">
        <v>186576.01</v>
      </c>
      <c r="EA282" s="357">
        <v>0</v>
      </c>
      <c r="EB282" s="357">
        <v>0</v>
      </c>
      <c r="EC282" s="357">
        <v>0</v>
      </c>
      <c r="ED282" s="357">
        <v>0</v>
      </c>
      <c r="EE282" s="357">
        <v>0</v>
      </c>
      <c r="EF282" s="357">
        <v>0</v>
      </c>
      <c r="EG282" s="357">
        <v>10000</v>
      </c>
      <c r="EH282" s="357">
        <v>0</v>
      </c>
      <c r="EI282" s="357">
        <v>0</v>
      </c>
      <c r="EJ282" s="357">
        <v>10000</v>
      </c>
      <c r="EK282" s="357">
        <v>448000</v>
      </c>
      <c r="EL282" s="357">
        <v>0</v>
      </c>
      <c r="EM282" s="357">
        <v>0</v>
      </c>
      <c r="EN282" s="357">
        <v>448000</v>
      </c>
      <c r="EO282" s="357">
        <v>458000</v>
      </c>
      <c r="EP282" s="357">
        <v>0</v>
      </c>
      <c r="EQ282" s="357">
        <v>0</v>
      </c>
      <c r="ER282" s="357">
        <v>0</v>
      </c>
      <c r="ES282" s="357">
        <v>0</v>
      </c>
      <c r="ET282" s="357">
        <v>0</v>
      </c>
      <c r="EU282" s="357">
        <v>458000</v>
      </c>
      <c r="EV282" s="357">
        <v>0</v>
      </c>
      <c r="EW282" s="357">
        <v>0</v>
      </c>
      <c r="EX282" s="357">
        <v>458000</v>
      </c>
      <c r="EY282" s="357">
        <v>31989245.6</v>
      </c>
      <c r="EZ282" s="357">
        <v>0</v>
      </c>
      <c r="FA282" s="357">
        <v>0</v>
      </c>
      <c r="FB282" s="357">
        <v>31989245.6</v>
      </c>
      <c r="FC282" s="277">
        <v>0</v>
      </c>
      <c r="FD282" s="205"/>
    </row>
    <row r="283" spans="1:160" ht="12.75">
      <c r="A283" s="169">
        <v>276</v>
      </c>
      <c r="B283" s="172" t="s">
        <v>482</v>
      </c>
      <c r="C283" s="258" t="s">
        <v>483</v>
      </c>
      <c r="D283" s="235">
        <v>311213</v>
      </c>
      <c r="E283" s="357">
        <v>166398837</v>
      </c>
      <c r="F283" s="357">
        <v>0</v>
      </c>
      <c r="G283" s="357">
        <v>0</v>
      </c>
      <c r="H283" s="357">
        <v>166398837</v>
      </c>
      <c r="I283" s="357">
        <v>78373852</v>
      </c>
      <c r="J283" s="357">
        <v>0</v>
      </c>
      <c r="K283" s="357">
        <v>0</v>
      </c>
      <c r="L283" s="357">
        <v>2335636.73</v>
      </c>
      <c r="M283" s="357">
        <v>0</v>
      </c>
      <c r="N283" s="357">
        <v>0</v>
      </c>
      <c r="O283" s="357">
        <v>80709488.7</v>
      </c>
      <c r="P283" s="357">
        <v>0</v>
      </c>
      <c r="Q283" s="357">
        <v>0</v>
      </c>
      <c r="R283" s="357">
        <v>80709488.7</v>
      </c>
      <c r="S283" s="357">
        <v>49705.04</v>
      </c>
      <c r="T283" s="357">
        <v>0</v>
      </c>
      <c r="U283" s="357">
        <v>0</v>
      </c>
      <c r="V283" s="357">
        <v>49705.04</v>
      </c>
      <c r="W283" s="357">
        <v>60741.19</v>
      </c>
      <c r="X283" s="357">
        <v>0</v>
      </c>
      <c r="Y283" s="357">
        <v>0</v>
      </c>
      <c r="Z283" s="357">
        <v>60741.19</v>
      </c>
      <c r="AA283" s="357">
        <v>-11036.15</v>
      </c>
      <c r="AB283" s="357">
        <v>0</v>
      </c>
      <c r="AC283" s="357">
        <v>0</v>
      </c>
      <c r="AD283" s="357">
        <v>0</v>
      </c>
      <c r="AE283" s="357">
        <v>0</v>
      </c>
      <c r="AF283" s="357">
        <v>0</v>
      </c>
      <c r="AG283" s="357">
        <v>-11036.15</v>
      </c>
      <c r="AH283" s="357">
        <v>0</v>
      </c>
      <c r="AI283" s="357">
        <v>0</v>
      </c>
      <c r="AJ283" s="357">
        <v>-11036.15</v>
      </c>
      <c r="AK283" s="357">
        <v>-11036.15</v>
      </c>
      <c r="AL283" s="357">
        <v>0</v>
      </c>
      <c r="AM283" s="357">
        <v>0</v>
      </c>
      <c r="AN283" s="357">
        <v>-11036.15</v>
      </c>
      <c r="AO283" s="357">
        <v>2435582.67</v>
      </c>
      <c r="AP283" s="357">
        <v>0</v>
      </c>
      <c r="AQ283" s="357">
        <v>0</v>
      </c>
      <c r="AR283" s="357">
        <v>2435582.67</v>
      </c>
      <c r="AS283" s="357">
        <v>243558</v>
      </c>
      <c r="AT283" s="357">
        <v>0</v>
      </c>
      <c r="AU283" s="357">
        <v>0</v>
      </c>
      <c r="AV283" s="357">
        <v>243558</v>
      </c>
      <c r="AW283" s="357">
        <v>1635515.54</v>
      </c>
      <c r="AX283" s="357">
        <v>0</v>
      </c>
      <c r="AY283" s="357">
        <v>0</v>
      </c>
      <c r="AZ283" s="357">
        <v>1635515.54</v>
      </c>
      <c r="BA283" s="357">
        <v>800067.13</v>
      </c>
      <c r="BB283" s="357">
        <v>0</v>
      </c>
      <c r="BC283" s="357">
        <v>0</v>
      </c>
      <c r="BD283" s="357">
        <v>800067.13</v>
      </c>
      <c r="BE283" s="357">
        <v>3869632.74</v>
      </c>
      <c r="BF283" s="357">
        <v>0</v>
      </c>
      <c r="BG283" s="357">
        <v>0</v>
      </c>
      <c r="BH283" s="357">
        <v>3869632.74</v>
      </c>
      <c r="BI283" s="357">
        <v>34551.8</v>
      </c>
      <c r="BJ283" s="357">
        <v>0</v>
      </c>
      <c r="BK283" s="357">
        <v>0</v>
      </c>
      <c r="BL283" s="357">
        <v>34551.8</v>
      </c>
      <c r="BM283" s="357">
        <v>7377.01</v>
      </c>
      <c r="BN283" s="357">
        <v>0</v>
      </c>
      <c r="BO283" s="357">
        <v>0</v>
      </c>
      <c r="BP283" s="357">
        <v>7377.01</v>
      </c>
      <c r="BQ283" s="357">
        <v>4711628.68</v>
      </c>
      <c r="BR283" s="357">
        <v>0</v>
      </c>
      <c r="BS283" s="357">
        <v>0</v>
      </c>
      <c r="BT283" s="357">
        <v>494721</v>
      </c>
      <c r="BU283" s="357">
        <v>0</v>
      </c>
      <c r="BV283" s="357">
        <v>0</v>
      </c>
      <c r="BW283" s="357">
        <v>5206349.68</v>
      </c>
      <c r="BX283" s="357">
        <v>0</v>
      </c>
      <c r="BY283" s="357">
        <v>0</v>
      </c>
      <c r="BZ283" s="357">
        <v>5206349.68</v>
      </c>
      <c r="CA283" s="357">
        <v>273325</v>
      </c>
      <c r="CB283" s="357">
        <v>0</v>
      </c>
      <c r="CC283" s="357">
        <v>0</v>
      </c>
      <c r="CD283" s="357">
        <v>273325</v>
      </c>
      <c r="CE283" s="357">
        <v>3515306.12</v>
      </c>
      <c r="CF283" s="357">
        <v>0</v>
      </c>
      <c r="CG283" s="357">
        <v>0</v>
      </c>
      <c r="CH283" s="357">
        <v>3515306.12</v>
      </c>
      <c r="CI283" s="357">
        <v>3788631.12</v>
      </c>
      <c r="CJ283" s="357">
        <v>0</v>
      </c>
      <c r="CK283" s="357">
        <v>0</v>
      </c>
      <c r="CL283" s="357">
        <v>0</v>
      </c>
      <c r="CM283" s="357">
        <v>0</v>
      </c>
      <c r="CN283" s="357">
        <v>0</v>
      </c>
      <c r="CO283" s="357">
        <v>3788631.12</v>
      </c>
      <c r="CP283" s="357">
        <v>0</v>
      </c>
      <c r="CQ283" s="357">
        <v>0</v>
      </c>
      <c r="CR283" s="357">
        <v>3788631.12</v>
      </c>
      <c r="CS283" s="357">
        <v>219910</v>
      </c>
      <c r="CT283" s="357">
        <v>0</v>
      </c>
      <c r="CU283" s="357">
        <v>0</v>
      </c>
      <c r="CV283" s="357">
        <v>219910</v>
      </c>
      <c r="CW283" s="357">
        <v>53437</v>
      </c>
      <c r="CX283" s="357">
        <v>0</v>
      </c>
      <c r="CY283" s="357">
        <v>0</v>
      </c>
      <c r="CZ283" s="357">
        <v>53437</v>
      </c>
      <c r="DA283" s="357">
        <v>2322</v>
      </c>
      <c r="DB283" s="357">
        <v>0</v>
      </c>
      <c r="DC283" s="357">
        <v>0</v>
      </c>
      <c r="DD283" s="357">
        <v>2322</v>
      </c>
      <c r="DE283" s="357">
        <v>6420</v>
      </c>
      <c r="DF283" s="357">
        <v>0</v>
      </c>
      <c r="DG283" s="357">
        <v>0</v>
      </c>
      <c r="DH283" s="357">
        <v>6420</v>
      </c>
      <c r="DI283" s="357">
        <v>0</v>
      </c>
      <c r="DJ283" s="357">
        <v>0</v>
      </c>
      <c r="DK283" s="357">
        <v>0</v>
      </c>
      <c r="DL283" s="357">
        <v>0</v>
      </c>
      <c r="DM283" s="357">
        <v>200000</v>
      </c>
      <c r="DN283" s="357">
        <v>0</v>
      </c>
      <c r="DO283" s="357">
        <v>0</v>
      </c>
      <c r="DP283" s="357">
        <v>200000</v>
      </c>
      <c r="DQ283" s="357">
        <v>482089</v>
      </c>
      <c r="DR283" s="357">
        <v>0</v>
      </c>
      <c r="DS283" s="357">
        <v>0</v>
      </c>
      <c r="DT283" s="357">
        <v>0</v>
      </c>
      <c r="DU283" s="357">
        <v>0</v>
      </c>
      <c r="DV283" s="357">
        <v>0</v>
      </c>
      <c r="DW283" s="357">
        <v>482089</v>
      </c>
      <c r="DX283" s="357">
        <v>0</v>
      </c>
      <c r="DY283" s="357">
        <v>0</v>
      </c>
      <c r="DZ283" s="357">
        <v>482089</v>
      </c>
      <c r="EA283" s="357">
        <v>0</v>
      </c>
      <c r="EB283" s="357">
        <v>0</v>
      </c>
      <c r="EC283" s="357">
        <v>440000</v>
      </c>
      <c r="ED283" s="357">
        <v>0</v>
      </c>
      <c r="EE283" s="357">
        <v>0</v>
      </c>
      <c r="EF283" s="357">
        <v>440000</v>
      </c>
      <c r="EG283" s="357">
        <v>310577</v>
      </c>
      <c r="EH283" s="357">
        <v>0</v>
      </c>
      <c r="EI283" s="357">
        <v>0</v>
      </c>
      <c r="EJ283" s="357">
        <v>310577</v>
      </c>
      <c r="EK283" s="357">
        <v>300000</v>
      </c>
      <c r="EL283" s="357">
        <v>0</v>
      </c>
      <c r="EM283" s="357">
        <v>0</v>
      </c>
      <c r="EN283" s="357">
        <v>300000</v>
      </c>
      <c r="EO283" s="357">
        <v>1050577</v>
      </c>
      <c r="EP283" s="357">
        <v>0</v>
      </c>
      <c r="EQ283" s="357">
        <v>0</v>
      </c>
      <c r="ER283" s="357">
        <v>0</v>
      </c>
      <c r="ES283" s="357">
        <v>0</v>
      </c>
      <c r="ET283" s="357">
        <v>0</v>
      </c>
      <c r="EU283" s="357">
        <v>1050577</v>
      </c>
      <c r="EV283" s="357">
        <v>0</v>
      </c>
      <c r="EW283" s="357">
        <v>0</v>
      </c>
      <c r="EX283" s="357">
        <v>1050577</v>
      </c>
      <c r="EY283" s="357">
        <v>70192878.1</v>
      </c>
      <c r="EZ283" s="357">
        <v>0</v>
      </c>
      <c r="FA283" s="357">
        <v>0</v>
      </c>
      <c r="FB283" s="357">
        <v>70192878.1</v>
      </c>
      <c r="FC283" s="277">
        <v>0</v>
      </c>
      <c r="FD283" s="205"/>
    </row>
    <row r="284" spans="1:160" ht="12.75">
      <c r="A284" s="169">
        <v>277</v>
      </c>
      <c r="B284" s="172" t="s">
        <v>484</v>
      </c>
      <c r="C284" s="258" t="s">
        <v>485</v>
      </c>
      <c r="D284" s="235">
        <v>41639</v>
      </c>
      <c r="E284" s="357">
        <v>70738366</v>
      </c>
      <c r="F284" s="357">
        <v>0</v>
      </c>
      <c r="G284" s="357">
        <v>0</v>
      </c>
      <c r="H284" s="357">
        <v>70738366</v>
      </c>
      <c r="I284" s="357">
        <v>33317770</v>
      </c>
      <c r="J284" s="357">
        <v>0</v>
      </c>
      <c r="K284" s="357">
        <v>0</v>
      </c>
      <c r="L284" s="357">
        <v>-1200000</v>
      </c>
      <c r="M284" s="357">
        <v>0</v>
      </c>
      <c r="N284" s="357">
        <v>0</v>
      </c>
      <c r="O284" s="357">
        <v>32117770</v>
      </c>
      <c r="P284" s="357">
        <v>0</v>
      </c>
      <c r="Q284" s="357">
        <v>0</v>
      </c>
      <c r="R284" s="357">
        <v>32117770</v>
      </c>
      <c r="S284" s="357">
        <v>81357</v>
      </c>
      <c r="T284" s="357">
        <v>0</v>
      </c>
      <c r="U284" s="357">
        <v>0</v>
      </c>
      <c r="V284" s="357">
        <v>81357</v>
      </c>
      <c r="W284" s="357">
        <v>5512</v>
      </c>
      <c r="X284" s="357">
        <v>0</v>
      </c>
      <c r="Y284" s="357">
        <v>0</v>
      </c>
      <c r="Z284" s="357">
        <v>5512</v>
      </c>
      <c r="AA284" s="357">
        <v>75845</v>
      </c>
      <c r="AB284" s="357">
        <v>0</v>
      </c>
      <c r="AC284" s="357">
        <v>0</v>
      </c>
      <c r="AD284" s="357">
        <v>0</v>
      </c>
      <c r="AE284" s="357">
        <v>0</v>
      </c>
      <c r="AF284" s="357">
        <v>0</v>
      </c>
      <c r="AG284" s="357">
        <v>75845</v>
      </c>
      <c r="AH284" s="357">
        <v>0</v>
      </c>
      <c r="AI284" s="357">
        <v>0</v>
      </c>
      <c r="AJ284" s="357">
        <v>75845</v>
      </c>
      <c r="AK284" s="357">
        <v>75845</v>
      </c>
      <c r="AL284" s="357">
        <v>0</v>
      </c>
      <c r="AM284" s="357">
        <v>0</v>
      </c>
      <c r="AN284" s="357">
        <v>75845</v>
      </c>
      <c r="AO284" s="357">
        <v>4106108</v>
      </c>
      <c r="AP284" s="357">
        <v>0</v>
      </c>
      <c r="AQ284" s="357">
        <v>0</v>
      </c>
      <c r="AR284" s="357">
        <v>4106108</v>
      </c>
      <c r="AS284" s="357">
        <v>0</v>
      </c>
      <c r="AT284" s="357">
        <v>0</v>
      </c>
      <c r="AU284" s="357">
        <v>0</v>
      </c>
      <c r="AV284" s="357">
        <v>0</v>
      </c>
      <c r="AW284" s="357">
        <v>568574</v>
      </c>
      <c r="AX284" s="357">
        <v>0</v>
      </c>
      <c r="AY284" s="357">
        <v>0</v>
      </c>
      <c r="AZ284" s="357">
        <v>568574</v>
      </c>
      <c r="BA284" s="357">
        <v>3537534</v>
      </c>
      <c r="BB284" s="357">
        <v>0</v>
      </c>
      <c r="BC284" s="357">
        <v>0</v>
      </c>
      <c r="BD284" s="357">
        <v>3537534</v>
      </c>
      <c r="BE284" s="357">
        <v>2074137</v>
      </c>
      <c r="BF284" s="357">
        <v>0</v>
      </c>
      <c r="BG284" s="357">
        <v>0</v>
      </c>
      <c r="BH284" s="357">
        <v>2074137</v>
      </c>
      <c r="BI284" s="357">
        <v>118198</v>
      </c>
      <c r="BJ284" s="357">
        <v>0</v>
      </c>
      <c r="BK284" s="357">
        <v>0</v>
      </c>
      <c r="BL284" s="357">
        <v>118198</v>
      </c>
      <c r="BM284" s="357">
        <v>46763</v>
      </c>
      <c r="BN284" s="357">
        <v>0</v>
      </c>
      <c r="BO284" s="357">
        <v>0</v>
      </c>
      <c r="BP284" s="357">
        <v>46763</v>
      </c>
      <c r="BQ284" s="357">
        <v>5776632</v>
      </c>
      <c r="BR284" s="357">
        <v>0</v>
      </c>
      <c r="BS284" s="357">
        <v>0</v>
      </c>
      <c r="BT284" s="357">
        <v>0</v>
      </c>
      <c r="BU284" s="357">
        <v>0</v>
      </c>
      <c r="BV284" s="357">
        <v>0</v>
      </c>
      <c r="BW284" s="357">
        <v>5776632</v>
      </c>
      <c r="BX284" s="357">
        <v>0</v>
      </c>
      <c r="BY284" s="357">
        <v>0</v>
      </c>
      <c r="BZ284" s="357">
        <v>5776632</v>
      </c>
      <c r="CA284" s="357">
        <v>0</v>
      </c>
      <c r="CB284" s="357">
        <v>0</v>
      </c>
      <c r="CC284" s="357">
        <v>0</v>
      </c>
      <c r="CD284" s="357">
        <v>0</v>
      </c>
      <c r="CE284" s="357">
        <v>459862</v>
      </c>
      <c r="CF284" s="357">
        <v>0</v>
      </c>
      <c r="CG284" s="357">
        <v>0</v>
      </c>
      <c r="CH284" s="357">
        <v>459862</v>
      </c>
      <c r="CI284" s="357">
        <v>459862</v>
      </c>
      <c r="CJ284" s="357">
        <v>0</v>
      </c>
      <c r="CK284" s="357">
        <v>0</v>
      </c>
      <c r="CL284" s="357">
        <v>90138</v>
      </c>
      <c r="CM284" s="357">
        <v>0</v>
      </c>
      <c r="CN284" s="357">
        <v>0</v>
      </c>
      <c r="CO284" s="357">
        <v>550000</v>
      </c>
      <c r="CP284" s="357">
        <v>0</v>
      </c>
      <c r="CQ284" s="357">
        <v>0</v>
      </c>
      <c r="CR284" s="357">
        <v>550000</v>
      </c>
      <c r="CS284" s="357">
        <v>29526</v>
      </c>
      <c r="CT284" s="357">
        <v>0</v>
      </c>
      <c r="CU284" s="357">
        <v>0</v>
      </c>
      <c r="CV284" s="357">
        <v>29526</v>
      </c>
      <c r="CW284" s="357">
        <v>1608</v>
      </c>
      <c r="CX284" s="357">
        <v>0</v>
      </c>
      <c r="CY284" s="357">
        <v>0</v>
      </c>
      <c r="CZ284" s="357">
        <v>1608</v>
      </c>
      <c r="DA284" s="357">
        <v>0</v>
      </c>
      <c r="DB284" s="357">
        <v>0</v>
      </c>
      <c r="DC284" s="357">
        <v>0</v>
      </c>
      <c r="DD284" s="357">
        <v>0</v>
      </c>
      <c r="DE284" s="357">
        <v>46763</v>
      </c>
      <c r="DF284" s="357">
        <v>0</v>
      </c>
      <c r="DG284" s="357">
        <v>0</v>
      </c>
      <c r="DH284" s="357">
        <v>46763</v>
      </c>
      <c r="DI284" s="357">
        <v>0</v>
      </c>
      <c r="DJ284" s="357">
        <v>0</v>
      </c>
      <c r="DK284" s="357">
        <v>0</v>
      </c>
      <c r="DL284" s="357">
        <v>0</v>
      </c>
      <c r="DM284" s="357">
        <v>0</v>
      </c>
      <c r="DN284" s="357">
        <v>0</v>
      </c>
      <c r="DO284" s="357">
        <v>0</v>
      </c>
      <c r="DP284" s="357">
        <v>0</v>
      </c>
      <c r="DQ284" s="357">
        <v>77897</v>
      </c>
      <c r="DR284" s="357">
        <v>0</v>
      </c>
      <c r="DS284" s="357">
        <v>0</v>
      </c>
      <c r="DT284" s="357">
        <v>0</v>
      </c>
      <c r="DU284" s="357">
        <v>0</v>
      </c>
      <c r="DV284" s="357">
        <v>0</v>
      </c>
      <c r="DW284" s="357">
        <v>77897</v>
      </c>
      <c r="DX284" s="357">
        <v>0</v>
      </c>
      <c r="DY284" s="357">
        <v>0</v>
      </c>
      <c r="DZ284" s="357">
        <v>77897</v>
      </c>
      <c r="EA284" s="357">
        <v>0</v>
      </c>
      <c r="EB284" s="357">
        <v>0</v>
      </c>
      <c r="EC284" s="357">
        <v>0</v>
      </c>
      <c r="ED284" s="357">
        <v>0</v>
      </c>
      <c r="EE284" s="357">
        <v>0</v>
      </c>
      <c r="EF284" s="357">
        <v>0</v>
      </c>
      <c r="EG284" s="357">
        <v>0</v>
      </c>
      <c r="EH284" s="357">
        <v>0</v>
      </c>
      <c r="EI284" s="357">
        <v>0</v>
      </c>
      <c r="EJ284" s="357">
        <v>0</v>
      </c>
      <c r="EK284" s="357">
        <v>150000</v>
      </c>
      <c r="EL284" s="357">
        <v>0</v>
      </c>
      <c r="EM284" s="357">
        <v>0</v>
      </c>
      <c r="EN284" s="357">
        <v>150000</v>
      </c>
      <c r="EO284" s="357">
        <v>150000</v>
      </c>
      <c r="EP284" s="357">
        <v>0</v>
      </c>
      <c r="EQ284" s="357">
        <v>0</v>
      </c>
      <c r="ER284" s="357">
        <v>0</v>
      </c>
      <c r="ES284" s="357">
        <v>0</v>
      </c>
      <c r="ET284" s="357">
        <v>0</v>
      </c>
      <c r="EU284" s="357">
        <v>150000</v>
      </c>
      <c r="EV284" s="357">
        <v>0</v>
      </c>
      <c r="EW284" s="357">
        <v>0</v>
      </c>
      <c r="EX284" s="357">
        <v>150000</v>
      </c>
      <c r="EY284" s="357">
        <v>25487396</v>
      </c>
      <c r="EZ284" s="357">
        <v>0</v>
      </c>
      <c r="FA284" s="357">
        <v>0</v>
      </c>
      <c r="FB284" s="357">
        <v>25487396</v>
      </c>
      <c r="FC284" s="277">
        <v>0</v>
      </c>
      <c r="FD284" s="205"/>
    </row>
    <row r="285" spans="1:160" ht="12.75">
      <c r="A285" s="169">
        <v>278</v>
      </c>
      <c r="B285" s="172" t="s">
        <v>486</v>
      </c>
      <c r="C285" s="258" t="s">
        <v>487</v>
      </c>
      <c r="D285" s="235">
        <v>41639</v>
      </c>
      <c r="E285" s="357">
        <v>119253334</v>
      </c>
      <c r="F285" s="357">
        <v>0</v>
      </c>
      <c r="G285" s="357">
        <v>0</v>
      </c>
      <c r="H285" s="357">
        <v>119253334</v>
      </c>
      <c r="I285" s="357">
        <v>56168320</v>
      </c>
      <c r="J285" s="357">
        <v>0</v>
      </c>
      <c r="K285" s="357">
        <v>0</v>
      </c>
      <c r="L285" s="357">
        <v>0</v>
      </c>
      <c r="M285" s="357">
        <v>0</v>
      </c>
      <c r="N285" s="357">
        <v>0</v>
      </c>
      <c r="O285" s="357">
        <v>56168320</v>
      </c>
      <c r="P285" s="357">
        <v>0</v>
      </c>
      <c r="Q285" s="357">
        <v>0</v>
      </c>
      <c r="R285" s="357">
        <v>56168320</v>
      </c>
      <c r="S285" s="357">
        <v>42094</v>
      </c>
      <c r="T285" s="357">
        <v>0</v>
      </c>
      <c r="U285" s="357">
        <v>0</v>
      </c>
      <c r="V285" s="357">
        <v>42094</v>
      </c>
      <c r="W285" s="357">
        <v>9181</v>
      </c>
      <c r="X285" s="357">
        <v>0</v>
      </c>
      <c r="Y285" s="357">
        <v>0</v>
      </c>
      <c r="Z285" s="357">
        <v>9181</v>
      </c>
      <c r="AA285" s="357">
        <v>32913</v>
      </c>
      <c r="AB285" s="357">
        <v>0</v>
      </c>
      <c r="AC285" s="357">
        <v>0</v>
      </c>
      <c r="AD285" s="357">
        <v>0</v>
      </c>
      <c r="AE285" s="357">
        <v>0</v>
      </c>
      <c r="AF285" s="357">
        <v>0</v>
      </c>
      <c r="AG285" s="357">
        <v>32913</v>
      </c>
      <c r="AH285" s="357">
        <v>0</v>
      </c>
      <c r="AI285" s="357">
        <v>0</v>
      </c>
      <c r="AJ285" s="357">
        <v>32913</v>
      </c>
      <c r="AK285" s="357">
        <v>32913</v>
      </c>
      <c r="AL285" s="357">
        <v>0</v>
      </c>
      <c r="AM285" s="357">
        <v>0</v>
      </c>
      <c r="AN285" s="357">
        <v>32913</v>
      </c>
      <c r="AO285" s="357">
        <v>2246135</v>
      </c>
      <c r="AP285" s="357">
        <v>0</v>
      </c>
      <c r="AQ285" s="357">
        <v>0</v>
      </c>
      <c r="AR285" s="357">
        <v>2246135</v>
      </c>
      <c r="AS285" s="357">
        <v>30000</v>
      </c>
      <c r="AT285" s="357">
        <v>0</v>
      </c>
      <c r="AU285" s="357">
        <v>0</v>
      </c>
      <c r="AV285" s="357">
        <v>30000</v>
      </c>
      <c r="AW285" s="357">
        <v>1135403</v>
      </c>
      <c r="AX285" s="357">
        <v>0</v>
      </c>
      <c r="AY285" s="357">
        <v>0</v>
      </c>
      <c r="AZ285" s="357">
        <v>1135403</v>
      </c>
      <c r="BA285" s="357">
        <v>1110732</v>
      </c>
      <c r="BB285" s="357">
        <v>0</v>
      </c>
      <c r="BC285" s="357">
        <v>0</v>
      </c>
      <c r="BD285" s="357">
        <v>1110732</v>
      </c>
      <c r="BE285" s="357">
        <v>2596468</v>
      </c>
      <c r="BF285" s="357">
        <v>0</v>
      </c>
      <c r="BG285" s="357">
        <v>0</v>
      </c>
      <c r="BH285" s="357">
        <v>2596468</v>
      </c>
      <c r="BI285" s="357">
        <v>75555</v>
      </c>
      <c r="BJ285" s="357">
        <v>0</v>
      </c>
      <c r="BK285" s="357">
        <v>0</v>
      </c>
      <c r="BL285" s="357">
        <v>75555</v>
      </c>
      <c r="BM285" s="357">
        <v>23667</v>
      </c>
      <c r="BN285" s="357">
        <v>0</v>
      </c>
      <c r="BO285" s="357">
        <v>0</v>
      </c>
      <c r="BP285" s="357">
        <v>23667</v>
      </c>
      <c r="BQ285" s="357">
        <v>3806422</v>
      </c>
      <c r="BR285" s="357">
        <v>0</v>
      </c>
      <c r="BS285" s="357">
        <v>0</v>
      </c>
      <c r="BT285" s="357">
        <v>0</v>
      </c>
      <c r="BU285" s="357">
        <v>0</v>
      </c>
      <c r="BV285" s="357">
        <v>0</v>
      </c>
      <c r="BW285" s="357">
        <v>3806422</v>
      </c>
      <c r="BX285" s="357">
        <v>0</v>
      </c>
      <c r="BY285" s="357">
        <v>0</v>
      </c>
      <c r="BZ285" s="357">
        <v>3806422</v>
      </c>
      <c r="CA285" s="357">
        <v>274040</v>
      </c>
      <c r="CB285" s="357">
        <v>0</v>
      </c>
      <c r="CC285" s="357">
        <v>0</v>
      </c>
      <c r="CD285" s="357">
        <v>274040</v>
      </c>
      <c r="CE285" s="357">
        <v>1525000</v>
      </c>
      <c r="CF285" s="357">
        <v>0</v>
      </c>
      <c r="CG285" s="357">
        <v>0</v>
      </c>
      <c r="CH285" s="357">
        <v>1525000</v>
      </c>
      <c r="CI285" s="357">
        <v>1799040</v>
      </c>
      <c r="CJ285" s="357">
        <v>0</v>
      </c>
      <c r="CK285" s="357">
        <v>0</v>
      </c>
      <c r="CL285" s="357">
        <v>0</v>
      </c>
      <c r="CM285" s="357">
        <v>0</v>
      </c>
      <c r="CN285" s="357">
        <v>0</v>
      </c>
      <c r="CO285" s="357">
        <v>1799040</v>
      </c>
      <c r="CP285" s="357">
        <v>0</v>
      </c>
      <c r="CQ285" s="357">
        <v>0</v>
      </c>
      <c r="CR285" s="357">
        <v>1799040</v>
      </c>
      <c r="CS285" s="357">
        <v>169683</v>
      </c>
      <c r="CT285" s="357">
        <v>0</v>
      </c>
      <c r="CU285" s="357">
        <v>0</v>
      </c>
      <c r="CV285" s="357">
        <v>169683</v>
      </c>
      <c r="CW285" s="357">
        <v>57898</v>
      </c>
      <c r="CX285" s="357">
        <v>0</v>
      </c>
      <c r="CY285" s="357">
        <v>0</v>
      </c>
      <c r="CZ285" s="357">
        <v>57898</v>
      </c>
      <c r="DA285" s="357">
        <v>18889</v>
      </c>
      <c r="DB285" s="357">
        <v>0</v>
      </c>
      <c r="DC285" s="357">
        <v>0</v>
      </c>
      <c r="DD285" s="357">
        <v>18889</v>
      </c>
      <c r="DE285" s="357">
        <v>21607</v>
      </c>
      <c r="DF285" s="357">
        <v>0</v>
      </c>
      <c r="DG285" s="357">
        <v>0</v>
      </c>
      <c r="DH285" s="357">
        <v>21607</v>
      </c>
      <c r="DI285" s="357">
        <v>49695</v>
      </c>
      <c r="DJ285" s="357">
        <v>0</v>
      </c>
      <c r="DK285" s="357">
        <v>0</v>
      </c>
      <c r="DL285" s="357">
        <v>49695</v>
      </c>
      <c r="DM285" s="357">
        <v>0</v>
      </c>
      <c r="DN285" s="357">
        <v>0</v>
      </c>
      <c r="DO285" s="357">
        <v>0</v>
      </c>
      <c r="DP285" s="357">
        <v>0</v>
      </c>
      <c r="DQ285" s="357">
        <v>317772</v>
      </c>
      <c r="DR285" s="357">
        <v>0</v>
      </c>
      <c r="DS285" s="357">
        <v>0</v>
      </c>
      <c r="DT285" s="357">
        <v>0</v>
      </c>
      <c r="DU285" s="357">
        <v>0</v>
      </c>
      <c r="DV285" s="357">
        <v>0</v>
      </c>
      <c r="DW285" s="357">
        <v>317772</v>
      </c>
      <c r="DX285" s="357">
        <v>0</v>
      </c>
      <c r="DY285" s="357">
        <v>0</v>
      </c>
      <c r="DZ285" s="357">
        <v>317772</v>
      </c>
      <c r="EA285" s="357">
        <v>0</v>
      </c>
      <c r="EB285" s="357">
        <v>0</v>
      </c>
      <c r="EC285" s="357">
        <v>61000</v>
      </c>
      <c r="ED285" s="357">
        <v>0</v>
      </c>
      <c r="EE285" s="357">
        <v>0</v>
      </c>
      <c r="EF285" s="357">
        <v>61000</v>
      </c>
      <c r="EG285" s="357">
        <v>170000</v>
      </c>
      <c r="EH285" s="357">
        <v>0</v>
      </c>
      <c r="EI285" s="357">
        <v>0</v>
      </c>
      <c r="EJ285" s="357">
        <v>170000</v>
      </c>
      <c r="EK285" s="357">
        <v>644000</v>
      </c>
      <c r="EL285" s="357">
        <v>0</v>
      </c>
      <c r="EM285" s="357">
        <v>0</v>
      </c>
      <c r="EN285" s="357">
        <v>644000</v>
      </c>
      <c r="EO285" s="357">
        <v>875000</v>
      </c>
      <c r="EP285" s="357">
        <v>0</v>
      </c>
      <c r="EQ285" s="357">
        <v>0</v>
      </c>
      <c r="ER285" s="357">
        <v>0</v>
      </c>
      <c r="ES285" s="357">
        <v>0</v>
      </c>
      <c r="ET285" s="357">
        <v>0</v>
      </c>
      <c r="EU285" s="357">
        <v>875000</v>
      </c>
      <c r="EV285" s="357">
        <v>0</v>
      </c>
      <c r="EW285" s="357">
        <v>0</v>
      </c>
      <c r="EX285" s="357">
        <v>875000</v>
      </c>
      <c r="EY285" s="357">
        <v>49337173</v>
      </c>
      <c r="EZ285" s="357">
        <v>0</v>
      </c>
      <c r="FA285" s="357">
        <v>0</v>
      </c>
      <c r="FB285" s="357">
        <v>49337173</v>
      </c>
      <c r="FC285" s="277">
        <v>0</v>
      </c>
      <c r="FD285" s="205"/>
    </row>
    <row r="286" spans="1:160" ht="12.75">
      <c r="A286" s="169">
        <v>279</v>
      </c>
      <c r="B286" s="172" t="s">
        <v>488</v>
      </c>
      <c r="C286" s="258" t="s">
        <v>489</v>
      </c>
      <c r="D286" s="235">
        <v>41639</v>
      </c>
      <c r="E286" s="357">
        <v>83355648</v>
      </c>
      <c r="F286" s="357">
        <v>0</v>
      </c>
      <c r="G286" s="357">
        <v>0</v>
      </c>
      <c r="H286" s="357">
        <v>83355648</v>
      </c>
      <c r="I286" s="357">
        <v>39260510</v>
      </c>
      <c r="J286" s="357">
        <v>0</v>
      </c>
      <c r="K286" s="357">
        <v>0</v>
      </c>
      <c r="L286" s="357">
        <v>0</v>
      </c>
      <c r="M286" s="357">
        <v>0</v>
      </c>
      <c r="N286" s="357">
        <v>0</v>
      </c>
      <c r="O286" s="357">
        <v>39260510</v>
      </c>
      <c r="P286" s="357">
        <v>0</v>
      </c>
      <c r="Q286" s="357">
        <v>0</v>
      </c>
      <c r="R286" s="357">
        <v>39260510</v>
      </c>
      <c r="S286" s="357">
        <v>1191</v>
      </c>
      <c r="T286" s="357">
        <v>0</v>
      </c>
      <c r="U286" s="357">
        <v>0</v>
      </c>
      <c r="V286" s="357">
        <v>1191</v>
      </c>
      <c r="W286" s="357">
        <v>31822</v>
      </c>
      <c r="X286" s="357">
        <v>0</v>
      </c>
      <c r="Y286" s="357">
        <v>0</v>
      </c>
      <c r="Z286" s="357">
        <v>31822</v>
      </c>
      <c r="AA286" s="357">
        <v>-30631</v>
      </c>
      <c r="AB286" s="357">
        <v>0</v>
      </c>
      <c r="AC286" s="357">
        <v>0</v>
      </c>
      <c r="AD286" s="357">
        <v>2000</v>
      </c>
      <c r="AE286" s="357">
        <v>0</v>
      </c>
      <c r="AF286" s="357">
        <v>0</v>
      </c>
      <c r="AG286" s="357">
        <v>-28631</v>
      </c>
      <c r="AH286" s="357">
        <v>0</v>
      </c>
      <c r="AI286" s="357">
        <v>0</v>
      </c>
      <c r="AJ286" s="357">
        <v>-28631</v>
      </c>
      <c r="AK286" s="357">
        <v>-28631</v>
      </c>
      <c r="AL286" s="357">
        <v>0</v>
      </c>
      <c r="AM286" s="357">
        <v>0</v>
      </c>
      <c r="AN286" s="357">
        <v>-28631</v>
      </c>
      <c r="AO286" s="357">
        <v>1609861</v>
      </c>
      <c r="AP286" s="357">
        <v>0</v>
      </c>
      <c r="AQ286" s="357">
        <v>0</v>
      </c>
      <c r="AR286" s="357">
        <v>1609861</v>
      </c>
      <c r="AS286" s="357">
        <v>600</v>
      </c>
      <c r="AT286" s="357">
        <v>0</v>
      </c>
      <c r="AU286" s="357">
        <v>0</v>
      </c>
      <c r="AV286" s="357">
        <v>600</v>
      </c>
      <c r="AW286" s="357">
        <v>793540</v>
      </c>
      <c r="AX286" s="357">
        <v>0</v>
      </c>
      <c r="AY286" s="357">
        <v>0</v>
      </c>
      <c r="AZ286" s="357">
        <v>793540</v>
      </c>
      <c r="BA286" s="357">
        <v>816321</v>
      </c>
      <c r="BB286" s="357">
        <v>0</v>
      </c>
      <c r="BC286" s="357">
        <v>0</v>
      </c>
      <c r="BD286" s="357">
        <v>816321</v>
      </c>
      <c r="BE286" s="357">
        <v>1112642</v>
      </c>
      <c r="BF286" s="357">
        <v>0</v>
      </c>
      <c r="BG286" s="357">
        <v>0</v>
      </c>
      <c r="BH286" s="357">
        <v>1112642</v>
      </c>
      <c r="BI286" s="357">
        <v>33914</v>
      </c>
      <c r="BJ286" s="357">
        <v>0</v>
      </c>
      <c r="BK286" s="357">
        <v>0</v>
      </c>
      <c r="BL286" s="357">
        <v>33914</v>
      </c>
      <c r="BM286" s="357">
        <v>7189</v>
      </c>
      <c r="BN286" s="357">
        <v>0</v>
      </c>
      <c r="BO286" s="357">
        <v>0</v>
      </c>
      <c r="BP286" s="357">
        <v>7189</v>
      </c>
      <c r="BQ286" s="357">
        <v>1970066</v>
      </c>
      <c r="BR286" s="357">
        <v>0</v>
      </c>
      <c r="BS286" s="357">
        <v>0</v>
      </c>
      <c r="BT286" s="357">
        <v>13525</v>
      </c>
      <c r="BU286" s="357">
        <v>0</v>
      </c>
      <c r="BV286" s="357">
        <v>0</v>
      </c>
      <c r="BW286" s="357">
        <v>1983591</v>
      </c>
      <c r="BX286" s="357">
        <v>0</v>
      </c>
      <c r="BY286" s="357">
        <v>0</v>
      </c>
      <c r="BZ286" s="357">
        <v>1983591</v>
      </c>
      <c r="CA286" s="357">
        <v>0</v>
      </c>
      <c r="CB286" s="357">
        <v>0</v>
      </c>
      <c r="CC286" s="357">
        <v>0</v>
      </c>
      <c r="CD286" s="357">
        <v>0</v>
      </c>
      <c r="CE286" s="357">
        <v>338174</v>
      </c>
      <c r="CF286" s="357">
        <v>0</v>
      </c>
      <c r="CG286" s="357">
        <v>0</v>
      </c>
      <c r="CH286" s="357">
        <v>338174</v>
      </c>
      <c r="CI286" s="357">
        <v>338174</v>
      </c>
      <c r="CJ286" s="357">
        <v>0</v>
      </c>
      <c r="CK286" s="357">
        <v>0</v>
      </c>
      <c r="CL286" s="357">
        <v>-14637</v>
      </c>
      <c r="CM286" s="357">
        <v>0</v>
      </c>
      <c r="CN286" s="357">
        <v>0</v>
      </c>
      <c r="CO286" s="357">
        <v>323537</v>
      </c>
      <c r="CP286" s="357">
        <v>0</v>
      </c>
      <c r="CQ286" s="357">
        <v>0</v>
      </c>
      <c r="CR286" s="357">
        <v>323537</v>
      </c>
      <c r="CS286" s="357">
        <v>38162</v>
      </c>
      <c r="CT286" s="357">
        <v>0</v>
      </c>
      <c r="CU286" s="357">
        <v>0</v>
      </c>
      <c r="CV286" s="357">
        <v>38162</v>
      </c>
      <c r="CW286" s="357">
        <v>612</v>
      </c>
      <c r="CX286" s="357">
        <v>0</v>
      </c>
      <c r="CY286" s="357">
        <v>0</v>
      </c>
      <c r="CZ286" s="357">
        <v>612</v>
      </c>
      <c r="DA286" s="357">
        <v>0</v>
      </c>
      <c r="DB286" s="357">
        <v>0</v>
      </c>
      <c r="DC286" s="357">
        <v>0</v>
      </c>
      <c r="DD286" s="357">
        <v>0</v>
      </c>
      <c r="DE286" s="357">
        <v>2803</v>
      </c>
      <c r="DF286" s="357">
        <v>0</v>
      </c>
      <c r="DG286" s="357">
        <v>0</v>
      </c>
      <c r="DH286" s="357">
        <v>2803</v>
      </c>
      <c r="DI286" s="357">
        <v>0</v>
      </c>
      <c r="DJ286" s="357">
        <v>0</v>
      </c>
      <c r="DK286" s="357">
        <v>0</v>
      </c>
      <c r="DL286" s="357">
        <v>0</v>
      </c>
      <c r="DM286" s="357">
        <v>0</v>
      </c>
      <c r="DN286" s="357">
        <v>0</v>
      </c>
      <c r="DO286" s="357">
        <v>0</v>
      </c>
      <c r="DP286" s="357">
        <v>0</v>
      </c>
      <c r="DQ286" s="357">
        <v>41577</v>
      </c>
      <c r="DR286" s="357">
        <v>0</v>
      </c>
      <c r="DS286" s="357">
        <v>0</v>
      </c>
      <c r="DT286" s="357">
        <v>674</v>
      </c>
      <c r="DU286" s="357">
        <v>0</v>
      </c>
      <c r="DV286" s="357">
        <v>0</v>
      </c>
      <c r="DW286" s="357">
        <v>42251</v>
      </c>
      <c r="DX286" s="357">
        <v>0</v>
      </c>
      <c r="DY286" s="357">
        <v>0</v>
      </c>
      <c r="DZ286" s="357">
        <v>42251</v>
      </c>
      <c r="EA286" s="357">
        <v>0</v>
      </c>
      <c r="EB286" s="357">
        <v>0</v>
      </c>
      <c r="EC286" s="357">
        <v>0</v>
      </c>
      <c r="ED286" s="357">
        <v>0</v>
      </c>
      <c r="EE286" s="357">
        <v>0</v>
      </c>
      <c r="EF286" s="357">
        <v>0</v>
      </c>
      <c r="EG286" s="357">
        <v>30000</v>
      </c>
      <c r="EH286" s="357">
        <v>0</v>
      </c>
      <c r="EI286" s="357">
        <v>0</v>
      </c>
      <c r="EJ286" s="357">
        <v>30000</v>
      </c>
      <c r="EK286" s="357">
        <v>200000</v>
      </c>
      <c r="EL286" s="357">
        <v>0</v>
      </c>
      <c r="EM286" s="357">
        <v>0</v>
      </c>
      <c r="EN286" s="357">
        <v>200000</v>
      </c>
      <c r="EO286" s="357">
        <v>230000</v>
      </c>
      <c r="EP286" s="357">
        <v>0</v>
      </c>
      <c r="EQ286" s="357">
        <v>0</v>
      </c>
      <c r="ER286" s="357">
        <v>10000</v>
      </c>
      <c r="ES286" s="357">
        <v>0</v>
      </c>
      <c r="ET286" s="357">
        <v>0</v>
      </c>
      <c r="EU286" s="357">
        <v>240000</v>
      </c>
      <c r="EV286" s="357">
        <v>0</v>
      </c>
      <c r="EW286" s="357">
        <v>0</v>
      </c>
      <c r="EX286" s="357">
        <v>240000</v>
      </c>
      <c r="EY286" s="357">
        <v>36699762</v>
      </c>
      <c r="EZ286" s="357">
        <v>0</v>
      </c>
      <c r="FA286" s="357">
        <v>0</v>
      </c>
      <c r="FB286" s="357">
        <v>36699762</v>
      </c>
      <c r="FC286" s="277">
        <v>0</v>
      </c>
      <c r="FD286" s="205"/>
    </row>
    <row r="287" spans="1:160" ht="12.75">
      <c r="A287" s="169">
        <v>280</v>
      </c>
      <c r="B287" s="172" t="s">
        <v>490</v>
      </c>
      <c r="C287" s="258" t="s">
        <v>491</v>
      </c>
      <c r="D287" s="235">
        <v>41667</v>
      </c>
      <c r="E287" s="357">
        <v>87975354</v>
      </c>
      <c r="F287" s="357">
        <v>0</v>
      </c>
      <c r="G287" s="357">
        <v>0</v>
      </c>
      <c r="H287" s="357">
        <v>87975354</v>
      </c>
      <c r="I287" s="357">
        <v>41436392</v>
      </c>
      <c r="J287" s="357">
        <v>0</v>
      </c>
      <c r="K287" s="357">
        <v>0</v>
      </c>
      <c r="L287" s="357">
        <v>0</v>
      </c>
      <c r="M287" s="357">
        <v>0</v>
      </c>
      <c r="N287" s="357">
        <v>0</v>
      </c>
      <c r="O287" s="357">
        <v>41436392</v>
      </c>
      <c r="P287" s="357">
        <v>0</v>
      </c>
      <c r="Q287" s="357">
        <v>0</v>
      </c>
      <c r="R287" s="357">
        <v>41436392</v>
      </c>
      <c r="S287" s="357">
        <v>559698</v>
      </c>
      <c r="T287" s="357">
        <v>0</v>
      </c>
      <c r="U287" s="357">
        <v>0</v>
      </c>
      <c r="V287" s="357">
        <v>559698</v>
      </c>
      <c r="W287" s="357">
        <v>207</v>
      </c>
      <c r="X287" s="357">
        <v>0</v>
      </c>
      <c r="Y287" s="357">
        <v>0</v>
      </c>
      <c r="Z287" s="357">
        <v>207</v>
      </c>
      <c r="AA287" s="357">
        <v>559491</v>
      </c>
      <c r="AB287" s="357">
        <v>0</v>
      </c>
      <c r="AC287" s="357">
        <v>0</v>
      </c>
      <c r="AD287" s="357">
        <v>0</v>
      </c>
      <c r="AE287" s="357">
        <v>0</v>
      </c>
      <c r="AF287" s="357">
        <v>0</v>
      </c>
      <c r="AG287" s="357">
        <v>559491</v>
      </c>
      <c r="AH287" s="357">
        <v>0</v>
      </c>
      <c r="AI287" s="357">
        <v>0</v>
      </c>
      <c r="AJ287" s="357">
        <v>559491</v>
      </c>
      <c r="AK287" s="357">
        <v>559491</v>
      </c>
      <c r="AL287" s="357">
        <v>0</v>
      </c>
      <c r="AM287" s="357">
        <v>0</v>
      </c>
      <c r="AN287" s="357">
        <v>559491</v>
      </c>
      <c r="AO287" s="357">
        <v>3258234</v>
      </c>
      <c r="AP287" s="357">
        <v>0</v>
      </c>
      <c r="AQ287" s="357">
        <v>0</v>
      </c>
      <c r="AR287" s="357">
        <v>3258234</v>
      </c>
      <c r="AS287" s="357">
        <v>11020</v>
      </c>
      <c r="AT287" s="357">
        <v>0</v>
      </c>
      <c r="AU287" s="357">
        <v>0</v>
      </c>
      <c r="AV287" s="357">
        <v>11020</v>
      </c>
      <c r="AW287" s="357">
        <v>782625</v>
      </c>
      <c r="AX287" s="357">
        <v>0</v>
      </c>
      <c r="AY287" s="357">
        <v>0</v>
      </c>
      <c r="AZ287" s="357">
        <v>782625</v>
      </c>
      <c r="BA287" s="357">
        <v>2475609</v>
      </c>
      <c r="BB287" s="357">
        <v>0</v>
      </c>
      <c r="BC287" s="357">
        <v>0</v>
      </c>
      <c r="BD287" s="357">
        <v>2475609</v>
      </c>
      <c r="BE287" s="357">
        <v>3294030</v>
      </c>
      <c r="BF287" s="357">
        <v>0</v>
      </c>
      <c r="BG287" s="357">
        <v>0</v>
      </c>
      <c r="BH287" s="357">
        <v>3294030</v>
      </c>
      <c r="BI287" s="357">
        <v>37721</v>
      </c>
      <c r="BJ287" s="357">
        <v>0</v>
      </c>
      <c r="BK287" s="357">
        <v>0</v>
      </c>
      <c r="BL287" s="357">
        <v>37721</v>
      </c>
      <c r="BM287" s="357">
        <v>5097</v>
      </c>
      <c r="BN287" s="357">
        <v>0</v>
      </c>
      <c r="BO287" s="357">
        <v>0</v>
      </c>
      <c r="BP287" s="357">
        <v>5097</v>
      </c>
      <c r="BQ287" s="357">
        <v>5812457</v>
      </c>
      <c r="BR287" s="357">
        <v>0</v>
      </c>
      <c r="BS287" s="357">
        <v>0</v>
      </c>
      <c r="BT287" s="357">
        <v>0</v>
      </c>
      <c r="BU287" s="357">
        <v>0</v>
      </c>
      <c r="BV287" s="357">
        <v>0</v>
      </c>
      <c r="BW287" s="357">
        <v>5812457</v>
      </c>
      <c r="BX287" s="357">
        <v>0</v>
      </c>
      <c r="BY287" s="357">
        <v>0</v>
      </c>
      <c r="BZ287" s="357">
        <v>5812457</v>
      </c>
      <c r="CA287" s="357">
        <v>2257</v>
      </c>
      <c r="CB287" s="357">
        <v>0</v>
      </c>
      <c r="CC287" s="357">
        <v>0</v>
      </c>
      <c r="CD287" s="357">
        <v>2257</v>
      </c>
      <c r="CE287" s="357">
        <v>903451</v>
      </c>
      <c r="CF287" s="357">
        <v>0</v>
      </c>
      <c r="CG287" s="357">
        <v>0</v>
      </c>
      <c r="CH287" s="357">
        <v>903451</v>
      </c>
      <c r="CI287" s="357">
        <v>905708</v>
      </c>
      <c r="CJ287" s="357">
        <v>0</v>
      </c>
      <c r="CK287" s="357">
        <v>0</v>
      </c>
      <c r="CL287" s="357">
        <v>0</v>
      </c>
      <c r="CM287" s="357">
        <v>0</v>
      </c>
      <c r="CN287" s="357">
        <v>0</v>
      </c>
      <c r="CO287" s="357">
        <v>905708</v>
      </c>
      <c r="CP287" s="357">
        <v>0</v>
      </c>
      <c r="CQ287" s="357">
        <v>0</v>
      </c>
      <c r="CR287" s="357">
        <v>905708</v>
      </c>
      <c r="CS287" s="357">
        <v>141773</v>
      </c>
      <c r="CT287" s="357">
        <v>0</v>
      </c>
      <c r="CU287" s="357">
        <v>0</v>
      </c>
      <c r="CV287" s="357">
        <v>141773</v>
      </c>
      <c r="CW287" s="357">
        <v>10649</v>
      </c>
      <c r="CX287" s="357">
        <v>0</v>
      </c>
      <c r="CY287" s="357">
        <v>0</v>
      </c>
      <c r="CZ287" s="357">
        <v>10649</v>
      </c>
      <c r="DA287" s="357">
        <v>0</v>
      </c>
      <c r="DB287" s="357">
        <v>0</v>
      </c>
      <c r="DC287" s="357">
        <v>0</v>
      </c>
      <c r="DD287" s="357">
        <v>0</v>
      </c>
      <c r="DE287" s="357">
        <v>735</v>
      </c>
      <c r="DF287" s="357">
        <v>0</v>
      </c>
      <c r="DG287" s="357">
        <v>0</v>
      </c>
      <c r="DH287" s="357">
        <v>735</v>
      </c>
      <c r="DI287" s="357">
        <v>0</v>
      </c>
      <c r="DJ287" s="357">
        <v>0</v>
      </c>
      <c r="DK287" s="357">
        <v>0</v>
      </c>
      <c r="DL287" s="357">
        <v>0</v>
      </c>
      <c r="DM287" s="357">
        <v>0</v>
      </c>
      <c r="DN287" s="357">
        <v>0</v>
      </c>
      <c r="DO287" s="357">
        <v>0</v>
      </c>
      <c r="DP287" s="357">
        <v>0</v>
      </c>
      <c r="DQ287" s="357">
        <v>153157</v>
      </c>
      <c r="DR287" s="357">
        <v>0</v>
      </c>
      <c r="DS287" s="357">
        <v>0</v>
      </c>
      <c r="DT287" s="357">
        <v>0</v>
      </c>
      <c r="DU287" s="357">
        <v>0</v>
      </c>
      <c r="DV287" s="357">
        <v>0</v>
      </c>
      <c r="DW287" s="357">
        <v>153157</v>
      </c>
      <c r="DX287" s="357">
        <v>0</v>
      </c>
      <c r="DY287" s="357">
        <v>0</v>
      </c>
      <c r="DZ287" s="357">
        <v>153157</v>
      </c>
      <c r="EA287" s="357">
        <v>0</v>
      </c>
      <c r="EB287" s="357">
        <v>0</v>
      </c>
      <c r="EC287" s="357">
        <v>0</v>
      </c>
      <c r="ED287" s="357">
        <v>0</v>
      </c>
      <c r="EE287" s="357">
        <v>0</v>
      </c>
      <c r="EF287" s="357">
        <v>0</v>
      </c>
      <c r="EG287" s="357">
        <v>240000</v>
      </c>
      <c r="EH287" s="357">
        <v>0</v>
      </c>
      <c r="EI287" s="357">
        <v>0</v>
      </c>
      <c r="EJ287" s="357">
        <v>240000</v>
      </c>
      <c r="EK287" s="357">
        <v>789658</v>
      </c>
      <c r="EL287" s="357">
        <v>0</v>
      </c>
      <c r="EM287" s="357">
        <v>0</v>
      </c>
      <c r="EN287" s="357">
        <v>789658</v>
      </c>
      <c r="EO287" s="357">
        <v>1029658</v>
      </c>
      <c r="EP287" s="357">
        <v>0</v>
      </c>
      <c r="EQ287" s="357">
        <v>0</v>
      </c>
      <c r="ER287" s="357">
        <v>0</v>
      </c>
      <c r="ES287" s="357">
        <v>0</v>
      </c>
      <c r="ET287" s="357">
        <v>0</v>
      </c>
      <c r="EU287" s="357">
        <v>1029658</v>
      </c>
      <c r="EV287" s="357">
        <v>0</v>
      </c>
      <c r="EW287" s="357">
        <v>0</v>
      </c>
      <c r="EX287" s="357">
        <v>1029658</v>
      </c>
      <c r="EY287" s="357">
        <v>32975921</v>
      </c>
      <c r="EZ287" s="357">
        <v>0</v>
      </c>
      <c r="FA287" s="357">
        <v>0</v>
      </c>
      <c r="FB287" s="357">
        <v>32975921</v>
      </c>
      <c r="FC287" s="277">
        <v>0</v>
      </c>
      <c r="FD287" s="205"/>
    </row>
    <row r="288" spans="1:160" ht="12.75">
      <c r="A288" s="169">
        <v>281</v>
      </c>
      <c r="B288" s="172" t="s">
        <v>492</v>
      </c>
      <c r="C288" s="258" t="s">
        <v>493</v>
      </c>
      <c r="D288" s="235">
        <v>41668</v>
      </c>
      <c r="E288" s="357">
        <v>69000860</v>
      </c>
      <c r="F288" s="357">
        <v>0</v>
      </c>
      <c r="G288" s="357">
        <v>0</v>
      </c>
      <c r="H288" s="357">
        <v>69000860</v>
      </c>
      <c r="I288" s="357">
        <v>32499405</v>
      </c>
      <c r="J288" s="357">
        <v>0</v>
      </c>
      <c r="K288" s="357">
        <v>0</v>
      </c>
      <c r="L288" s="357">
        <v>64906</v>
      </c>
      <c r="M288" s="357">
        <v>0</v>
      </c>
      <c r="N288" s="357">
        <v>0</v>
      </c>
      <c r="O288" s="357">
        <v>32564311</v>
      </c>
      <c r="P288" s="357">
        <v>0</v>
      </c>
      <c r="Q288" s="357">
        <v>0</v>
      </c>
      <c r="R288" s="357">
        <v>32564311</v>
      </c>
      <c r="S288" s="357">
        <v>69094</v>
      </c>
      <c r="T288" s="357">
        <v>0</v>
      </c>
      <c r="U288" s="357">
        <v>0</v>
      </c>
      <c r="V288" s="357">
        <v>69094</v>
      </c>
      <c r="W288" s="357">
        <v>295222</v>
      </c>
      <c r="X288" s="357">
        <v>0</v>
      </c>
      <c r="Y288" s="357">
        <v>0</v>
      </c>
      <c r="Z288" s="357">
        <v>295222</v>
      </c>
      <c r="AA288" s="357">
        <v>-226128</v>
      </c>
      <c r="AB288" s="357">
        <v>0</v>
      </c>
      <c r="AC288" s="357">
        <v>0</v>
      </c>
      <c r="AD288" s="357">
        <v>0</v>
      </c>
      <c r="AE288" s="357">
        <v>0</v>
      </c>
      <c r="AF288" s="357">
        <v>0</v>
      </c>
      <c r="AG288" s="357">
        <v>-226128</v>
      </c>
      <c r="AH288" s="357">
        <v>0</v>
      </c>
      <c r="AI288" s="357">
        <v>0</v>
      </c>
      <c r="AJ288" s="357">
        <v>-226128</v>
      </c>
      <c r="AK288" s="357">
        <v>-226128</v>
      </c>
      <c r="AL288" s="357">
        <v>0</v>
      </c>
      <c r="AM288" s="357">
        <v>0</v>
      </c>
      <c r="AN288" s="357">
        <v>-226128</v>
      </c>
      <c r="AO288" s="357">
        <v>900000</v>
      </c>
      <c r="AP288" s="357">
        <v>0</v>
      </c>
      <c r="AQ288" s="357">
        <v>0</v>
      </c>
      <c r="AR288" s="357">
        <v>900000</v>
      </c>
      <c r="AS288" s="357">
        <v>0</v>
      </c>
      <c r="AT288" s="357">
        <v>0</v>
      </c>
      <c r="AU288" s="357">
        <v>0</v>
      </c>
      <c r="AV288" s="357">
        <v>0</v>
      </c>
      <c r="AW288" s="357">
        <v>551000</v>
      </c>
      <c r="AX288" s="357">
        <v>0</v>
      </c>
      <c r="AY288" s="357">
        <v>0</v>
      </c>
      <c r="AZ288" s="357">
        <v>551000</v>
      </c>
      <c r="BA288" s="357">
        <v>349000</v>
      </c>
      <c r="BB288" s="357">
        <v>0</v>
      </c>
      <c r="BC288" s="357">
        <v>0</v>
      </c>
      <c r="BD288" s="357">
        <v>349000</v>
      </c>
      <c r="BE288" s="357">
        <v>2266205</v>
      </c>
      <c r="BF288" s="357">
        <v>0</v>
      </c>
      <c r="BG288" s="357">
        <v>0</v>
      </c>
      <c r="BH288" s="357">
        <v>2266205</v>
      </c>
      <c r="BI288" s="357">
        <v>27501</v>
      </c>
      <c r="BJ288" s="357">
        <v>0</v>
      </c>
      <c r="BK288" s="357">
        <v>0</v>
      </c>
      <c r="BL288" s="357">
        <v>27501</v>
      </c>
      <c r="BM288" s="357">
        <v>3001</v>
      </c>
      <c r="BN288" s="357">
        <v>0</v>
      </c>
      <c r="BO288" s="357">
        <v>0</v>
      </c>
      <c r="BP288" s="357">
        <v>3001</v>
      </c>
      <c r="BQ288" s="357">
        <v>2645707</v>
      </c>
      <c r="BR288" s="357">
        <v>0</v>
      </c>
      <c r="BS288" s="357">
        <v>0</v>
      </c>
      <c r="BT288" s="357">
        <v>0</v>
      </c>
      <c r="BU288" s="357">
        <v>0</v>
      </c>
      <c r="BV288" s="357">
        <v>0</v>
      </c>
      <c r="BW288" s="357">
        <v>2645707</v>
      </c>
      <c r="BX288" s="357">
        <v>0</v>
      </c>
      <c r="BY288" s="357">
        <v>0</v>
      </c>
      <c r="BZ288" s="357">
        <v>2645707</v>
      </c>
      <c r="CA288" s="357">
        <v>15512</v>
      </c>
      <c r="CB288" s="357">
        <v>0</v>
      </c>
      <c r="CC288" s="357">
        <v>0</v>
      </c>
      <c r="CD288" s="357">
        <v>15512</v>
      </c>
      <c r="CE288" s="357">
        <v>1250000</v>
      </c>
      <c r="CF288" s="357">
        <v>0</v>
      </c>
      <c r="CG288" s="357">
        <v>0</v>
      </c>
      <c r="CH288" s="357">
        <v>1250000</v>
      </c>
      <c r="CI288" s="357">
        <v>1265512</v>
      </c>
      <c r="CJ288" s="357">
        <v>0</v>
      </c>
      <c r="CK288" s="357">
        <v>0</v>
      </c>
      <c r="CL288" s="357">
        <v>24808</v>
      </c>
      <c r="CM288" s="357">
        <v>0</v>
      </c>
      <c r="CN288" s="357">
        <v>0</v>
      </c>
      <c r="CO288" s="357">
        <v>1290320</v>
      </c>
      <c r="CP288" s="357">
        <v>0</v>
      </c>
      <c r="CQ288" s="357">
        <v>0</v>
      </c>
      <c r="CR288" s="357">
        <v>1290320</v>
      </c>
      <c r="CS288" s="357">
        <v>103345</v>
      </c>
      <c r="CT288" s="357">
        <v>0</v>
      </c>
      <c r="CU288" s="357">
        <v>0</v>
      </c>
      <c r="CV288" s="357">
        <v>103345</v>
      </c>
      <c r="CW288" s="357">
        <v>142202</v>
      </c>
      <c r="CX288" s="357">
        <v>0</v>
      </c>
      <c r="CY288" s="357">
        <v>0</v>
      </c>
      <c r="CZ288" s="357">
        <v>142202</v>
      </c>
      <c r="DA288" s="357">
        <v>6833</v>
      </c>
      <c r="DB288" s="357">
        <v>0</v>
      </c>
      <c r="DC288" s="357">
        <v>0</v>
      </c>
      <c r="DD288" s="357">
        <v>6833</v>
      </c>
      <c r="DE288" s="357">
        <v>3002</v>
      </c>
      <c r="DF288" s="357">
        <v>0</v>
      </c>
      <c r="DG288" s="357">
        <v>0</v>
      </c>
      <c r="DH288" s="357">
        <v>3002</v>
      </c>
      <c r="DI288" s="357">
        <v>0</v>
      </c>
      <c r="DJ288" s="357">
        <v>0</v>
      </c>
      <c r="DK288" s="357">
        <v>0</v>
      </c>
      <c r="DL288" s="357">
        <v>0</v>
      </c>
      <c r="DM288" s="357">
        <v>0</v>
      </c>
      <c r="DN288" s="357">
        <v>0</v>
      </c>
      <c r="DO288" s="357">
        <v>0</v>
      </c>
      <c r="DP288" s="357">
        <v>0</v>
      </c>
      <c r="DQ288" s="357">
        <v>255382</v>
      </c>
      <c r="DR288" s="357">
        <v>0</v>
      </c>
      <c r="DS288" s="357">
        <v>0</v>
      </c>
      <c r="DT288" s="357">
        <v>0</v>
      </c>
      <c r="DU288" s="357">
        <v>0</v>
      </c>
      <c r="DV288" s="357">
        <v>0</v>
      </c>
      <c r="DW288" s="357">
        <v>255382</v>
      </c>
      <c r="DX288" s="357">
        <v>0</v>
      </c>
      <c r="DY288" s="357">
        <v>0</v>
      </c>
      <c r="DZ288" s="357">
        <v>255382</v>
      </c>
      <c r="EA288" s="357">
        <v>0</v>
      </c>
      <c r="EB288" s="357">
        <v>0</v>
      </c>
      <c r="EC288" s="357">
        <v>0</v>
      </c>
      <c r="ED288" s="357">
        <v>0</v>
      </c>
      <c r="EE288" s="357">
        <v>0</v>
      </c>
      <c r="EF288" s="357">
        <v>0</v>
      </c>
      <c r="EG288" s="357">
        <v>7065</v>
      </c>
      <c r="EH288" s="357">
        <v>0</v>
      </c>
      <c r="EI288" s="357">
        <v>0</v>
      </c>
      <c r="EJ288" s="357">
        <v>7065</v>
      </c>
      <c r="EK288" s="357">
        <v>525000</v>
      </c>
      <c r="EL288" s="357">
        <v>0</v>
      </c>
      <c r="EM288" s="357">
        <v>0</v>
      </c>
      <c r="EN288" s="357">
        <v>525000</v>
      </c>
      <c r="EO288" s="357">
        <v>532065</v>
      </c>
      <c r="EP288" s="357">
        <v>0</v>
      </c>
      <c r="EQ288" s="357">
        <v>0</v>
      </c>
      <c r="ER288" s="357">
        <v>0</v>
      </c>
      <c r="ES288" s="357">
        <v>0</v>
      </c>
      <c r="ET288" s="357">
        <v>0</v>
      </c>
      <c r="EU288" s="357">
        <v>532065</v>
      </c>
      <c r="EV288" s="357">
        <v>0</v>
      </c>
      <c r="EW288" s="357">
        <v>0</v>
      </c>
      <c r="EX288" s="357">
        <v>532065</v>
      </c>
      <c r="EY288" s="357">
        <v>28066965</v>
      </c>
      <c r="EZ288" s="357">
        <v>0</v>
      </c>
      <c r="FA288" s="357">
        <v>0</v>
      </c>
      <c r="FB288" s="357">
        <v>28066965</v>
      </c>
      <c r="FC288" s="277">
        <v>0</v>
      </c>
      <c r="FD288" s="205"/>
    </row>
    <row r="289" spans="1:160" ht="12.75">
      <c r="A289" s="169">
        <v>282</v>
      </c>
      <c r="B289" s="172" t="s">
        <v>494</v>
      </c>
      <c r="C289" s="258" t="s">
        <v>495</v>
      </c>
      <c r="D289" s="235">
        <v>41551</v>
      </c>
      <c r="E289" s="357">
        <v>258797267</v>
      </c>
      <c r="F289" s="357">
        <v>0</v>
      </c>
      <c r="G289" s="357">
        <v>0</v>
      </c>
      <c r="H289" s="357">
        <v>258797267</v>
      </c>
      <c r="I289" s="357">
        <v>121893513</v>
      </c>
      <c r="J289" s="357">
        <v>0</v>
      </c>
      <c r="K289" s="357">
        <v>0</v>
      </c>
      <c r="L289" s="357">
        <v>2857977</v>
      </c>
      <c r="M289" s="357">
        <v>0</v>
      </c>
      <c r="N289" s="357">
        <v>0</v>
      </c>
      <c r="O289" s="357">
        <v>124751490</v>
      </c>
      <c r="P289" s="357">
        <v>0</v>
      </c>
      <c r="Q289" s="357">
        <v>0</v>
      </c>
      <c r="R289" s="357">
        <v>124751490</v>
      </c>
      <c r="S289" s="357">
        <v>698955</v>
      </c>
      <c r="T289" s="357">
        <v>0</v>
      </c>
      <c r="U289" s="357">
        <v>0</v>
      </c>
      <c r="V289" s="357">
        <v>698955</v>
      </c>
      <c r="W289" s="357">
        <v>4971</v>
      </c>
      <c r="X289" s="357">
        <v>0</v>
      </c>
      <c r="Y289" s="357">
        <v>0</v>
      </c>
      <c r="Z289" s="357">
        <v>4971</v>
      </c>
      <c r="AA289" s="357">
        <v>693984</v>
      </c>
      <c r="AB289" s="357">
        <v>0</v>
      </c>
      <c r="AC289" s="357">
        <v>0</v>
      </c>
      <c r="AD289" s="357">
        <v>14290</v>
      </c>
      <c r="AE289" s="357">
        <v>0</v>
      </c>
      <c r="AF289" s="357">
        <v>0</v>
      </c>
      <c r="AG289" s="357">
        <v>708274</v>
      </c>
      <c r="AH289" s="357">
        <v>0</v>
      </c>
      <c r="AI289" s="357">
        <v>0</v>
      </c>
      <c r="AJ289" s="357">
        <v>708274</v>
      </c>
      <c r="AK289" s="357">
        <v>708274</v>
      </c>
      <c r="AL289" s="357">
        <v>0</v>
      </c>
      <c r="AM289" s="357">
        <v>0</v>
      </c>
      <c r="AN289" s="357">
        <v>708274</v>
      </c>
      <c r="AO289" s="357">
        <v>1950000</v>
      </c>
      <c r="AP289" s="357">
        <v>0</v>
      </c>
      <c r="AQ289" s="357">
        <v>0</v>
      </c>
      <c r="AR289" s="357">
        <v>1950000</v>
      </c>
      <c r="AS289" s="357">
        <v>195000</v>
      </c>
      <c r="AT289" s="357">
        <v>0</v>
      </c>
      <c r="AU289" s="357">
        <v>0</v>
      </c>
      <c r="AV289" s="357">
        <v>195000</v>
      </c>
      <c r="AW289" s="357">
        <v>2700000</v>
      </c>
      <c r="AX289" s="357">
        <v>0</v>
      </c>
      <c r="AY289" s="357">
        <v>0</v>
      </c>
      <c r="AZ289" s="357">
        <v>2700000</v>
      </c>
      <c r="BA289" s="357">
        <v>-750000</v>
      </c>
      <c r="BB289" s="357">
        <v>0</v>
      </c>
      <c r="BC289" s="357">
        <v>0</v>
      </c>
      <c r="BD289" s="357">
        <v>-750000</v>
      </c>
      <c r="BE289" s="357">
        <v>2800000</v>
      </c>
      <c r="BF289" s="357">
        <v>0</v>
      </c>
      <c r="BG289" s="357">
        <v>0</v>
      </c>
      <c r="BH289" s="357">
        <v>2800000</v>
      </c>
      <c r="BI289" s="357">
        <v>34000</v>
      </c>
      <c r="BJ289" s="357">
        <v>0</v>
      </c>
      <c r="BK289" s="357">
        <v>0</v>
      </c>
      <c r="BL289" s="357">
        <v>34000</v>
      </c>
      <c r="BM289" s="357">
        <v>1600</v>
      </c>
      <c r="BN289" s="357">
        <v>0</v>
      </c>
      <c r="BO289" s="357">
        <v>0</v>
      </c>
      <c r="BP289" s="357">
        <v>1600</v>
      </c>
      <c r="BQ289" s="357">
        <v>2085600</v>
      </c>
      <c r="BR289" s="357">
        <v>0</v>
      </c>
      <c r="BS289" s="357">
        <v>0</v>
      </c>
      <c r="BT289" s="357">
        <v>28580</v>
      </c>
      <c r="BU289" s="357">
        <v>0</v>
      </c>
      <c r="BV289" s="357">
        <v>0</v>
      </c>
      <c r="BW289" s="357">
        <v>2114180</v>
      </c>
      <c r="BX289" s="357">
        <v>0</v>
      </c>
      <c r="BY289" s="357">
        <v>0</v>
      </c>
      <c r="BZ289" s="357">
        <v>2114180</v>
      </c>
      <c r="CA289" s="357">
        <v>800000</v>
      </c>
      <c r="CB289" s="357">
        <v>0</v>
      </c>
      <c r="CC289" s="357">
        <v>0</v>
      </c>
      <c r="CD289" s="357">
        <v>800000</v>
      </c>
      <c r="CE289" s="357">
        <v>8300000</v>
      </c>
      <c r="CF289" s="357">
        <v>0</v>
      </c>
      <c r="CG289" s="357">
        <v>0</v>
      </c>
      <c r="CH289" s="357">
        <v>8300000</v>
      </c>
      <c r="CI289" s="357">
        <v>9100000</v>
      </c>
      <c r="CJ289" s="357">
        <v>0</v>
      </c>
      <c r="CK289" s="357">
        <v>0</v>
      </c>
      <c r="CL289" s="357">
        <v>0</v>
      </c>
      <c r="CM289" s="357">
        <v>0</v>
      </c>
      <c r="CN289" s="357">
        <v>0</v>
      </c>
      <c r="CO289" s="357">
        <v>9100000</v>
      </c>
      <c r="CP289" s="357">
        <v>0</v>
      </c>
      <c r="CQ289" s="357">
        <v>0</v>
      </c>
      <c r="CR289" s="357">
        <v>9100000</v>
      </c>
      <c r="CS289" s="357">
        <v>40000</v>
      </c>
      <c r="CT289" s="357">
        <v>0</v>
      </c>
      <c r="CU289" s="357">
        <v>0</v>
      </c>
      <c r="CV289" s="357">
        <v>40000</v>
      </c>
      <c r="CW289" s="357">
        <v>30000</v>
      </c>
      <c r="CX289" s="357">
        <v>0</v>
      </c>
      <c r="CY289" s="357">
        <v>0</v>
      </c>
      <c r="CZ289" s="357">
        <v>30000</v>
      </c>
      <c r="DA289" s="357">
        <v>220</v>
      </c>
      <c r="DB289" s="357">
        <v>0</v>
      </c>
      <c r="DC289" s="357">
        <v>0</v>
      </c>
      <c r="DD289" s="357">
        <v>220</v>
      </c>
      <c r="DE289" s="357">
        <v>0</v>
      </c>
      <c r="DF289" s="357">
        <v>0</v>
      </c>
      <c r="DG289" s="357">
        <v>0</v>
      </c>
      <c r="DH289" s="357">
        <v>0</v>
      </c>
      <c r="DI289" s="357">
        <v>0</v>
      </c>
      <c r="DJ289" s="357">
        <v>0</v>
      </c>
      <c r="DK289" s="357">
        <v>0</v>
      </c>
      <c r="DL289" s="357">
        <v>0</v>
      </c>
      <c r="DM289" s="357">
        <v>0</v>
      </c>
      <c r="DN289" s="357">
        <v>0</v>
      </c>
      <c r="DO289" s="357">
        <v>0</v>
      </c>
      <c r="DP289" s="357">
        <v>0</v>
      </c>
      <c r="DQ289" s="357">
        <v>70220</v>
      </c>
      <c r="DR289" s="357">
        <v>0</v>
      </c>
      <c r="DS289" s="357">
        <v>0</v>
      </c>
      <c r="DT289" s="357">
        <v>0</v>
      </c>
      <c r="DU289" s="357">
        <v>0</v>
      </c>
      <c r="DV289" s="357">
        <v>0</v>
      </c>
      <c r="DW289" s="357">
        <v>70220</v>
      </c>
      <c r="DX289" s="357">
        <v>0</v>
      </c>
      <c r="DY289" s="357">
        <v>0</v>
      </c>
      <c r="DZ289" s="357">
        <v>70220</v>
      </c>
      <c r="EA289" s="357">
        <v>0</v>
      </c>
      <c r="EB289" s="357">
        <v>0</v>
      </c>
      <c r="EC289" s="357">
        <v>71450</v>
      </c>
      <c r="ED289" s="357">
        <v>0</v>
      </c>
      <c r="EE289" s="357">
        <v>0</v>
      </c>
      <c r="EF289" s="357">
        <v>71450</v>
      </c>
      <c r="EG289" s="357">
        <v>23365</v>
      </c>
      <c r="EH289" s="357">
        <v>0</v>
      </c>
      <c r="EI289" s="357">
        <v>0</v>
      </c>
      <c r="EJ289" s="357">
        <v>23365</v>
      </c>
      <c r="EK289" s="357">
        <v>448200</v>
      </c>
      <c r="EL289" s="357">
        <v>0</v>
      </c>
      <c r="EM289" s="357">
        <v>0</v>
      </c>
      <c r="EN289" s="357">
        <v>448200</v>
      </c>
      <c r="EO289" s="357">
        <v>543015</v>
      </c>
      <c r="EP289" s="357">
        <v>0</v>
      </c>
      <c r="EQ289" s="357">
        <v>0</v>
      </c>
      <c r="ER289" s="357">
        <v>0</v>
      </c>
      <c r="ES289" s="357">
        <v>0</v>
      </c>
      <c r="ET289" s="357">
        <v>0</v>
      </c>
      <c r="EU289" s="357">
        <v>543015</v>
      </c>
      <c r="EV289" s="357">
        <v>0</v>
      </c>
      <c r="EW289" s="357">
        <v>0</v>
      </c>
      <c r="EX289" s="357">
        <v>543015</v>
      </c>
      <c r="EY289" s="357">
        <v>112215801</v>
      </c>
      <c r="EZ289" s="357">
        <v>0</v>
      </c>
      <c r="FA289" s="357">
        <v>0</v>
      </c>
      <c r="FB289" s="357">
        <v>112215801</v>
      </c>
      <c r="FC289" s="277">
        <v>0</v>
      </c>
      <c r="FD289" s="205"/>
    </row>
    <row r="290" spans="1:160" ht="12.75">
      <c r="A290" s="169">
        <v>283</v>
      </c>
      <c r="B290" s="172" t="s">
        <v>496</v>
      </c>
      <c r="C290" s="258" t="s">
        <v>497</v>
      </c>
      <c r="D290" s="235">
        <v>41639</v>
      </c>
      <c r="E290" s="357">
        <v>134356098</v>
      </c>
      <c r="F290" s="357">
        <v>0</v>
      </c>
      <c r="G290" s="357">
        <v>0</v>
      </c>
      <c r="H290" s="357">
        <v>134356098</v>
      </c>
      <c r="I290" s="357">
        <v>63281722</v>
      </c>
      <c r="J290" s="357">
        <v>0</v>
      </c>
      <c r="K290" s="357">
        <v>0</v>
      </c>
      <c r="L290" s="357">
        <v>0</v>
      </c>
      <c r="M290" s="357">
        <v>0</v>
      </c>
      <c r="N290" s="357">
        <v>0</v>
      </c>
      <c r="O290" s="357">
        <v>63281722</v>
      </c>
      <c r="P290" s="357">
        <v>0</v>
      </c>
      <c r="Q290" s="357">
        <v>0</v>
      </c>
      <c r="R290" s="357">
        <v>63281722</v>
      </c>
      <c r="S290" s="357">
        <v>90620</v>
      </c>
      <c r="T290" s="357">
        <v>0</v>
      </c>
      <c r="U290" s="357">
        <v>0</v>
      </c>
      <c r="V290" s="357">
        <v>90620</v>
      </c>
      <c r="W290" s="357">
        <v>0</v>
      </c>
      <c r="X290" s="357">
        <v>0</v>
      </c>
      <c r="Y290" s="357">
        <v>0</v>
      </c>
      <c r="Z290" s="357">
        <v>0</v>
      </c>
      <c r="AA290" s="357">
        <v>90620</v>
      </c>
      <c r="AB290" s="357">
        <v>0</v>
      </c>
      <c r="AC290" s="357">
        <v>0</v>
      </c>
      <c r="AD290" s="357">
        <v>0</v>
      </c>
      <c r="AE290" s="357">
        <v>0</v>
      </c>
      <c r="AF290" s="357">
        <v>0</v>
      </c>
      <c r="AG290" s="357">
        <v>90620</v>
      </c>
      <c r="AH290" s="357">
        <v>0</v>
      </c>
      <c r="AI290" s="357">
        <v>0</v>
      </c>
      <c r="AJ290" s="357">
        <v>90620</v>
      </c>
      <c r="AK290" s="357">
        <v>90620</v>
      </c>
      <c r="AL290" s="357">
        <v>0</v>
      </c>
      <c r="AM290" s="357">
        <v>0</v>
      </c>
      <c r="AN290" s="357">
        <v>90620</v>
      </c>
      <c r="AO290" s="357">
        <v>1578110</v>
      </c>
      <c r="AP290" s="357">
        <v>0</v>
      </c>
      <c r="AQ290" s="357">
        <v>0</v>
      </c>
      <c r="AR290" s="357">
        <v>1578110</v>
      </c>
      <c r="AS290" s="357">
        <v>0</v>
      </c>
      <c r="AT290" s="357">
        <v>0</v>
      </c>
      <c r="AU290" s="357">
        <v>0</v>
      </c>
      <c r="AV290" s="357">
        <v>0</v>
      </c>
      <c r="AW290" s="357">
        <v>1329320</v>
      </c>
      <c r="AX290" s="357">
        <v>0</v>
      </c>
      <c r="AY290" s="357">
        <v>0</v>
      </c>
      <c r="AZ290" s="357">
        <v>1329320</v>
      </c>
      <c r="BA290" s="357">
        <v>248790</v>
      </c>
      <c r="BB290" s="357">
        <v>0</v>
      </c>
      <c r="BC290" s="357">
        <v>0</v>
      </c>
      <c r="BD290" s="357">
        <v>248790</v>
      </c>
      <c r="BE290" s="357">
        <v>4585980</v>
      </c>
      <c r="BF290" s="357">
        <v>0</v>
      </c>
      <c r="BG290" s="357">
        <v>0</v>
      </c>
      <c r="BH290" s="357">
        <v>4585980</v>
      </c>
      <c r="BI290" s="357">
        <v>85660</v>
      </c>
      <c r="BJ290" s="357">
        <v>0</v>
      </c>
      <c r="BK290" s="357">
        <v>0</v>
      </c>
      <c r="BL290" s="357">
        <v>85660</v>
      </c>
      <c r="BM290" s="357">
        <v>10160</v>
      </c>
      <c r="BN290" s="357">
        <v>0</v>
      </c>
      <c r="BO290" s="357">
        <v>0</v>
      </c>
      <c r="BP290" s="357">
        <v>10160</v>
      </c>
      <c r="BQ290" s="357">
        <v>4930590</v>
      </c>
      <c r="BR290" s="357">
        <v>0</v>
      </c>
      <c r="BS290" s="357">
        <v>0</v>
      </c>
      <c r="BT290" s="357">
        <v>0</v>
      </c>
      <c r="BU290" s="357">
        <v>0</v>
      </c>
      <c r="BV290" s="357">
        <v>0</v>
      </c>
      <c r="BW290" s="357">
        <v>4930590</v>
      </c>
      <c r="BX290" s="357">
        <v>0</v>
      </c>
      <c r="BY290" s="357">
        <v>0</v>
      </c>
      <c r="BZ290" s="357">
        <v>4930590</v>
      </c>
      <c r="CA290" s="357">
        <v>0</v>
      </c>
      <c r="CB290" s="357">
        <v>0</v>
      </c>
      <c r="CC290" s="357">
        <v>0</v>
      </c>
      <c r="CD290" s="357">
        <v>0</v>
      </c>
      <c r="CE290" s="357">
        <v>2445000</v>
      </c>
      <c r="CF290" s="357">
        <v>0</v>
      </c>
      <c r="CG290" s="357">
        <v>0</v>
      </c>
      <c r="CH290" s="357">
        <v>2445000</v>
      </c>
      <c r="CI290" s="357">
        <v>2445000</v>
      </c>
      <c r="CJ290" s="357">
        <v>0</v>
      </c>
      <c r="CK290" s="357">
        <v>0</v>
      </c>
      <c r="CL290" s="357">
        <v>0</v>
      </c>
      <c r="CM290" s="357">
        <v>0</v>
      </c>
      <c r="CN290" s="357">
        <v>0</v>
      </c>
      <c r="CO290" s="357">
        <v>2445000</v>
      </c>
      <c r="CP290" s="357">
        <v>0</v>
      </c>
      <c r="CQ290" s="357">
        <v>0</v>
      </c>
      <c r="CR290" s="357">
        <v>2445000</v>
      </c>
      <c r="CS290" s="357">
        <v>128330</v>
      </c>
      <c r="CT290" s="357">
        <v>0</v>
      </c>
      <c r="CU290" s="357">
        <v>0</v>
      </c>
      <c r="CV290" s="357">
        <v>128330</v>
      </c>
      <c r="CW290" s="357">
        <v>0</v>
      </c>
      <c r="CX290" s="357">
        <v>0</v>
      </c>
      <c r="CY290" s="357">
        <v>0</v>
      </c>
      <c r="CZ290" s="357">
        <v>0</v>
      </c>
      <c r="DA290" s="357">
        <v>18000</v>
      </c>
      <c r="DB290" s="357">
        <v>0</v>
      </c>
      <c r="DC290" s="357">
        <v>0</v>
      </c>
      <c r="DD290" s="357">
        <v>18000</v>
      </c>
      <c r="DE290" s="357">
        <v>3260</v>
      </c>
      <c r="DF290" s="357">
        <v>0</v>
      </c>
      <c r="DG290" s="357">
        <v>0</v>
      </c>
      <c r="DH290" s="357">
        <v>3260</v>
      </c>
      <c r="DI290" s="357">
        <v>17800</v>
      </c>
      <c r="DJ290" s="357">
        <v>0</v>
      </c>
      <c r="DK290" s="357">
        <v>0</v>
      </c>
      <c r="DL290" s="357">
        <v>17800</v>
      </c>
      <c r="DM290" s="357">
        <v>0</v>
      </c>
      <c r="DN290" s="357">
        <v>0</v>
      </c>
      <c r="DO290" s="357">
        <v>0</v>
      </c>
      <c r="DP290" s="357">
        <v>0</v>
      </c>
      <c r="DQ290" s="357">
        <v>167390</v>
      </c>
      <c r="DR290" s="357">
        <v>0</v>
      </c>
      <c r="DS290" s="357">
        <v>0</v>
      </c>
      <c r="DT290" s="357">
        <v>0</v>
      </c>
      <c r="DU290" s="357">
        <v>0</v>
      </c>
      <c r="DV290" s="357">
        <v>0</v>
      </c>
      <c r="DW290" s="357">
        <v>167390</v>
      </c>
      <c r="DX290" s="357">
        <v>0</v>
      </c>
      <c r="DY290" s="357">
        <v>0</v>
      </c>
      <c r="DZ290" s="357">
        <v>167390</v>
      </c>
      <c r="EA290" s="357">
        <v>0</v>
      </c>
      <c r="EB290" s="357">
        <v>0</v>
      </c>
      <c r="EC290" s="357">
        <v>0</v>
      </c>
      <c r="ED290" s="357">
        <v>0</v>
      </c>
      <c r="EE290" s="357">
        <v>0</v>
      </c>
      <c r="EF290" s="357">
        <v>0</v>
      </c>
      <c r="EG290" s="357">
        <v>307000</v>
      </c>
      <c r="EH290" s="357">
        <v>0</v>
      </c>
      <c r="EI290" s="357">
        <v>0</v>
      </c>
      <c r="EJ290" s="357">
        <v>307000</v>
      </c>
      <c r="EK290" s="357">
        <v>750800</v>
      </c>
      <c r="EL290" s="357">
        <v>0</v>
      </c>
      <c r="EM290" s="357">
        <v>0</v>
      </c>
      <c r="EN290" s="357">
        <v>750800</v>
      </c>
      <c r="EO290" s="357">
        <v>1057800</v>
      </c>
      <c r="EP290" s="357">
        <v>0</v>
      </c>
      <c r="EQ290" s="357">
        <v>0</v>
      </c>
      <c r="ER290" s="357">
        <v>0</v>
      </c>
      <c r="ES290" s="357">
        <v>0</v>
      </c>
      <c r="ET290" s="357">
        <v>0</v>
      </c>
      <c r="EU290" s="357">
        <v>1057800</v>
      </c>
      <c r="EV290" s="357">
        <v>0</v>
      </c>
      <c r="EW290" s="357">
        <v>0</v>
      </c>
      <c r="EX290" s="357">
        <v>1057800</v>
      </c>
      <c r="EY290" s="357">
        <v>54590322</v>
      </c>
      <c r="EZ290" s="357">
        <v>0</v>
      </c>
      <c r="FA290" s="357">
        <v>0</v>
      </c>
      <c r="FB290" s="357">
        <v>54590322</v>
      </c>
      <c r="FC290" s="277">
        <v>0</v>
      </c>
      <c r="FD290" s="205"/>
    </row>
    <row r="291" spans="1:160" ht="12.75">
      <c r="A291" s="169">
        <v>284</v>
      </c>
      <c r="B291" s="172" t="s">
        <v>498</v>
      </c>
      <c r="C291" s="258" t="s">
        <v>499</v>
      </c>
      <c r="D291" s="235">
        <v>41654</v>
      </c>
      <c r="E291" s="357">
        <v>98671775</v>
      </c>
      <c r="F291" s="357">
        <v>0</v>
      </c>
      <c r="G291" s="357">
        <v>0</v>
      </c>
      <c r="H291" s="357">
        <v>98671775</v>
      </c>
      <c r="I291" s="357">
        <v>46474406</v>
      </c>
      <c r="J291" s="357">
        <v>0</v>
      </c>
      <c r="K291" s="357">
        <v>0</v>
      </c>
      <c r="L291" s="357">
        <v>-673506</v>
      </c>
      <c r="M291" s="357">
        <v>0</v>
      </c>
      <c r="N291" s="357">
        <v>0</v>
      </c>
      <c r="O291" s="357">
        <v>45800900</v>
      </c>
      <c r="P291" s="357">
        <v>0</v>
      </c>
      <c r="Q291" s="357">
        <v>0</v>
      </c>
      <c r="R291" s="357">
        <v>45800900</v>
      </c>
      <c r="S291" s="357">
        <v>74754.44</v>
      </c>
      <c r="T291" s="357">
        <v>0</v>
      </c>
      <c r="U291" s="357">
        <v>0</v>
      </c>
      <c r="V291" s="357">
        <v>74754.44</v>
      </c>
      <c r="W291" s="357">
        <v>13631.82</v>
      </c>
      <c r="X291" s="357">
        <v>0</v>
      </c>
      <c r="Y291" s="357">
        <v>0</v>
      </c>
      <c r="Z291" s="357">
        <v>13631.82</v>
      </c>
      <c r="AA291" s="357">
        <v>61122.62</v>
      </c>
      <c r="AB291" s="357">
        <v>0</v>
      </c>
      <c r="AC291" s="357">
        <v>0</v>
      </c>
      <c r="AD291" s="357">
        <v>-5000</v>
      </c>
      <c r="AE291" s="357">
        <v>0</v>
      </c>
      <c r="AF291" s="357">
        <v>0</v>
      </c>
      <c r="AG291" s="357">
        <v>56122.62</v>
      </c>
      <c r="AH291" s="357">
        <v>0</v>
      </c>
      <c r="AI291" s="357">
        <v>0</v>
      </c>
      <c r="AJ291" s="357">
        <v>56122.62</v>
      </c>
      <c r="AK291" s="357">
        <v>56122.62</v>
      </c>
      <c r="AL291" s="357">
        <v>0</v>
      </c>
      <c r="AM291" s="357">
        <v>0</v>
      </c>
      <c r="AN291" s="357">
        <v>56122.62</v>
      </c>
      <c r="AO291" s="357">
        <v>3957821.66</v>
      </c>
      <c r="AP291" s="357">
        <v>0</v>
      </c>
      <c r="AQ291" s="357">
        <v>0</v>
      </c>
      <c r="AR291" s="357">
        <v>3957821.66</v>
      </c>
      <c r="AS291" s="357">
        <v>198000</v>
      </c>
      <c r="AT291" s="357">
        <v>0</v>
      </c>
      <c r="AU291" s="357">
        <v>0</v>
      </c>
      <c r="AV291" s="357">
        <v>198000</v>
      </c>
      <c r="AW291" s="357">
        <v>863412.77</v>
      </c>
      <c r="AX291" s="357">
        <v>0</v>
      </c>
      <c r="AY291" s="357">
        <v>0</v>
      </c>
      <c r="AZ291" s="357">
        <v>863412.77</v>
      </c>
      <c r="BA291" s="357">
        <v>3094408.89</v>
      </c>
      <c r="BB291" s="357">
        <v>0</v>
      </c>
      <c r="BC291" s="357">
        <v>0</v>
      </c>
      <c r="BD291" s="357">
        <v>3094408.89</v>
      </c>
      <c r="BE291" s="357">
        <v>3356139.46</v>
      </c>
      <c r="BF291" s="357">
        <v>0</v>
      </c>
      <c r="BG291" s="357">
        <v>0</v>
      </c>
      <c r="BH291" s="357">
        <v>3356139.46</v>
      </c>
      <c r="BI291" s="357">
        <v>146510.1</v>
      </c>
      <c r="BJ291" s="357">
        <v>0</v>
      </c>
      <c r="BK291" s="357">
        <v>0</v>
      </c>
      <c r="BL291" s="357">
        <v>146510.1</v>
      </c>
      <c r="BM291" s="357">
        <v>0</v>
      </c>
      <c r="BN291" s="357">
        <v>0</v>
      </c>
      <c r="BO291" s="357">
        <v>0</v>
      </c>
      <c r="BP291" s="357">
        <v>0</v>
      </c>
      <c r="BQ291" s="357">
        <v>6597058.45</v>
      </c>
      <c r="BR291" s="357">
        <v>0</v>
      </c>
      <c r="BS291" s="357">
        <v>0</v>
      </c>
      <c r="BT291" s="357">
        <v>200000</v>
      </c>
      <c r="BU291" s="357">
        <v>0</v>
      </c>
      <c r="BV291" s="357">
        <v>0</v>
      </c>
      <c r="BW291" s="357">
        <v>6797058.45</v>
      </c>
      <c r="BX291" s="357">
        <v>0</v>
      </c>
      <c r="BY291" s="357">
        <v>0</v>
      </c>
      <c r="BZ291" s="357">
        <v>6797058.45</v>
      </c>
      <c r="CA291" s="357">
        <v>635.38</v>
      </c>
      <c r="CB291" s="357">
        <v>0</v>
      </c>
      <c r="CC291" s="357">
        <v>0</v>
      </c>
      <c r="CD291" s="357">
        <v>635.38</v>
      </c>
      <c r="CE291" s="357">
        <v>1131526.47</v>
      </c>
      <c r="CF291" s="357">
        <v>0</v>
      </c>
      <c r="CG291" s="357">
        <v>0</v>
      </c>
      <c r="CH291" s="357">
        <v>1131526.47</v>
      </c>
      <c r="CI291" s="357">
        <v>1132161.85</v>
      </c>
      <c r="CJ291" s="357">
        <v>0</v>
      </c>
      <c r="CK291" s="357">
        <v>0</v>
      </c>
      <c r="CL291" s="357">
        <v>500000</v>
      </c>
      <c r="CM291" s="357">
        <v>0</v>
      </c>
      <c r="CN291" s="357">
        <v>0</v>
      </c>
      <c r="CO291" s="357">
        <v>1632161.85</v>
      </c>
      <c r="CP291" s="357">
        <v>0</v>
      </c>
      <c r="CQ291" s="357">
        <v>0</v>
      </c>
      <c r="CR291" s="357">
        <v>1632161.85</v>
      </c>
      <c r="CS291" s="357">
        <v>72236.56</v>
      </c>
      <c r="CT291" s="357">
        <v>0</v>
      </c>
      <c r="CU291" s="357">
        <v>0</v>
      </c>
      <c r="CV291" s="357">
        <v>72236.56</v>
      </c>
      <c r="CW291" s="357">
        <v>339997.39</v>
      </c>
      <c r="CX291" s="357">
        <v>0</v>
      </c>
      <c r="CY291" s="357">
        <v>0</v>
      </c>
      <c r="CZ291" s="357">
        <v>339997.39</v>
      </c>
      <c r="DA291" s="357">
        <v>4890.85</v>
      </c>
      <c r="DB291" s="357">
        <v>0</v>
      </c>
      <c r="DC291" s="357">
        <v>0</v>
      </c>
      <c r="DD291" s="357">
        <v>4890.85</v>
      </c>
      <c r="DE291" s="357">
        <v>0</v>
      </c>
      <c r="DF291" s="357">
        <v>0</v>
      </c>
      <c r="DG291" s="357">
        <v>0</v>
      </c>
      <c r="DH291" s="357">
        <v>0</v>
      </c>
      <c r="DI291" s="357">
        <v>0</v>
      </c>
      <c r="DJ291" s="357">
        <v>0</v>
      </c>
      <c r="DK291" s="357">
        <v>0</v>
      </c>
      <c r="DL291" s="357">
        <v>0</v>
      </c>
      <c r="DM291" s="357">
        <v>0</v>
      </c>
      <c r="DN291" s="357">
        <v>0</v>
      </c>
      <c r="DO291" s="357">
        <v>0</v>
      </c>
      <c r="DP291" s="357">
        <v>0</v>
      </c>
      <c r="DQ291" s="357">
        <v>417124.8</v>
      </c>
      <c r="DR291" s="357">
        <v>0</v>
      </c>
      <c r="DS291" s="357">
        <v>0</v>
      </c>
      <c r="DT291" s="357">
        <v>0</v>
      </c>
      <c r="DU291" s="357">
        <v>0</v>
      </c>
      <c r="DV291" s="357">
        <v>0</v>
      </c>
      <c r="DW291" s="357">
        <v>417124.8</v>
      </c>
      <c r="DX291" s="357">
        <v>0</v>
      </c>
      <c r="DY291" s="357">
        <v>0</v>
      </c>
      <c r="DZ291" s="357">
        <v>417124.8</v>
      </c>
      <c r="EA291" s="357">
        <v>0</v>
      </c>
      <c r="EB291" s="357">
        <v>0</v>
      </c>
      <c r="EC291" s="357">
        <v>50000</v>
      </c>
      <c r="ED291" s="357">
        <v>0</v>
      </c>
      <c r="EE291" s="357">
        <v>0</v>
      </c>
      <c r="EF291" s="357">
        <v>50000</v>
      </c>
      <c r="EG291" s="357">
        <v>200000</v>
      </c>
      <c r="EH291" s="357">
        <v>0</v>
      </c>
      <c r="EI291" s="357">
        <v>0</v>
      </c>
      <c r="EJ291" s="357">
        <v>200000</v>
      </c>
      <c r="EK291" s="357">
        <v>500000</v>
      </c>
      <c r="EL291" s="357">
        <v>0</v>
      </c>
      <c r="EM291" s="357">
        <v>0</v>
      </c>
      <c r="EN291" s="357">
        <v>500000</v>
      </c>
      <c r="EO291" s="357">
        <v>750000</v>
      </c>
      <c r="EP291" s="357">
        <v>0</v>
      </c>
      <c r="EQ291" s="357">
        <v>0</v>
      </c>
      <c r="ER291" s="357">
        <v>0</v>
      </c>
      <c r="ES291" s="357">
        <v>0</v>
      </c>
      <c r="ET291" s="357">
        <v>0</v>
      </c>
      <c r="EU291" s="357">
        <v>750000</v>
      </c>
      <c r="EV291" s="357">
        <v>0</v>
      </c>
      <c r="EW291" s="357">
        <v>0</v>
      </c>
      <c r="EX291" s="357">
        <v>750000</v>
      </c>
      <c r="EY291" s="357">
        <v>36148432.3</v>
      </c>
      <c r="EZ291" s="357">
        <v>0</v>
      </c>
      <c r="FA291" s="357">
        <v>0</v>
      </c>
      <c r="FB291" s="357">
        <v>36148432.3</v>
      </c>
      <c r="FC291" s="277">
        <v>0</v>
      </c>
      <c r="FD291" s="205"/>
    </row>
    <row r="292" spans="1:160" ht="12.75">
      <c r="A292" s="169">
        <v>285</v>
      </c>
      <c r="B292" s="172" t="s">
        <v>500</v>
      </c>
      <c r="C292" s="258" t="s">
        <v>501</v>
      </c>
      <c r="D292" s="235">
        <v>150114</v>
      </c>
      <c r="E292" s="357">
        <v>31692144</v>
      </c>
      <c r="F292" s="357">
        <v>0</v>
      </c>
      <c r="G292" s="357">
        <v>0</v>
      </c>
      <c r="H292" s="357">
        <v>31692144</v>
      </c>
      <c r="I292" s="357">
        <v>14927000</v>
      </c>
      <c r="J292" s="357">
        <v>0</v>
      </c>
      <c r="K292" s="357">
        <v>0</v>
      </c>
      <c r="L292" s="357">
        <v>748000</v>
      </c>
      <c r="M292" s="357">
        <v>0</v>
      </c>
      <c r="N292" s="357">
        <v>0</v>
      </c>
      <c r="O292" s="357">
        <v>15675000</v>
      </c>
      <c r="P292" s="357">
        <v>0</v>
      </c>
      <c r="Q292" s="357">
        <v>0</v>
      </c>
      <c r="R292" s="357">
        <v>15675000</v>
      </c>
      <c r="S292" s="357">
        <v>151711</v>
      </c>
      <c r="T292" s="357">
        <v>0</v>
      </c>
      <c r="U292" s="357">
        <v>0</v>
      </c>
      <c r="V292" s="357">
        <v>151711</v>
      </c>
      <c r="W292" s="357">
        <v>0</v>
      </c>
      <c r="X292" s="357">
        <v>0</v>
      </c>
      <c r="Y292" s="357">
        <v>0</v>
      </c>
      <c r="Z292" s="357">
        <v>0</v>
      </c>
      <c r="AA292" s="357">
        <v>151711</v>
      </c>
      <c r="AB292" s="357">
        <v>0</v>
      </c>
      <c r="AC292" s="357">
        <v>0</v>
      </c>
      <c r="AD292" s="357">
        <v>0</v>
      </c>
      <c r="AE292" s="357">
        <v>0</v>
      </c>
      <c r="AF292" s="357">
        <v>0</v>
      </c>
      <c r="AG292" s="357">
        <v>151711</v>
      </c>
      <c r="AH292" s="357">
        <v>0</v>
      </c>
      <c r="AI292" s="357">
        <v>0</v>
      </c>
      <c r="AJ292" s="357">
        <v>151711</v>
      </c>
      <c r="AK292" s="357">
        <v>151711</v>
      </c>
      <c r="AL292" s="357">
        <v>0</v>
      </c>
      <c r="AM292" s="357">
        <v>0</v>
      </c>
      <c r="AN292" s="357">
        <v>151711</v>
      </c>
      <c r="AO292" s="357">
        <v>2579618</v>
      </c>
      <c r="AP292" s="357">
        <v>0</v>
      </c>
      <c r="AQ292" s="357">
        <v>0</v>
      </c>
      <c r="AR292" s="357">
        <v>2579618</v>
      </c>
      <c r="AS292" s="357">
        <v>0</v>
      </c>
      <c r="AT292" s="357">
        <v>0</v>
      </c>
      <c r="AU292" s="357">
        <v>0</v>
      </c>
      <c r="AV292" s="357">
        <v>0</v>
      </c>
      <c r="AW292" s="357">
        <v>221253</v>
      </c>
      <c r="AX292" s="357">
        <v>0</v>
      </c>
      <c r="AY292" s="357">
        <v>0</v>
      </c>
      <c r="AZ292" s="357">
        <v>221253</v>
      </c>
      <c r="BA292" s="357">
        <v>2358365</v>
      </c>
      <c r="BB292" s="357">
        <v>0</v>
      </c>
      <c r="BC292" s="357">
        <v>0</v>
      </c>
      <c r="BD292" s="357">
        <v>2358365</v>
      </c>
      <c r="BE292" s="357">
        <v>1067356.82</v>
      </c>
      <c r="BF292" s="357">
        <v>0</v>
      </c>
      <c r="BG292" s="357">
        <v>0</v>
      </c>
      <c r="BH292" s="357">
        <v>1067356.82</v>
      </c>
      <c r="BI292" s="357">
        <v>23020</v>
      </c>
      <c r="BJ292" s="357">
        <v>0</v>
      </c>
      <c r="BK292" s="357">
        <v>0</v>
      </c>
      <c r="BL292" s="357">
        <v>23020</v>
      </c>
      <c r="BM292" s="357">
        <v>59519</v>
      </c>
      <c r="BN292" s="357">
        <v>0</v>
      </c>
      <c r="BO292" s="357">
        <v>0</v>
      </c>
      <c r="BP292" s="357">
        <v>59519</v>
      </c>
      <c r="BQ292" s="357">
        <v>3508260.82</v>
      </c>
      <c r="BR292" s="357">
        <v>0</v>
      </c>
      <c r="BS292" s="357">
        <v>0</v>
      </c>
      <c r="BT292" s="357">
        <v>0</v>
      </c>
      <c r="BU292" s="357">
        <v>0</v>
      </c>
      <c r="BV292" s="357">
        <v>0</v>
      </c>
      <c r="BW292" s="357">
        <v>3508260.82</v>
      </c>
      <c r="BX292" s="357">
        <v>0</v>
      </c>
      <c r="BY292" s="357">
        <v>0</v>
      </c>
      <c r="BZ292" s="357">
        <v>3508260.82</v>
      </c>
      <c r="CA292" s="357">
        <v>0</v>
      </c>
      <c r="CB292" s="357">
        <v>0</v>
      </c>
      <c r="CC292" s="357">
        <v>0</v>
      </c>
      <c r="CD292" s="357">
        <v>0</v>
      </c>
      <c r="CE292" s="357">
        <v>390545</v>
      </c>
      <c r="CF292" s="357">
        <v>0</v>
      </c>
      <c r="CG292" s="357">
        <v>0</v>
      </c>
      <c r="CH292" s="357">
        <v>390545</v>
      </c>
      <c r="CI292" s="357">
        <v>390545</v>
      </c>
      <c r="CJ292" s="357">
        <v>0</v>
      </c>
      <c r="CK292" s="357">
        <v>0</v>
      </c>
      <c r="CL292" s="357">
        <v>0</v>
      </c>
      <c r="CM292" s="357">
        <v>0</v>
      </c>
      <c r="CN292" s="357">
        <v>0</v>
      </c>
      <c r="CO292" s="357">
        <v>390545</v>
      </c>
      <c r="CP292" s="357">
        <v>0</v>
      </c>
      <c r="CQ292" s="357">
        <v>0</v>
      </c>
      <c r="CR292" s="357">
        <v>390545</v>
      </c>
      <c r="CS292" s="357">
        <v>68904</v>
      </c>
      <c r="CT292" s="357">
        <v>0</v>
      </c>
      <c r="CU292" s="357">
        <v>0</v>
      </c>
      <c r="CV292" s="357">
        <v>68904</v>
      </c>
      <c r="CW292" s="357">
        <v>19701</v>
      </c>
      <c r="CX292" s="357">
        <v>0</v>
      </c>
      <c r="CY292" s="357">
        <v>0</v>
      </c>
      <c r="CZ292" s="357">
        <v>19701</v>
      </c>
      <c r="DA292" s="357">
        <v>3445</v>
      </c>
      <c r="DB292" s="357">
        <v>0</v>
      </c>
      <c r="DC292" s="357">
        <v>0</v>
      </c>
      <c r="DD292" s="357">
        <v>3445</v>
      </c>
      <c r="DE292" s="357">
        <v>15068</v>
      </c>
      <c r="DF292" s="357">
        <v>0</v>
      </c>
      <c r="DG292" s="357">
        <v>0</v>
      </c>
      <c r="DH292" s="357">
        <v>15068</v>
      </c>
      <c r="DI292" s="357">
        <v>5440</v>
      </c>
      <c r="DJ292" s="357">
        <v>0</v>
      </c>
      <c r="DK292" s="357">
        <v>0</v>
      </c>
      <c r="DL292" s="357">
        <v>5440</v>
      </c>
      <c r="DM292" s="357">
        <v>300</v>
      </c>
      <c r="DN292" s="357">
        <v>0</v>
      </c>
      <c r="DO292" s="357">
        <v>0</v>
      </c>
      <c r="DP292" s="357">
        <v>300</v>
      </c>
      <c r="DQ292" s="357">
        <v>112858</v>
      </c>
      <c r="DR292" s="357">
        <v>0</v>
      </c>
      <c r="DS292" s="357">
        <v>0</v>
      </c>
      <c r="DT292" s="357">
        <v>0</v>
      </c>
      <c r="DU292" s="357">
        <v>0</v>
      </c>
      <c r="DV292" s="357">
        <v>0</v>
      </c>
      <c r="DW292" s="357">
        <v>112858</v>
      </c>
      <c r="DX292" s="357">
        <v>0</v>
      </c>
      <c r="DY292" s="357">
        <v>0</v>
      </c>
      <c r="DZ292" s="357">
        <v>112858</v>
      </c>
      <c r="EA292" s="357">
        <v>0</v>
      </c>
      <c r="EB292" s="357">
        <v>0</v>
      </c>
      <c r="EC292" s="357">
        <v>0</v>
      </c>
      <c r="ED292" s="357">
        <v>0</v>
      </c>
      <c r="EE292" s="357">
        <v>0</v>
      </c>
      <c r="EF292" s="357">
        <v>0</v>
      </c>
      <c r="EG292" s="357">
        <v>32395</v>
      </c>
      <c r="EH292" s="357">
        <v>0</v>
      </c>
      <c r="EI292" s="357">
        <v>0</v>
      </c>
      <c r="EJ292" s="357">
        <v>32395</v>
      </c>
      <c r="EK292" s="357">
        <v>298459</v>
      </c>
      <c r="EL292" s="357">
        <v>0</v>
      </c>
      <c r="EM292" s="357">
        <v>0</v>
      </c>
      <c r="EN292" s="357">
        <v>298459</v>
      </c>
      <c r="EO292" s="357">
        <v>330854</v>
      </c>
      <c r="EP292" s="357">
        <v>0</v>
      </c>
      <c r="EQ292" s="357">
        <v>0</v>
      </c>
      <c r="ER292" s="357">
        <v>0</v>
      </c>
      <c r="ES292" s="357">
        <v>0</v>
      </c>
      <c r="ET292" s="357">
        <v>0</v>
      </c>
      <c r="EU292" s="357">
        <v>330854</v>
      </c>
      <c r="EV292" s="357">
        <v>0</v>
      </c>
      <c r="EW292" s="357">
        <v>0</v>
      </c>
      <c r="EX292" s="357">
        <v>330854</v>
      </c>
      <c r="EY292" s="357">
        <v>11180771.2</v>
      </c>
      <c r="EZ292" s="357">
        <v>0</v>
      </c>
      <c r="FA292" s="357">
        <v>0</v>
      </c>
      <c r="FB292" s="357">
        <v>11180771.2</v>
      </c>
      <c r="FC292" s="277">
        <v>0</v>
      </c>
      <c r="FD292" s="205"/>
    </row>
    <row r="293" spans="1:160" ht="12.75">
      <c r="A293" s="169">
        <v>286</v>
      </c>
      <c r="B293" s="172" t="s">
        <v>502</v>
      </c>
      <c r="C293" s="258" t="s">
        <v>503</v>
      </c>
      <c r="D293" s="235">
        <v>41639</v>
      </c>
      <c r="E293" s="357">
        <v>812545179</v>
      </c>
      <c r="F293" s="357">
        <v>0</v>
      </c>
      <c r="G293" s="357">
        <v>0</v>
      </c>
      <c r="H293" s="357">
        <v>812545179</v>
      </c>
      <c r="I293" s="357">
        <v>382708779</v>
      </c>
      <c r="J293" s="357">
        <v>0</v>
      </c>
      <c r="K293" s="357">
        <v>0</v>
      </c>
      <c r="L293" s="357">
        <v>2000000</v>
      </c>
      <c r="M293" s="357">
        <v>0</v>
      </c>
      <c r="N293" s="357">
        <v>0</v>
      </c>
      <c r="O293" s="357">
        <v>384708779</v>
      </c>
      <c r="P293" s="357">
        <v>0</v>
      </c>
      <c r="Q293" s="357">
        <v>0</v>
      </c>
      <c r="R293" s="357">
        <v>384708779</v>
      </c>
      <c r="S293" s="357">
        <v>563166</v>
      </c>
      <c r="T293" s="357">
        <v>0</v>
      </c>
      <c r="U293" s="357">
        <v>0</v>
      </c>
      <c r="V293" s="357">
        <v>563166</v>
      </c>
      <c r="W293" s="357">
        <v>11730</v>
      </c>
      <c r="X293" s="357">
        <v>0</v>
      </c>
      <c r="Y293" s="357">
        <v>0</v>
      </c>
      <c r="Z293" s="357">
        <v>11730</v>
      </c>
      <c r="AA293" s="357">
        <v>551436</v>
      </c>
      <c r="AB293" s="357">
        <v>0</v>
      </c>
      <c r="AC293" s="357">
        <v>0</v>
      </c>
      <c r="AD293" s="357">
        <v>0</v>
      </c>
      <c r="AE293" s="357">
        <v>0</v>
      </c>
      <c r="AF293" s="357">
        <v>0</v>
      </c>
      <c r="AG293" s="357">
        <v>551436</v>
      </c>
      <c r="AH293" s="357">
        <v>0</v>
      </c>
      <c r="AI293" s="357">
        <v>0</v>
      </c>
      <c r="AJ293" s="357">
        <v>551436</v>
      </c>
      <c r="AK293" s="357">
        <v>551436</v>
      </c>
      <c r="AL293" s="357">
        <v>0</v>
      </c>
      <c r="AM293" s="357">
        <v>0</v>
      </c>
      <c r="AN293" s="357">
        <v>551436</v>
      </c>
      <c r="AO293" s="357">
        <v>5409255</v>
      </c>
      <c r="AP293" s="357">
        <v>0</v>
      </c>
      <c r="AQ293" s="357">
        <v>0</v>
      </c>
      <c r="AR293" s="357">
        <v>5409255</v>
      </c>
      <c r="AS293" s="357">
        <v>0</v>
      </c>
      <c r="AT293" s="357">
        <v>0</v>
      </c>
      <c r="AU293" s="357">
        <v>0</v>
      </c>
      <c r="AV293" s="357">
        <v>0</v>
      </c>
      <c r="AW293" s="357">
        <v>8158687</v>
      </c>
      <c r="AX293" s="357">
        <v>0</v>
      </c>
      <c r="AY293" s="357">
        <v>0</v>
      </c>
      <c r="AZ293" s="357">
        <v>8158687</v>
      </c>
      <c r="BA293" s="357">
        <v>-2749432</v>
      </c>
      <c r="BB293" s="357">
        <v>0</v>
      </c>
      <c r="BC293" s="357">
        <v>0</v>
      </c>
      <c r="BD293" s="357">
        <v>-2749432</v>
      </c>
      <c r="BE293" s="357">
        <v>11848009</v>
      </c>
      <c r="BF293" s="357">
        <v>0</v>
      </c>
      <c r="BG293" s="357">
        <v>0</v>
      </c>
      <c r="BH293" s="357">
        <v>11848009</v>
      </c>
      <c r="BI293" s="357">
        <v>0</v>
      </c>
      <c r="BJ293" s="357">
        <v>0</v>
      </c>
      <c r="BK293" s="357">
        <v>0</v>
      </c>
      <c r="BL293" s="357">
        <v>0</v>
      </c>
      <c r="BM293" s="357">
        <v>0</v>
      </c>
      <c r="BN293" s="357">
        <v>0</v>
      </c>
      <c r="BO293" s="357">
        <v>0</v>
      </c>
      <c r="BP293" s="357">
        <v>0</v>
      </c>
      <c r="BQ293" s="357">
        <v>9098577</v>
      </c>
      <c r="BR293" s="357">
        <v>0</v>
      </c>
      <c r="BS293" s="357">
        <v>0</v>
      </c>
      <c r="BT293" s="357">
        <v>0</v>
      </c>
      <c r="BU293" s="357">
        <v>0</v>
      </c>
      <c r="BV293" s="357">
        <v>0</v>
      </c>
      <c r="BW293" s="357">
        <v>9098577</v>
      </c>
      <c r="BX293" s="357">
        <v>0</v>
      </c>
      <c r="BY293" s="357">
        <v>0</v>
      </c>
      <c r="BZ293" s="357">
        <v>9098577</v>
      </c>
      <c r="CA293" s="357">
        <v>2000000</v>
      </c>
      <c r="CB293" s="357">
        <v>0</v>
      </c>
      <c r="CC293" s="357">
        <v>0</v>
      </c>
      <c r="CD293" s="357">
        <v>2000000</v>
      </c>
      <c r="CE293" s="357">
        <v>5733939</v>
      </c>
      <c r="CF293" s="357">
        <v>0</v>
      </c>
      <c r="CG293" s="357">
        <v>0</v>
      </c>
      <c r="CH293" s="357">
        <v>5733939</v>
      </c>
      <c r="CI293" s="357">
        <v>7733939</v>
      </c>
      <c r="CJ293" s="357">
        <v>0</v>
      </c>
      <c r="CK293" s="357">
        <v>0</v>
      </c>
      <c r="CL293" s="357">
        <v>0</v>
      </c>
      <c r="CM293" s="357">
        <v>0</v>
      </c>
      <c r="CN293" s="357">
        <v>0</v>
      </c>
      <c r="CO293" s="357">
        <v>7733939</v>
      </c>
      <c r="CP293" s="357">
        <v>0</v>
      </c>
      <c r="CQ293" s="357">
        <v>0</v>
      </c>
      <c r="CR293" s="357">
        <v>7733939</v>
      </c>
      <c r="CS293" s="357">
        <v>576848</v>
      </c>
      <c r="CT293" s="357">
        <v>0</v>
      </c>
      <c r="CU293" s="357">
        <v>0</v>
      </c>
      <c r="CV293" s="357">
        <v>576848</v>
      </c>
      <c r="CW293" s="357">
        <v>311518</v>
      </c>
      <c r="CX293" s="357">
        <v>0</v>
      </c>
      <c r="CY293" s="357">
        <v>0</v>
      </c>
      <c r="CZ293" s="357">
        <v>311518</v>
      </c>
      <c r="DA293" s="357">
        <v>0</v>
      </c>
      <c r="DB293" s="357">
        <v>0</v>
      </c>
      <c r="DC293" s="357">
        <v>0</v>
      </c>
      <c r="DD293" s="357">
        <v>0</v>
      </c>
      <c r="DE293" s="357">
        <v>0</v>
      </c>
      <c r="DF293" s="357">
        <v>0</v>
      </c>
      <c r="DG293" s="357">
        <v>0</v>
      </c>
      <c r="DH293" s="357">
        <v>0</v>
      </c>
      <c r="DI293" s="357">
        <v>0</v>
      </c>
      <c r="DJ293" s="357">
        <v>0</v>
      </c>
      <c r="DK293" s="357">
        <v>0</v>
      </c>
      <c r="DL293" s="357">
        <v>0</v>
      </c>
      <c r="DM293" s="357">
        <v>0</v>
      </c>
      <c r="DN293" s="357">
        <v>0</v>
      </c>
      <c r="DO293" s="357">
        <v>0</v>
      </c>
      <c r="DP293" s="357">
        <v>0</v>
      </c>
      <c r="DQ293" s="357">
        <v>888366</v>
      </c>
      <c r="DR293" s="357">
        <v>0</v>
      </c>
      <c r="DS293" s="357">
        <v>0</v>
      </c>
      <c r="DT293" s="357">
        <v>100000</v>
      </c>
      <c r="DU293" s="357">
        <v>0</v>
      </c>
      <c r="DV293" s="357">
        <v>0</v>
      </c>
      <c r="DW293" s="357">
        <v>988366</v>
      </c>
      <c r="DX293" s="357">
        <v>0</v>
      </c>
      <c r="DY293" s="357">
        <v>0</v>
      </c>
      <c r="DZ293" s="357">
        <v>988366</v>
      </c>
      <c r="EA293" s="357">
        <v>0</v>
      </c>
      <c r="EB293" s="357">
        <v>0</v>
      </c>
      <c r="EC293" s="357">
        <v>3000000</v>
      </c>
      <c r="ED293" s="357">
        <v>0</v>
      </c>
      <c r="EE293" s="357">
        <v>0</v>
      </c>
      <c r="EF293" s="357">
        <v>3000000</v>
      </c>
      <c r="EG293" s="357">
        <v>11000000</v>
      </c>
      <c r="EH293" s="357">
        <v>0</v>
      </c>
      <c r="EI293" s="357">
        <v>0</v>
      </c>
      <c r="EJ293" s="357">
        <v>11000000</v>
      </c>
      <c r="EK293" s="357">
        <v>4732290</v>
      </c>
      <c r="EL293" s="357">
        <v>0</v>
      </c>
      <c r="EM293" s="357">
        <v>0</v>
      </c>
      <c r="EN293" s="357">
        <v>4732290</v>
      </c>
      <c r="EO293" s="357">
        <v>18732290</v>
      </c>
      <c r="EP293" s="357">
        <v>0</v>
      </c>
      <c r="EQ293" s="357">
        <v>0</v>
      </c>
      <c r="ER293" s="357">
        <v>0</v>
      </c>
      <c r="ES293" s="357">
        <v>0</v>
      </c>
      <c r="ET293" s="357">
        <v>0</v>
      </c>
      <c r="EU293" s="357">
        <v>18732290</v>
      </c>
      <c r="EV293" s="357">
        <v>0</v>
      </c>
      <c r="EW293" s="357">
        <v>0</v>
      </c>
      <c r="EX293" s="357">
        <v>18732290</v>
      </c>
      <c r="EY293" s="357">
        <v>347604171</v>
      </c>
      <c r="EZ293" s="357">
        <v>0</v>
      </c>
      <c r="FA293" s="357">
        <v>0</v>
      </c>
      <c r="FB293" s="357">
        <v>347604171</v>
      </c>
      <c r="FC293" s="277">
        <v>0</v>
      </c>
      <c r="FD293" s="205"/>
    </row>
    <row r="294" spans="1:160" ht="12.75">
      <c r="A294" s="169">
        <v>287</v>
      </c>
      <c r="B294" s="172" t="s">
        <v>504</v>
      </c>
      <c r="C294" s="258" t="s">
        <v>505</v>
      </c>
      <c r="D294" s="235">
        <v>41661</v>
      </c>
      <c r="E294" s="357">
        <v>383877933</v>
      </c>
      <c r="F294" s="357">
        <v>0</v>
      </c>
      <c r="G294" s="357">
        <v>0</v>
      </c>
      <c r="H294" s="357">
        <v>383877933</v>
      </c>
      <c r="I294" s="357">
        <v>180806506</v>
      </c>
      <c r="J294" s="357">
        <v>0</v>
      </c>
      <c r="K294" s="357">
        <v>0</v>
      </c>
      <c r="L294" s="357">
        <v>0</v>
      </c>
      <c r="M294" s="357">
        <v>0</v>
      </c>
      <c r="N294" s="357">
        <v>0</v>
      </c>
      <c r="O294" s="357">
        <v>180806506</v>
      </c>
      <c r="P294" s="357">
        <v>0</v>
      </c>
      <c r="Q294" s="357">
        <v>0</v>
      </c>
      <c r="R294" s="357">
        <v>180806506</v>
      </c>
      <c r="S294" s="357">
        <v>73645.91</v>
      </c>
      <c r="T294" s="357">
        <v>0</v>
      </c>
      <c r="U294" s="357">
        <v>0</v>
      </c>
      <c r="V294" s="357">
        <v>73645.91</v>
      </c>
      <c r="W294" s="357">
        <v>28520.06</v>
      </c>
      <c r="X294" s="357">
        <v>0</v>
      </c>
      <c r="Y294" s="357">
        <v>0</v>
      </c>
      <c r="Z294" s="357">
        <v>28520.06</v>
      </c>
      <c r="AA294" s="357">
        <v>45125.85</v>
      </c>
      <c r="AB294" s="357">
        <v>0</v>
      </c>
      <c r="AC294" s="357">
        <v>0</v>
      </c>
      <c r="AD294" s="357">
        <v>0</v>
      </c>
      <c r="AE294" s="357">
        <v>0</v>
      </c>
      <c r="AF294" s="357">
        <v>0</v>
      </c>
      <c r="AG294" s="357">
        <v>45125.85</v>
      </c>
      <c r="AH294" s="357">
        <v>0</v>
      </c>
      <c r="AI294" s="357">
        <v>0</v>
      </c>
      <c r="AJ294" s="357">
        <v>45125.85</v>
      </c>
      <c r="AK294" s="357">
        <v>45125.85</v>
      </c>
      <c r="AL294" s="357">
        <v>0</v>
      </c>
      <c r="AM294" s="357">
        <v>0</v>
      </c>
      <c r="AN294" s="357">
        <v>45125.85</v>
      </c>
      <c r="AO294" s="357">
        <v>3837095.71</v>
      </c>
      <c r="AP294" s="357">
        <v>0</v>
      </c>
      <c r="AQ294" s="357">
        <v>0</v>
      </c>
      <c r="AR294" s="357">
        <v>3837095.71</v>
      </c>
      <c r="AS294" s="357">
        <v>0</v>
      </c>
      <c r="AT294" s="357">
        <v>0</v>
      </c>
      <c r="AU294" s="357">
        <v>0</v>
      </c>
      <c r="AV294" s="357">
        <v>0</v>
      </c>
      <c r="AW294" s="357">
        <v>3885868.47</v>
      </c>
      <c r="AX294" s="357">
        <v>0</v>
      </c>
      <c r="AY294" s="357">
        <v>0</v>
      </c>
      <c r="AZ294" s="357">
        <v>3885868.47</v>
      </c>
      <c r="BA294" s="357">
        <v>-48772.76</v>
      </c>
      <c r="BB294" s="357">
        <v>0</v>
      </c>
      <c r="BC294" s="357">
        <v>0</v>
      </c>
      <c r="BD294" s="357">
        <v>-48772.76</v>
      </c>
      <c r="BE294" s="357">
        <v>4561988.2</v>
      </c>
      <c r="BF294" s="357">
        <v>0</v>
      </c>
      <c r="BG294" s="357">
        <v>0</v>
      </c>
      <c r="BH294" s="357">
        <v>4561988.2</v>
      </c>
      <c r="BI294" s="357">
        <v>60732</v>
      </c>
      <c r="BJ294" s="357">
        <v>0</v>
      </c>
      <c r="BK294" s="357">
        <v>0</v>
      </c>
      <c r="BL294" s="357">
        <v>60732</v>
      </c>
      <c r="BM294" s="357">
        <v>494.05</v>
      </c>
      <c r="BN294" s="357">
        <v>0</v>
      </c>
      <c r="BO294" s="357">
        <v>0</v>
      </c>
      <c r="BP294" s="357">
        <v>494.05</v>
      </c>
      <c r="BQ294" s="357">
        <v>4574441.49</v>
      </c>
      <c r="BR294" s="357">
        <v>0</v>
      </c>
      <c r="BS294" s="357">
        <v>0</v>
      </c>
      <c r="BT294" s="357">
        <v>0</v>
      </c>
      <c r="BU294" s="357">
        <v>0</v>
      </c>
      <c r="BV294" s="357">
        <v>0</v>
      </c>
      <c r="BW294" s="357">
        <v>4574441.49</v>
      </c>
      <c r="BX294" s="357">
        <v>0</v>
      </c>
      <c r="BY294" s="357">
        <v>0</v>
      </c>
      <c r="BZ294" s="357">
        <v>4574441.49</v>
      </c>
      <c r="CA294" s="357">
        <v>2000</v>
      </c>
      <c r="CB294" s="357">
        <v>0</v>
      </c>
      <c r="CC294" s="357">
        <v>0</v>
      </c>
      <c r="CD294" s="357">
        <v>2000</v>
      </c>
      <c r="CE294" s="357">
        <v>8915199.29</v>
      </c>
      <c r="CF294" s="357">
        <v>0</v>
      </c>
      <c r="CG294" s="357">
        <v>0</v>
      </c>
      <c r="CH294" s="357">
        <v>8915199.29</v>
      </c>
      <c r="CI294" s="357">
        <v>8917199.29</v>
      </c>
      <c r="CJ294" s="357">
        <v>0</v>
      </c>
      <c r="CK294" s="357">
        <v>0</v>
      </c>
      <c r="CL294" s="357">
        <v>0</v>
      </c>
      <c r="CM294" s="357">
        <v>0</v>
      </c>
      <c r="CN294" s="357">
        <v>0</v>
      </c>
      <c r="CO294" s="357">
        <v>8917199.29</v>
      </c>
      <c r="CP294" s="357">
        <v>0</v>
      </c>
      <c r="CQ294" s="357">
        <v>0</v>
      </c>
      <c r="CR294" s="357">
        <v>8917199.29</v>
      </c>
      <c r="CS294" s="357">
        <v>123281.14</v>
      </c>
      <c r="CT294" s="357">
        <v>0</v>
      </c>
      <c r="CU294" s="357">
        <v>0</v>
      </c>
      <c r="CV294" s="357">
        <v>123281.14</v>
      </c>
      <c r="CW294" s="357">
        <v>269425.88</v>
      </c>
      <c r="CX294" s="357">
        <v>0</v>
      </c>
      <c r="CY294" s="357">
        <v>0</v>
      </c>
      <c r="CZ294" s="357">
        <v>269425.88</v>
      </c>
      <c r="DA294" s="357">
        <v>10917.3</v>
      </c>
      <c r="DB294" s="357">
        <v>0</v>
      </c>
      <c r="DC294" s="357">
        <v>0</v>
      </c>
      <c r="DD294" s="357">
        <v>10917.3</v>
      </c>
      <c r="DE294" s="357">
        <v>494.05</v>
      </c>
      <c r="DF294" s="357">
        <v>0</v>
      </c>
      <c r="DG294" s="357">
        <v>0</v>
      </c>
      <c r="DH294" s="357">
        <v>494.05</v>
      </c>
      <c r="DI294" s="357">
        <v>0</v>
      </c>
      <c r="DJ294" s="357">
        <v>0</v>
      </c>
      <c r="DK294" s="357">
        <v>0</v>
      </c>
      <c r="DL294" s="357">
        <v>0</v>
      </c>
      <c r="DM294" s="357">
        <v>0</v>
      </c>
      <c r="DN294" s="357">
        <v>0</v>
      </c>
      <c r="DO294" s="357">
        <v>0</v>
      </c>
      <c r="DP294" s="357">
        <v>0</v>
      </c>
      <c r="DQ294" s="357">
        <v>404118.37</v>
      </c>
      <c r="DR294" s="357">
        <v>0</v>
      </c>
      <c r="DS294" s="357">
        <v>0</v>
      </c>
      <c r="DT294" s="357">
        <v>0</v>
      </c>
      <c r="DU294" s="357">
        <v>0</v>
      </c>
      <c r="DV294" s="357">
        <v>0</v>
      </c>
      <c r="DW294" s="357">
        <v>404118.37</v>
      </c>
      <c r="DX294" s="357">
        <v>0</v>
      </c>
      <c r="DY294" s="357">
        <v>0</v>
      </c>
      <c r="DZ294" s="357">
        <v>404118.37</v>
      </c>
      <c r="EA294" s="357">
        <v>0</v>
      </c>
      <c r="EB294" s="357">
        <v>0</v>
      </c>
      <c r="EC294" s="357">
        <v>0</v>
      </c>
      <c r="ED294" s="357">
        <v>0</v>
      </c>
      <c r="EE294" s="357">
        <v>0</v>
      </c>
      <c r="EF294" s="357">
        <v>0</v>
      </c>
      <c r="EG294" s="357">
        <v>1206030</v>
      </c>
      <c r="EH294" s="357">
        <v>0</v>
      </c>
      <c r="EI294" s="357">
        <v>0</v>
      </c>
      <c r="EJ294" s="357">
        <v>1206030</v>
      </c>
      <c r="EK294" s="357">
        <v>1428472.58</v>
      </c>
      <c r="EL294" s="357">
        <v>0</v>
      </c>
      <c r="EM294" s="357">
        <v>0</v>
      </c>
      <c r="EN294" s="357">
        <v>1428472.58</v>
      </c>
      <c r="EO294" s="357">
        <v>2634502.58</v>
      </c>
      <c r="EP294" s="357">
        <v>0</v>
      </c>
      <c r="EQ294" s="357">
        <v>0</v>
      </c>
      <c r="ER294" s="357">
        <v>0</v>
      </c>
      <c r="ES294" s="357">
        <v>0</v>
      </c>
      <c r="ET294" s="357">
        <v>0</v>
      </c>
      <c r="EU294" s="357">
        <v>2634502.58</v>
      </c>
      <c r="EV294" s="357">
        <v>0</v>
      </c>
      <c r="EW294" s="357">
        <v>0</v>
      </c>
      <c r="EX294" s="357">
        <v>2634502.58</v>
      </c>
      <c r="EY294" s="357">
        <v>164231118</v>
      </c>
      <c r="EZ294" s="357">
        <v>0</v>
      </c>
      <c r="FA294" s="357">
        <v>0</v>
      </c>
      <c r="FB294" s="357">
        <v>164231118</v>
      </c>
      <c r="FC294" s="277">
        <v>0</v>
      </c>
      <c r="FD294" s="205"/>
    </row>
    <row r="295" spans="1:160" ht="12.75">
      <c r="A295" s="169">
        <v>288</v>
      </c>
      <c r="B295" s="172" t="s">
        <v>506</v>
      </c>
      <c r="C295" s="258" t="s">
        <v>507</v>
      </c>
      <c r="D295" s="235">
        <v>200114</v>
      </c>
      <c r="E295" s="357">
        <v>127432902</v>
      </c>
      <c r="F295" s="357">
        <v>0</v>
      </c>
      <c r="G295" s="357">
        <v>0</v>
      </c>
      <c r="H295" s="357">
        <v>127432902</v>
      </c>
      <c r="I295" s="357">
        <v>60020897</v>
      </c>
      <c r="J295" s="357">
        <v>0</v>
      </c>
      <c r="K295" s="357">
        <v>0</v>
      </c>
      <c r="L295" s="357">
        <v>0</v>
      </c>
      <c r="M295" s="357">
        <v>0</v>
      </c>
      <c r="N295" s="357">
        <v>0</v>
      </c>
      <c r="O295" s="357">
        <v>60020897</v>
      </c>
      <c r="P295" s="357">
        <v>0</v>
      </c>
      <c r="Q295" s="357">
        <v>0</v>
      </c>
      <c r="R295" s="357">
        <v>60020897</v>
      </c>
      <c r="S295" s="357">
        <v>69135</v>
      </c>
      <c r="T295" s="357">
        <v>0</v>
      </c>
      <c r="U295" s="357">
        <v>0</v>
      </c>
      <c r="V295" s="357">
        <v>69135</v>
      </c>
      <c r="W295" s="357">
        <v>680</v>
      </c>
      <c r="X295" s="357">
        <v>0</v>
      </c>
      <c r="Y295" s="357">
        <v>0</v>
      </c>
      <c r="Z295" s="357">
        <v>680</v>
      </c>
      <c r="AA295" s="357">
        <v>68455</v>
      </c>
      <c r="AB295" s="357">
        <v>0</v>
      </c>
      <c r="AC295" s="357">
        <v>0</v>
      </c>
      <c r="AD295" s="357">
        <v>0</v>
      </c>
      <c r="AE295" s="357">
        <v>0</v>
      </c>
      <c r="AF295" s="357">
        <v>0</v>
      </c>
      <c r="AG295" s="357">
        <v>68455</v>
      </c>
      <c r="AH295" s="357">
        <v>0</v>
      </c>
      <c r="AI295" s="357">
        <v>0</v>
      </c>
      <c r="AJ295" s="357">
        <v>68455</v>
      </c>
      <c r="AK295" s="357">
        <v>68455</v>
      </c>
      <c r="AL295" s="357">
        <v>0</v>
      </c>
      <c r="AM295" s="357">
        <v>0</v>
      </c>
      <c r="AN295" s="357">
        <v>68455</v>
      </c>
      <c r="AO295" s="357">
        <v>2097711</v>
      </c>
      <c r="AP295" s="357">
        <v>0</v>
      </c>
      <c r="AQ295" s="357">
        <v>0</v>
      </c>
      <c r="AR295" s="357">
        <v>2097711</v>
      </c>
      <c r="AS295" s="357">
        <v>0</v>
      </c>
      <c r="AT295" s="357">
        <v>0</v>
      </c>
      <c r="AU295" s="357">
        <v>0</v>
      </c>
      <c r="AV295" s="357">
        <v>0</v>
      </c>
      <c r="AW295" s="357">
        <v>1233705</v>
      </c>
      <c r="AX295" s="357">
        <v>0</v>
      </c>
      <c r="AY295" s="357">
        <v>0</v>
      </c>
      <c r="AZ295" s="357">
        <v>1233705</v>
      </c>
      <c r="BA295" s="357">
        <v>864006</v>
      </c>
      <c r="BB295" s="357">
        <v>0</v>
      </c>
      <c r="BC295" s="357">
        <v>0</v>
      </c>
      <c r="BD295" s="357">
        <v>864006</v>
      </c>
      <c r="BE295" s="357">
        <v>3810778</v>
      </c>
      <c r="BF295" s="357">
        <v>0</v>
      </c>
      <c r="BG295" s="357">
        <v>0</v>
      </c>
      <c r="BH295" s="357">
        <v>3810778</v>
      </c>
      <c r="BI295" s="357">
        <v>18702.94</v>
      </c>
      <c r="BJ295" s="357">
        <v>0</v>
      </c>
      <c r="BK295" s="357">
        <v>0</v>
      </c>
      <c r="BL295" s="357">
        <v>18702.94</v>
      </c>
      <c r="BM295" s="357">
        <v>11851</v>
      </c>
      <c r="BN295" s="357">
        <v>0</v>
      </c>
      <c r="BO295" s="357">
        <v>0</v>
      </c>
      <c r="BP295" s="357">
        <v>11851</v>
      </c>
      <c r="BQ295" s="357">
        <v>4705337.94</v>
      </c>
      <c r="BR295" s="357">
        <v>0</v>
      </c>
      <c r="BS295" s="357">
        <v>0</v>
      </c>
      <c r="BT295" s="357">
        <v>0</v>
      </c>
      <c r="BU295" s="357">
        <v>0</v>
      </c>
      <c r="BV295" s="357">
        <v>0</v>
      </c>
      <c r="BW295" s="357">
        <v>4705337.94</v>
      </c>
      <c r="BX295" s="357">
        <v>0</v>
      </c>
      <c r="BY295" s="357">
        <v>0</v>
      </c>
      <c r="BZ295" s="357">
        <v>4705337.94</v>
      </c>
      <c r="CA295" s="357">
        <v>0</v>
      </c>
      <c r="CB295" s="357">
        <v>0</v>
      </c>
      <c r="CC295" s="357">
        <v>0</v>
      </c>
      <c r="CD295" s="357">
        <v>0</v>
      </c>
      <c r="CE295" s="357">
        <v>1781704</v>
      </c>
      <c r="CF295" s="357">
        <v>0</v>
      </c>
      <c r="CG295" s="357">
        <v>0</v>
      </c>
      <c r="CH295" s="357">
        <v>1781704</v>
      </c>
      <c r="CI295" s="357">
        <v>1781704</v>
      </c>
      <c r="CJ295" s="357">
        <v>0</v>
      </c>
      <c r="CK295" s="357">
        <v>0</v>
      </c>
      <c r="CL295" s="357">
        <v>0</v>
      </c>
      <c r="CM295" s="357">
        <v>0</v>
      </c>
      <c r="CN295" s="357">
        <v>0</v>
      </c>
      <c r="CO295" s="357">
        <v>1781704</v>
      </c>
      <c r="CP295" s="357">
        <v>0</v>
      </c>
      <c r="CQ295" s="357">
        <v>0</v>
      </c>
      <c r="CR295" s="357">
        <v>1781704</v>
      </c>
      <c r="CS295" s="357">
        <v>28377</v>
      </c>
      <c r="CT295" s="357">
        <v>0</v>
      </c>
      <c r="CU295" s="357">
        <v>0</v>
      </c>
      <c r="CV295" s="357">
        <v>28377</v>
      </c>
      <c r="CW295" s="357">
        <v>12486.6</v>
      </c>
      <c r="CX295" s="357">
        <v>0</v>
      </c>
      <c r="CY295" s="357">
        <v>0</v>
      </c>
      <c r="CZ295" s="357">
        <v>12486.6</v>
      </c>
      <c r="DA295" s="357">
        <v>742</v>
      </c>
      <c r="DB295" s="357">
        <v>0</v>
      </c>
      <c r="DC295" s="357">
        <v>0</v>
      </c>
      <c r="DD295" s="357">
        <v>742</v>
      </c>
      <c r="DE295" s="357">
        <v>26109.42</v>
      </c>
      <c r="DF295" s="357">
        <v>0</v>
      </c>
      <c r="DG295" s="357">
        <v>0</v>
      </c>
      <c r="DH295" s="357">
        <v>26109.42</v>
      </c>
      <c r="DI295" s="357">
        <v>12481.5</v>
      </c>
      <c r="DJ295" s="357">
        <v>0</v>
      </c>
      <c r="DK295" s="357">
        <v>0</v>
      </c>
      <c r="DL295" s="357">
        <v>12481.5</v>
      </c>
      <c r="DM295" s="357">
        <v>0</v>
      </c>
      <c r="DN295" s="357">
        <v>0</v>
      </c>
      <c r="DO295" s="357">
        <v>0</v>
      </c>
      <c r="DP295" s="357">
        <v>0</v>
      </c>
      <c r="DQ295" s="357">
        <v>80196.52</v>
      </c>
      <c r="DR295" s="357">
        <v>0</v>
      </c>
      <c r="DS295" s="357">
        <v>0</v>
      </c>
      <c r="DT295" s="357">
        <v>0</v>
      </c>
      <c r="DU295" s="357">
        <v>0</v>
      </c>
      <c r="DV295" s="357">
        <v>0</v>
      </c>
      <c r="DW295" s="357">
        <v>80196.52</v>
      </c>
      <c r="DX295" s="357">
        <v>0</v>
      </c>
      <c r="DY295" s="357">
        <v>0</v>
      </c>
      <c r="DZ295" s="357">
        <v>80196.52</v>
      </c>
      <c r="EA295" s="357">
        <v>0</v>
      </c>
      <c r="EB295" s="357">
        <v>0</v>
      </c>
      <c r="EC295" s="357">
        <v>0</v>
      </c>
      <c r="ED295" s="357">
        <v>0</v>
      </c>
      <c r="EE295" s="357">
        <v>0</v>
      </c>
      <c r="EF295" s="357">
        <v>0</v>
      </c>
      <c r="EG295" s="357">
        <v>34954</v>
      </c>
      <c r="EH295" s="357">
        <v>0</v>
      </c>
      <c r="EI295" s="357">
        <v>0</v>
      </c>
      <c r="EJ295" s="357">
        <v>34954</v>
      </c>
      <c r="EK295" s="357">
        <v>814086</v>
      </c>
      <c r="EL295" s="357">
        <v>0</v>
      </c>
      <c r="EM295" s="357">
        <v>0</v>
      </c>
      <c r="EN295" s="357">
        <v>814086</v>
      </c>
      <c r="EO295" s="357">
        <v>849040</v>
      </c>
      <c r="EP295" s="357">
        <v>0</v>
      </c>
      <c r="EQ295" s="357">
        <v>0</v>
      </c>
      <c r="ER295" s="357">
        <v>0</v>
      </c>
      <c r="ES295" s="357">
        <v>0</v>
      </c>
      <c r="ET295" s="357">
        <v>0</v>
      </c>
      <c r="EU295" s="357">
        <v>849040</v>
      </c>
      <c r="EV295" s="357">
        <v>0</v>
      </c>
      <c r="EW295" s="357">
        <v>0</v>
      </c>
      <c r="EX295" s="357">
        <v>849040</v>
      </c>
      <c r="EY295" s="357">
        <v>52536163.5</v>
      </c>
      <c r="EZ295" s="357">
        <v>0</v>
      </c>
      <c r="FA295" s="357">
        <v>0</v>
      </c>
      <c r="FB295" s="357">
        <v>52536163.5</v>
      </c>
      <c r="FC295" s="277">
        <v>0</v>
      </c>
      <c r="FD295" s="205"/>
    </row>
    <row r="296" spans="1:160" ht="12.75">
      <c r="A296" s="169">
        <v>289</v>
      </c>
      <c r="B296" s="172" t="s">
        <v>508</v>
      </c>
      <c r="C296" s="258" t="s">
        <v>509</v>
      </c>
      <c r="D296" s="235">
        <v>41639</v>
      </c>
      <c r="E296" s="357">
        <v>101583642</v>
      </c>
      <c r="F296" s="357">
        <v>0</v>
      </c>
      <c r="G296" s="357">
        <v>0</v>
      </c>
      <c r="H296" s="357">
        <v>101583642</v>
      </c>
      <c r="I296" s="357">
        <v>47845895</v>
      </c>
      <c r="J296" s="357">
        <v>0</v>
      </c>
      <c r="K296" s="357">
        <v>0</v>
      </c>
      <c r="L296" s="357">
        <v>30000</v>
      </c>
      <c r="M296" s="357">
        <v>0</v>
      </c>
      <c r="N296" s="357">
        <v>0</v>
      </c>
      <c r="O296" s="357">
        <v>47875895</v>
      </c>
      <c r="P296" s="357">
        <v>0</v>
      </c>
      <c r="Q296" s="357">
        <v>0</v>
      </c>
      <c r="R296" s="357">
        <v>47875895</v>
      </c>
      <c r="S296" s="357">
        <v>55258</v>
      </c>
      <c r="T296" s="357">
        <v>0</v>
      </c>
      <c r="U296" s="357">
        <v>0</v>
      </c>
      <c r="V296" s="357">
        <v>55258</v>
      </c>
      <c r="W296" s="357">
        <v>493</v>
      </c>
      <c r="X296" s="357">
        <v>0</v>
      </c>
      <c r="Y296" s="357">
        <v>0</v>
      </c>
      <c r="Z296" s="357">
        <v>493</v>
      </c>
      <c r="AA296" s="357">
        <v>54765</v>
      </c>
      <c r="AB296" s="357">
        <v>0</v>
      </c>
      <c r="AC296" s="357">
        <v>0</v>
      </c>
      <c r="AD296" s="357">
        <v>0</v>
      </c>
      <c r="AE296" s="357">
        <v>0</v>
      </c>
      <c r="AF296" s="357">
        <v>0</v>
      </c>
      <c r="AG296" s="357">
        <v>54765</v>
      </c>
      <c r="AH296" s="357">
        <v>0</v>
      </c>
      <c r="AI296" s="357">
        <v>0</v>
      </c>
      <c r="AJ296" s="357">
        <v>54765</v>
      </c>
      <c r="AK296" s="357">
        <v>54765</v>
      </c>
      <c r="AL296" s="357">
        <v>0</v>
      </c>
      <c r="AM296" s="357">
        <v>0</v>
      </c>
      <c r="AN296" s="357">
        <v>54765</v>
      </c>
      <c r="AO296" s="357">
        <v>1625419</v>
      </c>
      <c r="AP296" s="357">
        <v>0</v>
      </c>
      <c r="AQ296" s="357">
        <v>0</v>
      </c>
      <c r="AR296" s="357">
        <v>1625419</v>
      </c>
      <c r="AS296" s="357">
        <v>5000</v>
      </c>
      <c r="AT296" s="357">
        <v>0</v>
      </c>
      <c r="AU296" s="357">
        <v>0</v>
      </c>
      <c r="AV296" s="357">
        <v>5000</v>
      </c>
      <c r="AW296" s="357">
        <v>981086</v>
      </c>
      <c r="AX296" s="357">
        <v>0</v>
      </c>
      <c r="AY296" s="357">
        <v>0</v>
      </c>
      <c r="AZ296" s="357">
        <v>981086</v>
      </c>
      <c r="BA296" s="357">
        <v>644333</v>
      </c>
      <c r="BB296" s="357">
        <v>0</v>
      </c>
      <c r="BC296" s="357">
        <v>0</v>
      </c>
      <c r="BD296" s="357">
        <v>644333</v>
      </c>
      <c r="BE296" s="357">
        <v>1730949</v>
      </c>
      <c r="BF296" s="357">
        <v>0</v>
      </c>
      <c r="BG296" s="357">
        <v>0</v>
      </c>
      <c r="BH296" s="357">
        <v>1730949</v>
      </c>
      <c r="BI296" s="357">
        <v>53309</v>
      </c>
      <c r="BJ296" s="357">
        <v>0</v>
      </c>
      <c r="BK296" s="357">
        <v>0</v>
      </c>
      <c r="BL296" s="357">
        <v>53309</v>
      </c>
      <c r="BM296" s="357">
        <v>48689</v>
      </c>
      <c r="BN296" s="357">
        <v>0</v>
      </c>
      <c r="BO296" s="357">
        <v>0</v>
      </c>
      <c r="BP296" s="357">
        <v>48689</v>
      </c>
      <c r="BQ296" s="357">
        <v>2477280</v>
      </c>
      <c r="BR296" s="357">
        <v>0</v>
      </c>
      <c r="BS296" s="357">
        <v>0</v>
      </c>
      <c r="BT296" s="357">
        <v>0</v>
      </c>
      <c r="BU296" s="357">
        <v>0</v>
      </c>
      <c r="BV296" s="357">
        <v>0</v>
      </c>
      <c r="BW296" s="357">
        <v>2477280</v>
      </c>
      <c r="BX296" s="357">
        <v>0</v>
      </c>
      <c r="BY296" s="357">
        <v>0</v>
      </c>
      <c r="BZ296" s="357">
        <v>2477280</v>
      </c>
      <c r="CA296" s="357">
        <v>0</v>
      </c>
      <c r="CB296" s="357">
        <v>0</v>
      </c>
      <c r="CC296" s="357">
        <v>0</v>
      </c>
      <c r="CD296" s="357">
        <v>0</v>
      </c>
      <c r="CE296" s="357">
        <v>1174425</v>
      </c>
      <c r="CF296" s="357">
        <v>0</v>
      </c>
      <c r="CG296" s="357">
        <v>0</v>
      </c>
      <c r="CH296" s="357">
        <v>1174425</v>
      </c>
      <c r="CI296" s="357">
        <v>1174425</v>
      </c>
      <c r="CJ296" s="357">
        <v>0</v>
      </c>
      <c r="CK296" s="357">
        <v>0</v>
      </c>
      <c r="CL296" s="357">
        <v>886500</v>
      </c>
      <c r="CM296" s="357">
        <v>0</v>
      </c>
      <c r="CN296" s="357">
        <v>0</v>
      </c>
      <c r="CO296" s="357">
        <v>2060925</v>
      </c>
      <c r="CP296" s="357">
        <v>0</v>
      </c>
      <c r="CQ296" s="357">
        <v>0</v>
      </c>
      <c r="CR296" s="357">
        <v>2060925</v>
      </c>
      <c r="CS296" s="357">
        <v>36343</v>
      </c>
      <c r="CT296" s="357">
        <v>0</v>
      </c>
      <c r="CU296" s="357">
        <v>0</v>
      </c>
      <c r="CV296" s="357">
        <v>36343</v>
      </c>
      <c r="CW296" s="357">
        <v>98311</v>
      </c>
      <c r="CX296" s="357">
        <v>0</v>
      </c>
      <c r="CY296" s="357">
        <v>0</v>
      </c>
      <c r="CZ296" s="357">
        <v>98311</v>
      </c>
      <c r="DA296" s="357">
        <v>164</v>
      </c>
      <c r="DB296" s="357">
        <v>0</v>
      </c>
      <c r="DC296" s="357">
        <v>0</v>
      </c>
      <c r="DD296" s="357">
        <v>164</v>
      </c>
      <c r="DE296" s="357">
        <v>44893</v>
      </c>
      <c r="DF296" s="357">
        <v>0</v>
      </c>
      <c r="DG296" s="357">
        <v>0</v>
      </c>
      <c r="DH296" s="357">
        <v>44893</v>
      </c>
      <c r="DI296" s="357">
        <v>68701</v>
      </c>
      <c r="DJ296" s="357">
        <v>0</v>
      </c>
      <c r="DK296" s="357">
        <v>0</v>
      </c>
      <c r="DL296" s="357">
        <v>68701</v>
      </c>
      <c r="DM296" s="357">
        <v>120000</v>
      </c>
      <c r="DN296" s="357">
        <v>0</v>
      </c>
      <c r="DO296" s="357">
        <v>0</v>
      </c>
      <c r="DP296" s="357">
        <v>120000</v>
      </c>
      <c r="DQ296" s="357">
        <v>368412</v>
      </c>
      <c r="DR296" s="357">
        <v>0</v>
      </c>
      <c r="DS296" s="357">
        <v>0</v>
      </c>
      <c r="DT296" s="357">
        <v>21185</v>
      </c>
      <c r="DU296" s="357">
        <v>0</v>
      </c>
      <c r="DV296" s="357">
        <v>0</v>
      </c>
      <c r="DW296" s="357">
        <v>389597</v>
      </c>
      <c r="DX296" s="357">
        <v>0</v>
      </c>
      <c r="DY296" s="357">
        <v>0</v>
      </c>
      <c r="DZ296" s="357">
        <v>389597</v>
      </c>
      <c r="EA296" s="357">
        <v>0</v>
      </c>
      <c r="EB296" s="357">
        <v>0</v>
      </c>
      <c r="EC296" s="357">
        <v>12000</v>
      </c>
      <c r="ED296" s="357">
        <v>0</v>
      </c>
      <c r="EE296" s="357">
        <v>0</v>
      </c>
      <c r="EF296" s="357">
        <v>12000</v>
      </c>
      <c r="EG296" s="357">
        <v>5000</v>
      </c>
      <c r="EH296" s="357">
        <v>0</v>
      </c>
      <c r="EI296" s="357">
        <v>0</v>
      </c>
      <c r="EJ296" s="357">
        <v>5000</v>
      </c>
      <c r="EK296" s="357">
        <v>275000</v>
      </c>
      <c r="EL296" s="357">
        <v>0</v>
      </c>
      <c r="EM296" s="357">
        <v>0</v>
      </c>
      <c r="EN296" s="357">
        <v>275000</v>
      </c>
      <c r="EO296" s="357">
        <v>292000</v>
      </c>
      <c r="EP296" s="357">
        <v>0</v>
      </c>
      <c r="EQ296" s="357">
        <v>0</v>
      </c>
      <c r="ER296" s="357">
        <v>0</v>
      </c>
      <c r="ES296" s="357">
        <v>0</v>
      </c>
      <c r="ET296" s="357">
        <v>0</v>
      </c>
      <c r="EU296" s="357">
        <v>292000</v>
      </c>
      <c r="EV296" s="357">
        <v>0</v>
      </c>
      <c r="EW296" s="357">
        <v>0</v>
      </c>
      <c r="EX296" s="357">
        <v>292000</v>
      </c>
      <c r="EY296" s="357">
        <v>42601328</v>
      </c>
      <c r="EZ296" s="357">
        <v>0</v>
      </c>
      <c r="FA296" s="357">
        <v>0</v>
      </c>
      <c r="FB296" s="357">
        <v>42601328</v>
      </c>
      <c r="FC296" s="277">
        <v>0</v>
      </c>
      <c r="FD296" s="205"/>
    </row>
    <row r="297" spans="1:160" ht="12.75">
      <c r="A297" s="169">
        <v>290</v>
      </c>
      <c r="B297" s="172" t="s">
        <v>510</v>
      </c>
      <c r="C297" s="258" t="s">
        <v>511</v>
      </c>
      <c r="D297" s="235">
        <v>41654</v>
      </c>
      <c r="E297" s="357">
        <v>146862741</v>
      </c>
      <c r="F297" s="357">
        <v>0</v>
      </c>
      <c r="G297" s="357">
        <v>2726470</v>
      </c>
      <c r="H297" s="357">
        <v>149589211</v>
      </c>
      <c r="I297" s="357">
        <v>69172351</v>
      </c>
      <c r="J297" s="357">
        <v>0</v>
      </c>
      <c r="K297" s="357">
        <v>1284167</v>
      </c>
      <c r="L297" s="357">
        <v>-4216295</v>
      </c>
      <c r="M297" s="357">
        <v>0</v>
      </c>
      <c r="N297" s="357">
        <v>0</v>
      </c>
      <c r="O297" s="357">
        <v>64956056</v>
      </c>
      <c r="P297" s="357">
        <v>0</v>
      </c>
      <c r="Q297" s="357">
        <v>1284167</v>
      </c>
      <c r="R297" s="357">
        <v>66240223</v>
      </c>
      <c r="S297" s="357">
        <v>1238968.87</v>
      </c>
      <c r="T297" s="357">
        <v>0</v>
      </c>
      <c r="U297" s="357">
        <v>0</v>
      </c>
      <c r="V297" s="357">
        <v>1238968.87</v>
      </c>
      <c r="W297" s="357">
        <v>121135.1</v>
      </c>
      <c r="X297" s="357">
        <v>0</v>
      </c>
      <c r="Y297" s="357">
        <v>453.97</v>
      </c>
      <c r="Z297" s="357">
        <v>121589.07</v>
      </c>
      <c r="AA297" s="357">
        <v>1117833.77</v>
      </c>
      <c r="AB297" s="357">
        <v>0</v>
      </c>
      <c r="AC297" s="357">
        <v>-453.97</v>
      </c>
      <c r="AD297" s="357">
        <v>0</v>
      </c>
      <c r="AE297" s="357">
        <v>0</v>
      </c>
      <c r="AF297" s="357">
        <v>0</v>
      </c>
      <c r="AG297" s="357">
        <v>1117833.77</v>
      </c>
      <c r="AH297" s="357">
        <v>0</v>
      </c>
      <c r="AI297" s="357">
        <v>-453.97</v>
      </c>
      <c r="AJ297" s="357">
        <v>1117379.8</v>
      </c>
      <c r="AK297" s="357">
        <v>1117833.77</v>
      </c>
      <c r="AL297" s="357">
        <v>0</v>
      </c>
      <c r="AM297" s="357">
        <v>-453.97</v>
      </c>
      <c r="AN297" s="357">
        <v>1117379.8</v>
      </c>
      <c r="AO297" s="357">
        <v>1551905.36</v>
      </c>
      <c r="AP297" s="357">
        <v>0</v>
      </c>
      <c r="AQ297" s="357">
        <v>31461.23</v>
      </c>
      <c r="AR297" s="357">
        <v>1583366.59</v>
      </c>
      <c r="AS297" s="357">
        <v>0</v>
      </c>
      <c r="AT297" s="357">
        <v>0</v>
      </c>
      <c r="AU297" s="357">
        <v>0</v>
      </c>
      <c r="AV297" s="357">
        <v>0</v>
      </c>
      <c r="AW297" s="357">
        <v>1477534.08</v>
      </c>
      <c r="AX297" s="357">
        <v>0</v>
      </c>
      <c r="AY297" s="357">
        <v>21302.22</v>
      </c>
      <c r="AZ297" s="357">
        <v>1498836.3</v>
      </c>
      <c r="BA297" s="357">
        <v>74371.28</v>
      </c>
      <c r="BB297" s="357">
        <v>0</v>
      </c>
      <c r="BC297" s="357">
        <v>10159.01</v>
      </c>
      <c r="BD297" s="357">
        <v>84530.29</v>
      </c>
      <c r="BE297" s="357">
        <v>5306851.3</v>
      </c>
      <c r="BF297" s="357">
        <v>0</v>
      </c>
      <c r="BG297" s="357">
        <v>22075.6</v>
      </c>
      <c r="BH297" s="357">
        <v>5328926.9</v>
      </c>
      <c r="BI297" s="357">
        <v>55256.48</v>
      </c>
      <c r="BJ297" s="357">
        <v>0</v>
      </c>
      <c r="BK297" s="357">
        <v>0</v>
      </c>
      <c r="BL297" s="357">
        <v>55256.48</v>
      </c>
      <c r="BM297" s="357">
        <v>36799.5</v>
      </c>
      <c r="BN297" s="357">
        <v>0</v>
      </c>
      <c r="BO297" s="357">
        <v>771.2</v>
      </c>
      <c r="BP297" s="357">
        <v>37570.7</v>
      </c>
      <c r="BQ297" s="357">
        <v>5473278.56</v>
      </c>
      <c r="BR297" s="357">
        <v>0</v>
      </c>
      <c r="BS297" s="357">
        <v>33005.81</v>
      </c>
      <c r="BT297" s="357">
        <v>1231413</v>
      </c>
      <c r="BU297" s="357">
        <v>0</v>
      </c>
      <c r="BV297" s="357">
        <v>0</v>
      </c>
      <c r="BW297" s="357">
        <v>6704691.56</v>
      </c>
      <c r="BX297" s="357">
        <v>0</v>
      </c>
      <c r="BY297" s="357">
        <v>33005.81</v>
      </c>
      <c r="BZ297" s="357">
        <v>6737697.37</v>
      </c>
      <c r="CA297" s="357">
        <v>24000</v>
      </c>
      <c r="CB297" s="357">
        <v>0</v>
      </c>
      <c r="CC297" s="357">
        <v>0</v>
      </c>
      <c r="CD297" s="357">
        <v>24000</v>
      </c>
      <c r="CE297" s="357">
        <v>1210908.49</v>
      </c>
      <c r="CF297" s="357">
        <v>0</v>
      </c>
      <c r="CG297" s="357">
        <v>0</v>
      </c>
      <c r="CH297" s="357">
        <v>1210908.49</v>
      </c>
      <c r="CI297" s="357">
        <v>1234908.49</v>
      </c>
      <c r="CJ297" s="357">
        <v>0</v>
      </c>
      <c r="CK297" s="357">
        <v>0</v>
      </c>
      <c r="CL297" s="357">
        <v>669256.03</v>
      </c>
      <c r="CM297" s="357">
        <v>0</v>
      </c>
      <c r="CN297" s="357">
        <v>0</v>
      </c>
      <c r="CO297" s="357">
        <v>1904164.52</v>
      </c>
      <c r="CP297" s="357">
        <v>0</v>
      </c>
      <c r="CQ297" s="357">
        <v>0</v>
      </c>
      <c r="CR297" s="357">
        <v>1904164.52</v>
      </c>
      <c r="CS297" s="357">
        <v>163190.16</v>
      </c>
      <c r="CT297" s="357">
        <v>0</v>
      </c>
      <c r="CU297" s="357">
        <v>3012.5</v>
      </c>
      <c r="CV297" s="357">
        <v>166202.66</v>
      </c>
      <c r="CW297" s="357">
        <v>5605.72</v>
      </c>
      <c r="CX297" s="357">
        <v>0</v>
      </c>
      <c r="CY297" s="357">
        <v>0</v>
      </c>
      <c r="CZ297" s="357">
        <v>5605.72</v>
      </c>
      <c r="DA297" s="357">
        <v>3453.59</v>
      </c>
      <c r="DB297" s="357">
        <v>0</v>
      </c>
      <c r="DC297" s="357">
        <v>0</v>
      </c>
      <c r="DD297" s="357">
        <v>3453.59</v>
      </c>
      <c r="DE297" s="357">
        <v>14362.39</v>
      </c>
      <c r="DF297" s="357">
        <v>0</v>
      </c>
      <c r="DG297" s="357">
        <v>771.2</v>
      </c>
      <c r="DH297" s="357">
        <v>15133.59</v>
      </c>
      <c r="DI297" s="357">
        <v>0</v>
      </c>
      <c r="DJ297" s="357">
        <v>0</v>
      </c>
      <c r="DK297" s="357">
        <v>0</v>
      </c>
      <c r="DL297" s="357">
        <v>0</v>
      </c>
      <c r="DM297" s="357">
        <v>0</v>
      </c>
      <c r="DN297" s="357">
        <v>0</v>
      </c>
      <c r="DO297" s="357">
        <v>168262.95</v>
      </c>
      <c r="DP297" s="357">
        <v>168262.95</v>
      </c>
      <c r="DQ297" s="357">
        <v>186611.86</v>
      </c>
      <c r="DR297" s="357">
        <v>0</v>
      </c>
      <c r="DS297" s="357">
        <v>172046.65</v>
      </c>
      <c r="DT297" s="357">
        <v>0</v>
      </c>
      <c r="DU297" s="357">
        <v>0</v>
      </c>
      <c r="DV297" s="357">
        <v>0</v>
      </c>
      <c r="DW297" s="357">
        <v>186611.86</v>
      </c>
      <c r="DX297" s="357">
        <v>0</v>
      </c>
      <c r="DY297" s="357">
        <v>172046.65</v>
      </c>
      <c r="DZ297" s="357">
        <v>358658.51</v>
      </c>
      <c r="EA297" s="357">
        <v>168263</v>
      </c>
      <c r="EB297" s="357">
        <v>0</v>
      </c>
      <c r="EC297" s="357">
        <v>0</v>
      </c>
      <c r="ED297" s="357">
        <v>0</v>
      </c>
      <c r="EE297" s="357">
        <v>0</v>
      </c>
      <c r="EF297" s="357">
        <v>0</v>
      </c>
      <c r="EG297" s="357">
        <v>142000</v>
      </c>
      <c r="EH297" s="357">
        <v>0</v>
      </c>
      <c r="EI297" s="357">
        <v>0</v>
      </c>
      <c r="EJ297" s="357">
        <v>142000</v>
      </c>
      <c r="EK297" s="357">
        <v>392164.19</v>
      </c>
      <c r="EL297" s="357">
        <v>0</v>
      </c>
      <c r="EM297" s="357">
        <v>2000</v>
      </c>
      <c r="EN297" s="357">
        <v>394164.19</v>
      </c>
      <c r="EO297" s="357">
        <v>534164.19</v>
      </c>
      <c r="EP297" s="357">
        <v>0</v>
      </c>
      <c r="EQ297" s="357">
        <v>2000</v>
      </c>
      <c r="ER297" s="357">
        <v>0</v>
      </c>
      <c r="ES297" s="357">
        <v>0</v>
      </c>
      <c r="ET297" s="357">
        <v>0</v>
      </c>
      <c r="EU297" s="357">
        <v>534164.19</v>
      </c>
      <c r="EV297" s="357">
        <v>0</v>
      </c>
      <c r="EW297" s="357">
        <v>2000</v>
      </c>
      <c r="EX297" s="357">
        <v>536164.19</v>
      </c>
      <c r="EY297" s="357">
        <v>54508590.1</v>
      </c>
      <c r="EZ297" s="357">
        <v>0</v>
      </c>
      <c r="FA297" s="357">
        <v>1077568.51</v>
      </c>
      <c r="FB297" s="357">
        <v>55586158.6</v>
      </c>
      <c r="FC297" s="277">
        <v>0</v>
      </c>
      <c r="FD297" s="205"/>
    </row>
    <row r="298" spans="1:160" ht="12.75">
      <c r="A298" s="169">
        <v>291</v>
      </c>
      <c r="B298" s="172" t="s">
        <v>512</v>
      </c>
      <c r="C298" s="258" t="s">
        <v>513</v>
      </c>
      <c r="D298" s="235">
        <v>311213</v>
      </c>
      <c r="E298" s="357">
        <v>307828132</v>
      </c>
      <c r="F298" s="357">
        <v>0</v>
      </c>
      <c r="G298" s="357">
        <v>0</v>
      </c>
      <c r="H298" s="357">
        <v>307828132</v>
      </c>
      <c r="I298" s="357">
        <v>144987050</v>
      </c>
      <c r="J298" s="357">
        <v>0</v>
      </c>
      <c r="K298" s="357">
        <v>0</v>
      </c>
      <c r="L298" s="357">
        <v>0</v>
      </c>
      <c r="M298" s="357">
        <v>0</v>
      </c>
      <c r="N298" s="357">
        <v>0</v>
      </c>
      <c r="O298" s="357">
        <v>144987050</v>
      </c>
      <c r="P298" s="357">
        <v>0</v>
      </c>
      <c r="Q298" s="357">
        <v>0</v>
      </c>
      <c r="R298" s="357">
        <v>144987050</v>
      </c>
      <c r="S298" s="357">
        <v>339078</v>
      </c>
      <c r="T298" s="357">
        <v>0</v>
      </c>
      <c r="U298" s="357">
        <v>0</v>
      </c>
      <c r="V298" s="357">
        <v>339078</v>
      </c>
      <c r="W298" s="357">
        <v>14682</v>
      </c>
      <c r="X298" s="357">
        <v>0</v>
      </c>
      <c r="Y298" s="357">
        <v>0</v>
      </c>
      <c r="Z298" s="357">
        <v>14682</v>
      </c>
      <c r="AA298" s="357">
        <v>324396</v>
      </c>
      <c r="AB298" s="357">
        <v>0</v>
      </c>
      <c r="AC298" s="357">
        <v>0</v>
      </c>
      <c r="AD298" s="357">
        <v>0</v>
      </c>
      <c r="AE298" s="357">
        <v>0</v>
      </c>
      <c r="AF298" s="357">
        <v>0</v>
      </c>
      <c r="AG298" s="357">
        <v>324396</v>
      </c>
      <c r="AH298" s="357">
        <v>0</v>
      </c>
      <c r="AI298" s="357">
        <v>0</v>
      </c>
      <c r="AJ298" s="357">
        <v>324396</v>
      </c>
      <c r="AK298" s="357">
        <v>324396</v>
      </c>
      <c r="AL298" s="357">
        <v>0</v>
      </c>
      <c r="AM298" s="357">
        <v>0</v>
      </c>
      <c r="AN298" s="357">
        <v>324396</v>
      </c>
      <c r="AO298" s="357">
        <v>7400000</v>
      </c>
      <c r="AP298" s="357">
        <v>0</v>
      </c>
      <c r="AQ298" s="357">
        <v>0</v>
      </c>
      <c r="AR298" s="357">
        <v>7400000</v>
      </c>
      <c r="AS298" s="357">
        <v>0</v>
      </c>
      <c r="AT298" s="357">
        <v>0</v>
      </c>
      <c r="AU298" s="357">
        <v>0</v>
      </c>
      <c r="AV298" s="357">
        <v>0</v>
      </c>
      <c r="AW298" s="357">
        <v>2900000</v>
      </c>
      <c r="AX298" s="357">
        <v>0</v>
      </c>
      <c r="AY298" s="357">
        <v>0</v>
      </c>
      <c r="AZ298" s="357">
        <v>2900000</v>
      </c>
      <c r="BA298" s="357">
        <v>4500000</v>
      </c>
      <c r="BB298" s="357">
        <v>0</v>
      </c>
      <c r="BC298" s="357">
        <v>0</v>
      </c>
      <c r="BD298" s="357">
        <v>4500000</v>
      </c>
      <c r="BE298" s="357">
        <v>7126941</v>
      </c>
      <c r="BF298" s="357">
        <v>0</v>
      </c>
      <c r="BG298" s="357">
        <v>0</v>
      </c>
      <c r="BH298" s="357">
        <v>7126941</v>
      </c>
      <c r="BI298" s="357">
        <v>64415</v>
      </c>
      <c r="BJ298" s="357">
        <v>0</v>
      </c>
      <c r="BK298" s="357">
        <v>0</v>
      </c>
      <c r="BL298" s="357">
        <v>64415</v>
      </c>
      <c r="BM298" s="357">
        <v>8644</v>
      </c>
      <c r="BN298" s="357">
        <v>0</v>
      </c>
      <c r="BO298" s="357">
        <v>0</v>
      </c>
      <c r="BP298" s="357">
        <v>8644</v>
      </c>
      <c r="BQ298" s="357">
        <v>11700000</v>
      </c>
      <c r="BR298" s="357">
        <v>0</v>
      </c>
      <c r="BS298" s="357">
        <v>0</v>
      </c>
      <c r="BT298" s="357">
        <v>0</v>
      </c>
      <c r="BU298" s="357">
        <v>0</v>
      </c>
      <c r="BV298" s="357">
        <v>0</v>
      </c>
      <c r="BW298" s="357">
        <v>11700000</v>
      </c>
      <c r="BX298" s="357">
        <v>0</v>
      </c>
      <c r="BY298" s="357">
        <v>0</v>
      </c>
      <c r="BZ298" s="357">
        <v>11700000</v>
      </c>
      <c r="CA298" s="357">
        <v>500000</v>
      </c>
      <c r="CB298" s="357">
        <v>0</v>
      </c>
      <c r="CC298" s="357">
        <v>0</v>
      </c>
      <c r="CD298" s="357">
        <v>500000</v>
      </c>
      <c r="CE298" s="357">
        <v>7000000</v>
      </c>
      <c r="CF298" s="357">
        <v>0</v>
      </c>
      <c r="CG298" s="357">
        <v>0</v>
      </c>
      <c r="CH298" s="357">
        <v>7000000</v>
      </c>
      <c r="CI298" s="357">
        <v>7500000</v>
      </c>
      <c r="CJ298" s="357">
        <v>0</v>
      </c>
      <c r="CK298" s="357">
        <v>0</v>
      </c>
      <c r="CL298" s="357">
        <v>0</v>
      </c>
      <c r="CM298" s="357">
        <v>0</v>
      </c>
      <c r="CN298" s="357">
        <v>0</v>
      </c>
      <c r="CO298" s="357">
        <v>7500000</v>
      </c>
      <c r="CP298" s="357">
        <v>0</v>
      </c>
      <c r="CQ298" s="357">
        <v>0</v>
      </c>
      <c r="CR298" s="357">
        <v>7500000</v>
      </c>
      <c r="CS298" s="357">
        <v>665259</v>
      </c>
      <c r="CT298" s="357">
        <v>0</v>
      </c>
      <c r="CU298" s="357">
        <v>0</v>
      </c>
      <c r="CV298" s="357">
        <v>665259</v>
      </c>
      <c r="CW298" s="357">
        <v>600000</v>
      </c>
      <c r="CX298" s="357">
        <v>0</v>
      </c>
      <c r="CY298" s="357">
        <v>0</v>
      </c>
      <c r="CZ298" s="357">
        <v>600000</v>
      </c>
      <c r="DA298" s="357">
        <v>9741</v>
      </c>
      <c r="DB298" s="357">
        <v>0</v>
      </c>
      <c r="DC298" s="357">
        <v>0</v>
      </c>
      <c r="DD298" s="357">
        <v>9741</v>
      </c>
      <c r="DE298" s="357">
        <v>0</v>
      </c>
      <c r="DF298" s="357">
        <v>0</v>
      </c>
      <c r="DG298" s="357">
        <v>0</v>
      </c>
      <c r="DH298" s="357">
        <v>0</v>
      </c>
      <c r="DI298" s="357">
        <v>0</v>
      </c>
      <c r="DJ298" s="357">
        <v>0</v>
      </c>
      <c r="DK298" s="357">
        <v>0</v>
      </c>
      <c r="DL298" s="357">
        <v>0</v>
      </c>
      <c r="DM298" s="357">
        <v>0</v>
      </c>
      <c r="DN298" s="357">
        <v>0</v>
      </c>
      <c r="DO298" s="357">
        <v>0</v>
      </c>
      <c r="DP298" s="357">
        <v>0</v>
      </c>
      <c r="DQ298" s="357">
        <v>1275000</v>
      </c>
      <c r="DR298" s="357">
        <v>0</v>
      </c>
      <c r="DS298" s="357">
        <v>0</v>
      </c>
      <c r="DT298" s="357">
        <v>0</v>
      </c>
      <c r="DU298" s="357">
        <v>0</v>
      </c>
      <c r="DV298" s="357">
        <v>0</v>
      </c>
      <c r="DW298" s="357">
        <v>1275000</v>
      </c>
      <c r="DX298" s="357">
        <v>0</v>
      </c>
      <c r="DY298" s="357">
        <v>0</v>
      </c>
      <c r="DZ298" s="357">
        <v>1275000</v>
      </c>
      <c r="EA298" s="357">
        <v>0</v>
      </c>
      <c r="EB298" s="357">
        <v>0</v>
      </c>
      <c r="EC298" s="357">
        <v>0</v>
      </c>
      <c r="ED298" s="357">
        <v>0</v>
      </c>
      <c r="EE298" s="357">
        <v>0</v>
      </c>
      <c r="EF298" s="357">
        <v>0</v>
      </c>
      <c r="EG298" s="357">
        <v>0</v>
      </c>
      <c r="EH298" s="357">
        <v>0</v>
      </c>
      <c r="EI298" s="357">
        <v>0</v>
      </c>
      <c r="EJ298" s="357">
        <v>0</v>
      </c>
      <c r="EK298" s="357">
        <v>1000000</v>
      </c>
      <c r="EL298" s="357">
        <v>0</v>
      </c>
      <c r="EM298" s="357">
        <v>0</v>
      </c>
      <c r="EN298" s="357">
        <v>1000000</v>
      </c>
      <c r="EO298" s="357">
        <v>1000000</v>
      </c>
      <c r="EP298" s="357">
        <v>0</v>
      </c>
      <c r="EQ298" s="357">
        <v>0</v>
      </c>
      <c r="ER298" s="357">
        <v>0</v>
      </c>
      <c r="ES298" s="357">
        <v>0</v>
      </c>
      <c r="ET298" s="357">
        <v>0</v>
      </c>
      <c r="EU298" s="357">
        <v>1000000</v>
      </c>
      <c r="EV298" s="357">
        <v>0</v>
      </c>
      <c r="EW298" s="357">
        <v>0</v>
      </c>
      <c r="EX298" s="357">
        <v>1000000</v>
      </c>
      <c r="EY298" s="357">
        <v>123187654</v>
      </c>
      <c r="EZ298" s="357">
        <v>0</v>
      </c>
      <c r="FA298" s="357">
        <v>0</v>
      </c>
      <c r="FB298" s="357">
        <v>123187654</v>
      </c>
      <c r="FC298" s="277">
        <v>0</v>
      </c>
      <c r="FD298" s="205"/>
    </row>
    <row r="299" spans="1:160" ht="12.75">
      <c r="A299" s="169">
        <v>292</v>
      </c>
      <c r="B299" s="172" t="s">
        <v>514</v>
      </c>
      <c r="C299" s="258" t="s">
        <v>515</v>
      </c>
      <c r="D299" s="235">
        <v>41640</v>
      </c>
      <c r="E299" s="357">
        <v>179022576</v>
      </c>
      <c r="F299" s="357">
        <v>0</v>
      </c>
      <c r="G299" s="357">
        <v>384250</v>
      </c>
      <c r="H299" s="357">
        <v>179406826</v>
      </c>
      <c r="I299" s="357">
        <v>84319633</v>
      </c>
      <c r="J299" s="357">
        <v>0</v>
      </c>
      <c r="K299" s="357">
        <v>180982</v>
      </c>
      <c r="L299" s="357">
        <v>-200000</v>
      </c>
      <c r="M299" s="357">
        <v>0</v>
      </c>
      <c r="N299" s="357">
        <v>0</v>
      </c>
      <c r="O299" s="357">
        <v>84119633</v>
      </c>
      <c r="P299" s="357">
        <v>0</v>
      </c>
      <c r="Q299" s="357">
        <v>180982</v>
      </c>
      <c r="R299" s="357">
        <v>84300615</v>
      </c>
      <c r="S299" s="357">
        <v>157169</v>
      </c>
      <c r="T299" s="357">
        <v>0</v>
      </c>
      <c r="U299" s="357">
        <v>0</v>
      </c>
      <c r="V299" s="357">
        <v>157169</v>
      </c>
      <c r="W299" s="357">
        <v>32244</v>
      </c>
      <c r="X299" s="357">
        <v>0</v>
      </c>
      <c r="Y299" s="357">
        <v>0</v>
      </c>
      <c r="Z299" s="357">
        <v>32244</v>
      </c>
      <c r="AA299" s="357">
        <v>124925</v>
      </c>
      <c r="AB299" s="357">
        <v>0</v>
      </c>
      <c r="AC299" s="357">
        <v>0</v>
      </c>
      <c r="AD299" s="357">
        <v>0</v>
      </c>
      <c r="AE299" s="357">
        <v>0</v>
      </c>
      <c r="AF299" s="357">
        <v>0</v>
      </c>
      <c r="AG299" s="357">
        <v>124925</v>
      </c>
      <c r="AH299" s="357">
        <v>0</v>
      </c>
      <c r="AI299" s="357">
        <v>0</v>
      </c>
      <c r="AJ299" s="357">
        <v>124925</v>
      </c>
      <c r="AK299" s="357">
        <v>124925</v>
      </c>
      <c r="AL299" s="357">
        <v>0</v>
      </c>
      <c r="AM299" s="357">
        <v>0</v>
      </c>
      <c r="AN299" s="357">
        <v>124925</v>
      </c>
      <c r="AO299" s="357">
        <v>5312890</v>
      </c>
      <c r="AP299" s="357">
        <v>0</v>
      </c>
      <c r="AQ299" s="357">
        <v>883</v>
      </c>
      <c r="AR299" s="357">
        <v>5313773</v>
      </c>
      <c r="AS299" s="357">
        <v>72072</v>
      </c>
      <c r="AT299" s="357">
        <v>0</v>
      </c>
      <c r="AU299" s="357">
        <v>0</v>
      </c>
      <c r="AV299" s="357">
        <v>72072</v>
      </c>
      <c r="AW299" s="357">
        <v>1629912</v>
      </c>
      <c r="AX299" s="357">
        <v>0</v>
      </c>
      <c r="AY299" s="357">
        <v>3927</v>
      </c>
      <c r="AZ299" s="357">
        <v>1633839</v>
      </c>
      <c r="BA299" s="357">
        <v>3682978</v>
      </c>
      <c r="BB299" s="357">
        <v>0</v>
      </c>
      <c r="BC299" s="357">
        <v>-3044</v>
      </c>
      <c r="BD299" s="357">
        <v>3679934</v>
      </c>
      <c r="BE299" s="357">
        <v>4643581</v>
      </c>
      <c r="BF299" s="357">
        <v>0</v>
      </c>
      <c r="BG299" s="357">
        <v>0</v>
      </c>
      <c r="BH299" s="357">
        <v>4643581</v>
      </c>
      <c r="BI299" s="357">
        <v>26300</v>
      </c>
      <c r="BJ299" s="357">
        <v>0</v>
      </c>
      <c r="BK299" s="357">
        <v>0</v>
      </c>
      <c r="BL299" s="357">
        <v>26300</v>
      </c>
      <c r="BM299" s="357">
        <v>0</v>
      </c>
      <c r="BN299" s="357">
        <v>0</v>
      </c>
      <c r="BO299" s="357">
        <v>0</v>
      </c>
      <c r="BP299" s="357">
        <v>0</v>
      </c>
      <c r="BQ299" s="357">
        <v>8352859</v>
      </c>
      <c r="BR299" s="357">
        <v>0</v>
      </c>
      <c r="BS299" s="357">
        <v>-3044</v>
      </c>
      <c r="BT299" s="357">
        <v>0</v>
      </c>
      <c r="BU299" s="357">
        <v>0</v>
      </c>
      <c r="BV299" s="357">
        <v>0</v>
      </c>
      <c r="BW299" s="357">
        <v>8352859</v>
      </c>
      <c r="BX299" s="357">
        <v>0</v>
      </c>
      <c r="BY299" s="357">
        <v>-3044</v>
      </c>
      <c r="BZ299" s="357">
        <v>8349815</v>
      </c>
      <c r="CA299" s="357">
        <v>160587</v>
      </c>
      <c r="CB299" s="357">
        <v>0</v>
      </c>
      <c r="CC299" s="357">
        <v>0</v>
      </c>
      <c r="CD299" s="357">
        <v>160587</v>
      </c>
      <c r="CE299" s="357">
        <v>2825275</v>
      </c>
      <c r="CF299" s="357">
        <v>0</v>
      </c>
      <c r="CG299" s="357">
        <v>0</v>
      </c>
      <c r="CH299" s="357">
        <v>2825275</v>
      </c>
      <c r="CI299" s="357">
        <v>2985862</v>
      </c>
      <c r="CJ299" s="357">
        <v>0</v>
      </c>
      <c r="CK299" s="357">
        <v>0</v>
      </c>
      <c r="CL299" s="357">
        <v>0</v>
      </c>
      <c r="CM299" s="357">
        <v>0</v>
      </c>
      <c r="CN299" s="357">
        <v>0</v>
      </c>
      <c r="CO299" s="357">
        <v>2985862</v>
      </c>
      <c r="CP299" s="357">
        <v>0</v>
      </c>
      <c r="CQ299" s="357">
        <v>0</v>
      </c>
      <c r="CR299" s="357">
        <v>2985862</v>
      </c>
      <c r="CS299" s="357">
        <v>174964</v>
      </c>
      <c r="CT299" s="357">
        <v>0</v>
      </c>
      <c r="CU299" s="357">
        <v>0</v>
      </c>
      <c r="CV299" s="357">
        <v>174964</v>
      </c>
      <c r="CW299" s="357">
        <v>58480</v>
      </c>
      <c r="CX299" s="357">
        <v>0</v>
      </c>
      <c r="CY299" s="357">
        <v>0</v>
      </c>
      <c r="CZ299" s="357">
        <v>58480</v>
      </c>
      <c r="DA299" s="357">
        <v>1254</v>
      </c>
      <c r="DB299" s="357">
        <v>0</v>
      </c>
      <c r="DC299" s="357">
        <v>0</v>
      </c>
      <c r="DD299" s="357">
        <v>1254</v>
      </c>
      <c r="DE299" s="357">
        <v>0</v>
      </c>
      <c r="DF299" s="357">
        <v>0</v>
      </c>
      <c r="DG299" s="357">
        <v>0</v>
      </c>
      <c r="DH299" s="357">
        <v>0</v>
      </c>
      <c r="DI299" s="357">
        <v>0</v>
      </c>
      <c r="DJ299" s="357">
        <v>0</v>
      </c>
      <c r="DK299" s="357">
        <v>0</v>
      </c>
      <c r="DL299" s="357">
        <v>0</v>
      </c>
      <c r="DM299" s="357">
        <v>0</v>
      </c>
      <c r="DN299" s="357">
        <v>0</v>
      </c>
      <c r="DO299" s="357">
        <v>62901</v>
      </c>
      <c r="DP299" s="357">
        <v>62901</v>
      </c>
      <c r="DQ299" s="357">
        <v>234698</v>
      </c>
      <c r="DR299" s="357">
        <v>0</v>
      </c>
      <c r="DS299" s="357">
        <v>62901</v>
      </c>
      <c r="DT299" s="357">
        <v>0</v>
      </c>
      <c r="DU299" s="357">
        <v>0</v>
      </c>
      <c r="DV299" s="357">
        <v>0</v>
      </c>
      <c r="DW299" s="357">
        <v>234698</v>
      </c>
      <c r="DX299" s="357">
        <v>0</v>
      </c>
      <c r="DY299" s="357">
        <v>62901</v>
      </c>
      <c r="DZ299" s="357">
        <v>297599</v>
      </c>
      <c r="EA299" s="357">
        <v>62901</v>
      </c>
      <c r="EB299" s="357">
        <v>0</v>
      </c>
      <c r="EC299" s="357">
        <v>0</v>
      </c>
      <c r="ED299" s="357">
        <v>0</v>
      </c>
      <c r="EE299" s="357">
        <v>0</v>
      </c>
      <c r="EF299" s="357">
        <v>0</v>
      </c>
      <c r="EG299" s="357">
        <v>127636</v>
      </c>
      <c r="EH299" s="357">
        <v>0</v>
      </c>
      <c r="EI299" s="357">
        <v>0</v>
      </c>
      <c r="EJ299" s="357">
        <v>127636</v>
      </c>
      <c r="EK299" s="357">
        <v>888492</v>
      </c>
      <c r="EL299" s="357">
        <v>0</v>
      </c>
      <c r="EM299" s="357">
        <v>0</v>
      </c>
      <c r="EN299" s="357">
        <v>888492</v>
      </c>
      <c r="EO299" s="357">
        <v>1016128</v>
      </c>
      <c r="EP299" s="357">
        <v>0</v>
      </c>
      <c r="EQ299" s="357">
        <v>0</v>
      </c>
      <c r="ER299" s="357">
        <v>0</v>
      </c>
      <c r="ES299" s="357">
        <v>0</v>
      </c>
      <c r="ET299" s="357">
        <v>0</v>
      </c>
      <c r="EU299" s="357">
        <v>1016128</v>
      </c>
      <c r="EV299" s="357">
        <v>0</v>
      </c>
      <c r="EW299" s="357">
        <v>0</v>
      </c>
      <c r="EX299" s="357">
        <v>1016128</v>
      </c>
      <c r="EY299" s="357">
        <v>71405161</v>
      </c>
      <c r="EZ299" s="357">
        <v>0</v>
      </c>
      <c r="FA299" s="357">
        <v>121125</v>
      </c>
      <c r="FB299" s="357">
        <v>71526286</v>
      </c>
      <c r="FC299" s="277">
        <v>0</v>
      </c>
      <c r="FD299" s="205"/>
    </row>
    <row r="300" spans="1:160" ht="12.75">
      <c r="A300" s="169">
        <v>293</v>
      </c>
      <c r="B300" s="172" t="s">
        <v>516</v>
      </c>
      <c r="C300" s="258" t="s">
        <v>517</v>
      </c>
      <c r="D300" s="235">
        <v>41639</v>
      </c>
      <c r="E300" s="357">
        <v>147407958</v>
      </c>
      <c r="F300" s="357">
        <v>0</v>
      </c>
      <c r="G300" s="357">
        <v>0</v>
      </c>
      <c r="H300" s="357">
        <v>147407958</v>
      </c>
      <c r="I300" s="357">
        <v>69429148</v>
      </c>
      <c r="J300" s="357">
        <v>0</v>
      </c>
      <c r="K300" s="357">
        <v>0</v>
      </c>
      <c r="L300" s="357">
        <v>109820</v>
      </c>
      <c r="M300" s="357">
        <v>0</v>
      </c>
      <c r="N300" s="357">
        <v>0</v>
      </c>
      <c r="O300" s="357">
        <v>69538968</v>
      </c>
      <c r="P300" s="357">
        <v>0</v>
      </c>
      <c r="Q300" s="357">
        <v>0</v>
      </c>
      <c r="R300" s="357">
        <v>69538968</v>
      </c>
      <c r="S300" s="357">
        <v>214625</v>
      </c>
      <c r="T300" s="357">
        <v>0</v>
      </c>
      <c r="U300" s="357">
        <v>0</v>
      </c>
      <c r="V300" s="357">
        <v>214625</v>
      </c>
      <c r="W300" s="357">
        <v>4992</v>
      </c>
      <c r="X300" s="357">
        <v>0</v>
      </c>
      <c r="Y300" s="357">
        <v>0</v>
      </c>
      <c r="Z300" s="357">
        <v>4992</v>
      </c>
      <c r="AA300" s="357">
        <v>209633</v>
      </c>
      <c r="AB300" s="357">
        <v>0</v>
      </c>
      <c r="AC300" s="357">
        <v>0</v>
      </c>
      <c r="AD300" s="357">
        <v>0</v>
      </c>
      <c r="AE300" s="357">
        <v>0</v>
      </c>
      <c r="AF300" s="357">
        <v>0</v>
      </c>
      <c r="AG300" s="357">
        <v>209633</v>
      </c>
      <c r="AH300" s="357">
        <v>0</v>
      </c>
      <c r="AI300" s="357">
        <v>0</v>
      </c>
      <c r="AJ300" s="357">
        <v>209633</v>
      </c>
      <c r="AK300" s="357">
        <v>209633</v>
      </c>
      <c r="AL300" s="357">
        <v>0</v>
      </c>
      <c r="AM300" s="357">
        <v>0</v>
      </c>
      <c r="AN300" s="357">
        <v>209633</v>
      </c>
      <c r="AO300" s="357">
        <v>5091466</v>
      </c>
      <c r="AP300" s="357">
        <v>0</v>
      </c>
      <c r="AQ300" s="357">
        <v>0</v>
      </c>
      <c r="AR300" s="357">
        <v>5091466</v>
      </c>
      <c r="AS300" s="357">
        <v>0</v>
      </c>
      <c r="AT300" s="357">
        <v>0</v>
      </c>
      <c r="AU300" s="357">
        <v>0</v>
      </c>
      <c r="AV300" s="357">
        <v>0</v>
      </c>
      <c r="AW300" s="357">
        <v>1158384</v>
      </c>
      <c r="AX300" s="357">
        <v>0</v>
      </c>
      <c r="AY300" s="357">
        <v>0</v>
      </c>
      <c r="AZ300" s="357">
        <v>1158384</v>
      </c>
      <c r="BA300" s="357">
        <v>3933082</v>
      </c>
      <c r="BB300" s="357">
        <v>0</v>
      </c>
      <c r="BC300" s="357">
        <v>0</v>
      </c>
      <c r="BD300" s="357">
        <v>3933082</v>
      </c>
      <c r="BE300" s="357">
        <v>4621311</v>
      </c>
      <c r="BF300" s="357">
        <v>0</v>
      </c>
      <c r="BG300" s="357">
        <v>0</v>
      </c>
      <c r="BH300" s="357">
        <v>4621311</v>
      </c>
      <c r="BI300" s="357">
        <v>41526</v>
      </c>
      <c r="BJ300" s="357">
        <v>0</v>
      </c>
      <c r="BK300" s="357">
        <v>0</v>
      </c>
      <c r="BL300" s="357">
        <v>41526</v>
      </c>
      <c r="BM300" s="357">
        <v>0</v>
      </c>
      <c r="BN300" s="357">
        <v>0</v>
      </c>
      <c r="BO300" s="357">
        <v>0</v>
      </c>
      <c r="BP300" s="357">
        <v>0</v>
      </c>
      <c r="BQ300" s="357">
        <v>8595919</v>
      </c>
      <c r="BR300" s="357">
        <v>0</v>
      </c>
      <c r="BS300" s="357">
        <v>0</v>
      </c>
      <c r="BT300" s="357">
        <v>78720</v>
      </c>
      <c r="BU300" s="357">
        <v>0</v>
      </c>
      <c r="BV300" s="357">
        <v>0</v>
      </c>
      <c r="BW300" s="357">
        <v>8674639</v>
      </c>
      <c r="BX300" s="357">
        <v>0</v>
      </c>
      <c r="BY300" s="357">
        <v>0</v>
      </c>
      <c r="BZ300" s="357">
        <v>8674639</v>
      </c>
      <c r="CA300" s="357">
        <v>10000</v>
      </c>
      <c r="CB300" s="357">
        <v>0</v>
      </c>
      <c r="CC300" s="357">
        <v>0</v>
      </c>
      <c r="CD300" s="357">
        <v>10000</v>
      </c>
      <c r="CE300" s="357">
        <v>1508333</v>
      </c>
      <c r="CF300" s="357">
        <v>0</v>
      </c>
      <c r="CG300" s="357">
        <v>0</v>
      </c>
      <c r="CH300" s="357">
        <v>1508333</v>
      </c>
      <c r="CI300" s="357">
        <v>1518333</v>
      </c>
      <c r="CJ300" s="357">
        <v>0</v>
      </c>
      <c r="CK300" s="357">
        <v>0</v>
      </c>
      <c r="CL300" s="357">
        <v>0</v>
      </c>
      <c r="CM300" s="357">
        <v>0</v>
      </c>
      <c r="CN300" s="357">
        <v>0</v>
      </c>
      <c r="CO300" s="357">
        <v>1518333</v>
      </c>
      <c r="CP300" s="357">
        <v>0</v>
      </c>
      <c r="CQ300" s="357">
        <v>0</v>
      </c>
      <c r="CR300" s="357">
        <v>1518333</v>
      </c>
      <c r="CS300" s="357">
        <v>136430</v>
      </c>
      <c r="CT300" s="357">
        <v>0</v>
      </c>
      <c r="CU300" s="357">
        <v>0</v>
      </c>
      <c r="CV300" s="357">
        <v>136430</v>
      </c>
      <c r="CW300" s="357">
        <v>33411</v>
      </c>
      <c r="CX300" s="357">
        <v>0</v>
      </c>
      <c r="CY300" s="357">
        <v>0</v>
      </c>
      <c r="CZ300" s="357">
        <v>33411</v>
      </c>
      <c r="DA300" s="357">
        <v>4134</v>
      </c>
      <c r="DB300" s="357">
        <v>0</v>
      </c>
      <c r="DC300" s="357">
        <v>0</v>
      </c>
      <c r="DD300" s="357">
        <v>4134</v>
      </c>
      <c r="DE300" s="357">
        <v>0</v>
      </c>
      <c r="DF300" s="357">
        <v>0</v>
      </c>
      <c r="DG300" s="357">
        <v>0</v>
      </c>
      <c r="DH300" s="357">
        <v>0</v>
      </c>
      <c r="DI300" s="357">
        <v>0</v>
      </c>
      <c r="DJ300" s="357">
        <v>0</v>
      </c>
      <c r="DK300" s="357">
        <v>0</v>
      </c>
      <c r="DL300" s="357">
        <v>0</v>
      </c>
      <c r="DM300" s="357">
        <v>0</v>
      </c>
      <c r="DN300" s="357">
        <v>0</v>
      </c>
      <c r="DO300" s="357">
        <v>0</v>
      </c>
      <c r="DP300" s="357">
        <v>0</v>
      </c>
      <c r="DQ300" s="357">
        <v>173975</v>
      </c>
      <c r="DR300" s="357">
        <v>0</v>
      </c>
      <c r="DS300" s="357">
        <v>0</v>
      </c>
      <c r="DT300" s="357">
        <v>0</v>
      </c>
      <c r="DU300" s="357">
        <v>0</v>
      </c>
      <c r="DV300" s="357">
        <v>0</v>
      </c>
      <c r="DW300" s="357">
        <v>173975</v>
      </c>
      <c r="DX300" s="357">
        <v>0</v>
      </c>
      <c r="DY300" s="357">
        <v>0</v>
      </c>
      <c r="DZ300" s="357">
        <v>173975</v>
      </c>
      <c r="EA300" s="357">
        <v>0</v>
      </c>
      <c r="EB300" s="357">
        <v>0</v>
      </c>
      <c r="EC300" s="357">
        <v>50000</v>
      </c>
      <c r="ED300" s="357">
        <v>0</v>
      </c>
      <c r="EE300" s="357">
        <v>0</v>
      </c>
      <c r="EF300" s="357">
        <v>50000</v>
      </c>
      <c r="EG300" s="357">
        <v>80000</v>
      </c>
      <c r="EH300" s="357">
        <v>0</v>
      </c>
      <c r="EI300" s="357">
        <v>0</v>
      </c>
      <c r="EJ300" s="357">
        <v>80000</v>
      </c>
      <c r="EK300" s="357">
        <v>1500000</v>
      </c>
      <c r="EL300" s="357">
        <v>0</v>
      </c>
      <c r="EM300" s="357">
        <v>0</v>
      </c>
      <c r="EN300" s="357">
        <v>1500000</v>
      </c>
      <c r="EO300" s="357">
        <v>1630000</v>
      </c>
      <c r="EP300" s="357">
        <v>0</v>
      </c>
      <c r="EQ300" s="357">
        <v>0</v>
      </c>
      <c r="ER300" s="357">
        <v>0</v>
      </c>
      <c r="ES300" s="357">
        <v>0</v>
      </c>
      <c r="ET300" s="357">
        <v>0</v>
      </c>
      <c r="EU300" s="357">
        <v>1630000</v>
      </c>
      <c r="EV300" s="357">
        <v>0</v>
      </c>
      <c r="EW300" s="357">
        <v>0</v>
      </c>
      <c r="EX300" s="357">
        <v>1630000</v>
      </c>
      <c r="EY300" s="357">
        <v>57332388</v>
      </c>
      <c r="EZ300" s="357">
        <v>0</v>
      </c>
      <c r="FA300" s="357">
        <v>0</v>
      </c>
      <c r="FB300" s="357">
        <v>57332388</v>
      </c>
      <c r="FC300" s="277">
        <v>0</v>
      </c>
      <c r="FD300" s="205"/>
    </row>
    <row r="301" spans="1:160" ht="12.75">
      <c r="A301" s="169">
        <v>294</v>
      </c>
      <c r="B301" s="172" t="s">
        <v>518</v>
      </c>
      <c r="C301" s="258" t="s">
        <v>519</v>
      </c>
      <c r="D301" s="235">
        <v>311213</v>
      </c>
      <c r="E301" s="357">
        <v>257786097</v>
      </c>
      <c r="F301" s="357">
        <v>0</v>
      </c>
      <c r="G301" s="357">
        <v>0</v>
      </c>
      <c r="H301" s="357">
        <v>257786097</v>
      </c>
      <c r="I301" s="357">
        <v>121417252</v>
      </c>
      <c r="J301" s="357">
        <v>0</v>
      </c>
      <c r="K301" s="357">
        <v>0</v>
      </c>
      <c r="L301" s="357">
        <v>380568</v>
      </c>
      <c r="M301" s="357">
        <v>0</v>
      </c>
      <c r="N301" s="357">
        <v>0</v>
      </c>
      <c r="O301" s="357">
        <v>121797820</v>
      </c>
      <c r="P301" s="357">
        <v>0</v>
      </c>
      <c r="Q301" s="357">
        <v>0</v>
      </c>
      <c r="R301" s="357">
        <v>121797820</v>
      </c>
      <c r="S301" s="357">
        <v>170870</v>
      </c>
      <c r="T301" s="357">
        <v>0</v>
      </c>
      <c r="U301" s="357">
        <v>0</v>
      </c>
      <c r="V301" s="357">
        <v>170870</v>
      </c>
      <c r="W301" s="357">
        <v>10042</v>
      </c>
      <c r="X301" s="357">
        <v>0</v>
      </c>
      <c r="Y301" s="357">
        <v>0</v>
      </c>
      <c r="Z301" s="357">
        <v>10042</v>
      </c>
      <c r="AA301" s="357">
        <v>160828</v>
      </c>
      <c r="AB301" s="357">
        <v>0</v>
      </c>
      <c r="AC301" s="357">
        <v>0</v>
      </c>
      <c r="AD301" s="357">
        <v>0</v>
      </c>
      <c r="AE301" s="357">
        <v>0</v>
      </c>
      <c r="AF301" s="357">
        <v>0</v>
      </c>
      <c r="AG301" s="357">
        <v>160828</v>
      </c>
      <c r="AH301" s="357">
        <v>0</v>
      </c>
      <c r="AI301" s="357">
        <v>0</v>
      </c>
      <c r="AJ301" s="357">
        <v>160828</v>
      </c>
      <c r="AK301" s="357">
        <v>160828</v>
      </c>
      <c r="AL301" s="357">
        <v>0</v>
      </c>
      <c r="AM301" s="357">
        <v>0</v>
      </c>
      <c r="AN301" s="357">
        <v>160828</v>
      </c>
      <c r="AO301" s="357">
        <v>3528123</v>
      </c>
      <c r="AP301" s="357">
        <v>0</v>
      </c>
      <c r="AQ301" s="357">
        <v>0</v>
      </c>
      <c r="AR301" s="357">
        <v>3528123</v>
      </c>
      <c r="AS301" s="357">
        <v>176406</v>
      </c>
      <c r="AT301" s="357">
        <v>0</v>
      </c>
      <c r="AU301" s="357">
        <v>0</v>
      </c>
      <c r="AV301" s="357">
        <v>176406</v>
      </c>
      <c r="AW301" s="357">
        <v>2269250</v>
      </c>
      <c r="AX301" s="357">
        <v>0</v>
      </c>
      <c r="AY301" s="357">
        <v>0</v>
      </c>
      <c r="AZ301" s="357">
        <v>2269250</v>
      </c>
      <c r="BA301" s="357">
        <v>1258873</v>
      </c>
      <c r="BB301" s="357">
        <v>0</v>
      </c>
      <c r="BC301" s="357">
        <v>0</v>
      </c>
      <c r="BD301" s="357">
        <v>1258873</v>
      </c>
      <c r="BE301" s="357">
        <v>8453913</v>
      </c>
      <c r="BF301" s="357">
        <v>0</v>
      </c>
      <c r="BG301" s="357">
        <v>0</v>
      </c>
      <c r="BH301" s="357">
        <v>8453913</v>
      </c>
      <c r="BI301" s="357">
        <v>29711</v>
      </c>
      <c r="BJ301" s="357">
        <v>0</v>
      </c>
      <c r="BK301" s="357">
        <v>0</v>
      </c>
      <c r="BL301" s="357">
        <v>29711</v>
      </c>
      <c r="BM301" s="357">
        <v>0</v>
      </c>
      <c r="BN301" s="357">
        <v>0</v>
      </c>
      <c r="BO301" s="357">
        <v>0</v>
      </c>
      <c r="BP301" s="357">
        <v>0</v>
      </c>
      <c r="BQ301" s="357">
        <v>9742497</v>
      </c>
      <c r="BR301" s="357">
        <v>0</v>
      </c>
      <c r="BS301" s="357">
        <v>0</v>
      </c>
      <c r="BT301" s="357">
        <v>0</v>
      </c>
      <c r="BU301" s="357">
        <v>0</v>
      </c>
      <c r="BV301" s="357">
        <v>0</v>
      </c>
      <c r="BW301" s="357">
        <v>9742497</v>
      </c>
      <c r="BX301" s="357">
        <v>0</v>
      </c>
      <c r="BY301" s="357">
        <v>0</v>
      </c>
      <c r="BZ301" s="357">
        <v>9742497</v>
      </c>
      <c r="CA301" s="357">
        <v>52563</v>
      </c>
      <c r="CB301" s="357">
        <v>0</v>
      </c>
      <c r="CC301" s="357">
        <v>0</v>
      </c>
      <c r="CD301" s="357">
        <v>52563</v>
      </c>
      <c r="CE301" s="357">
        <v>4097707</v>
      </c>
      <c r="CF301" s="357">
        <v>0</v>
      </c>
      <c r="CG301" s="357">
        <v>0</v>
      </c>
      <c r="CH301" s="357">
        <v>4097707</v>
      </c>
      <c r="CI301" s="357">
        <v>4150270</v>
      </c>
      <c r="CJ301" s="357">
        <v>0</v>
      </c>
      <c r="CK301" s="357">
        <v>0</v>
      </c>
      <c r="CL301" s="357">
        <v>0</v>
      </c>
      <c r="CM301" s="357">
        <v>0</v>
      </c>
      <c r="CN301" s="357">
        <v>0</v>
      </c>
      <c r="CO301" s="357">
        <v>4150270</v>
      </c>
      <c r="CP301" s="357">
        <v>0</v>
      </c>
      <c r="CQ301" s="357">
        <v>0</v>
      </c>
      <c r="CR301" s="357">
        <v>4150270</v>
      </c>
      <c r="CS301" s="357">
        <v>163708</v>
      </c>
      <c r="CT301" s="357">
        <v>0</v>
      </c>
      <c r="CU301" s="357">
        <v>0</v>
      </c>
      <c r="CV301" s="357">
        <v>163708</v>
      </c>
      <c r="CW301" s="357">
        <v>598783</v>
      </c>
      <c r="CX301" s="357">
        <v>0</v>
      </c>
      <c r="CY301" s="357">
        <v>0</v>
      </c>
      <c r="CZ301" s="357">
        <v>598783</v>
      </c>
      <c r="DA301" s="357">
        <v>1347</v>
      </c>
      <c r="DB301" s="357">
        <v>0</v>
      </c>
      <c r="DC301" s="357">
        <v>0</v>
      </c>
      <c r="DD301" s="357">
        <v>1347</v>
      </c>
      <c r="DE301" s="357">
        <v>0</v>
      </c>
      <c r="DF301" s="357">
        <v>0</v>
      </c>
      <c r="DG301" s="357">
        <v>0</v>
      </c>
      <c r="DH301" s="357">
        <v>0</v>
      </c>
      <c r="DI301" s="357">
        <v>0</v>
      </c>
      <c r="DJ301" s="357">
        <v>0</v>
      </c>
      <c r="DK301" s="357">
        <v>0</v>
      </c>
      <c r="DL301" s="357">
        <v>0</v>
      </c>
      <c r="DM301" s="357">
        <v>0</v>
      </c>
      <c r="DN301" s="357">
        <v>0</v>
      </c>
      <c r="DO301" s="357">
        <v>0</v>
      </c>
      <c r="DP301" s="357">
        <v>0</v>
      </c>
      <c r="DQ301" s="357">
        <v>763838</v>
      </c>
      <c r="DR301" s="357">
        <v>0</v>
      </c>
      <c r="DS301" s="357">
        <v>0</v>
      </c>
      <c r="DT301" s="357">
        <v>0</v>
      </c>
      <c r="DU301" s="357">
        <v>0</v>
      </c>
      <c r="DV301" s="357">
        <v>0</v>
      </c>
      <c r="DW301" s="357">
        <v>763838</v>
      </c>
      <c r="DX301" s="357">
        <v>0</v>
      </c>
      <c r="DY301" s="357">
        <v>0</v>
      </c>
      <c r="DZ301" s="357">
        <v>763838</v>
      </c>
      <c r="EA301" s="357">
        <v>0</v>
      </c>
      <c r="EB301" s="357">
        <v>0</v>
      </c>
      <c r="EC301" s="357">
        <v>100000</v>
      </c>
      <c r="ED301" s="357">
        <v>0</v>
      </c>
      <c r="EE301" s="357">
        <v>0</v>
      </c>
      <c r="EF301" s="357">
        <v>100000</v>
      </c>
      <c r="EG301" s="357">
        <v>52067</v>
      </c>
      <c r="EH301" s="357">
        <v>0</v>
      </c>
      <c r="EI301" s="357">
        <v>0</v>
      </c>
      <c r="EJ301" s="357">
        <v>52067</v>
      </c>
      <c r="EK301" s="357">
        <v>1885147</v>
      </c>
      <c r="EL301" s="357">
        <v>0</v>
      </c>
      <c r="EM301" s="357">
        <v>0</v>
      </c>
      <c r="EN301" s="357">
        <v>1885147</v>
      </c>
      <c r="EO301" s="357">
        <v>2037214</v>
      </c>
      <c r="EP301" s="357">
        <v>0</v>
      </c>
      <c r="EQ301" s="357">
        <v>0</v>
      </c>
      <c r="ER301" s="357">
        <v>0</v>
      </c>
      <c r="ES301" s="357">
        <v>0</v>
      </c>
      <c r="ET301" s="357">
        <v>0</v>
      </c>
      <c r="EU301" s="357">
        <v>2037214</v>
      </c>
      <c r="EV301" s="357">
        <v>0</v>
      </c>
      <c r="EW301" s="357">
        <v>0</v>
      </c>
      <c r="EX301" s="357">
        <v>2037214</v>
      </c>
      <c r="EY301" s="357">
        <v>104943173</v>
      </c>
      <c r="EZ301" s="357">
        <v>0</v>
      </c>
      <c r="FA301" s="357">
        <v>0</v>
      </c>
      <c r="FB301" s="357">
        <v>104943173</v>
      </c>
      <c r="FC301" s="277">
        <v>0</v>
      </c>
      <c r="FD301" s="205"/>
    </row>
    <row r="302" spans="1:160" ht="12.75">
      <c r="A302" s="169">
        <v>295</v>
      </c>
      <c r="B302" s="172" t="s">
        <v>520</v>
      </c>
      <c r="C302" s="258" t="s">
        <v>521</v>
      </c>
      <c r="D302" s="235">
        <v>41639</v>
      </c>
      <c r="E302" s="357">
        <v>251912453</v>
      </c>
      <c r="F302" s="357">
        <v>0</v>
      </c>
      <c r="G302" s="357">
        <v>0</v>
      </c>
      <c r="H302" s="357">
        <v>251912453</v>
      </c>
      <c r="I302" s="357">
        <v>118650765</v>
      </c>
      <c r="J302" s="357">
        <v>0</v>
      </c>
      <c r="K302" s="357">
        <v>0</v>
      </c>
      <c r="L302" s="357">
        <v>2087168</v>
      </c>
      <c r="M302" s="357">
        <v>0</v>
      </c>
      <c r="N302" s="357">
        <v>0</v>
      </c>
      <c r="O302" s="357">
        <v>120737933</v>
      </c>
      <c r="P302" s="357">
        <v>0</v>
      </c>
      <c r="Q302" s="357">
        <v>0</v>
      </c>
      <c r="R302" s="357">
        <v>120737933</v>
      </c>
      <c r="S302" s="357">
        <v>119103</v>
      </c>
      <c r="T302" s="357">
        <v>0</v>
      </c>
      <c r="U302" s="357">
        <v>0</v>
      </c>
      <c r="V302" s="357">
        <v>119103</v>
      </c>
      <c r="W302" s="357">
        <v>34311</v>
      </c>
      <c r="X302" s="357">
        <v>0</v>
      </c>
      <c r="Y302" s="357">
        <v>0</v>
      </c>
      <c r="Z302" s="357">
        <v>34311</v>
      </c>
      <c r="AA302" s="357">
        <v>84792</v>
      </c>
      <c r="AB302" s="357">
        <v>0</v>
      </c>
      <c r="AC302" s="357">
        <v>0</v>
      </c>
      <c r="AD302" s="357">
        <v>0</v>
      </c>
      <c r="AE302" s="357">
        <v>0</v>
      </c>
      <c r="AF302" s="357">
        <v>0</v>
      </c>
      <c r="AG302" s="357">
        <v>84792</v>
      </c>
      <c r="AH302" s="357">
        <v>0</v>
      </c>
      <c r="AI302" s="357">
        <v>0</v>
      </c>
      <c r="AJ302" s="357">
        <v>84792</v>
      </c>
      <c r="AK302" s="357">
        <v>84792</v>
      </c>
      <c r="AL302" s="357">
        <v>0</v>
      </c>
      <c r="AM302" s="357">
        <v>0</v>
      </c>
      <c r="AN302" s="357">
        <v>84792</v>
      </c>
      <c r="AO302" s="357">
        <v>2688769</v>
      </c>
      <c r="AP302" s="357">
        <v>0</v>
      </c>
      <c r="AQ302" s="357">
        <v>0</v>
      </c>
      <c r="AR302" s="357">
        <v>2688769</v>
      </c>
      <c r="AS302" s="357">
        <v>0</v>
      </c>
      <c r="AT302" s="357">
        <v>0</v>
      </c>
      <c r="AU302" s="357">
        <v>0</v>
      </c>
      <c r="AV302" s="357">
        <v>0</v>
      </c>
      <c r="AW302" s="357">
        <v>2562831</v>
      </c>
      <c r="AX302" s="357">
        <v>0</v>
      </c>
      <c r="AY302" s="357">
        <v>0</v>
      </c>
      <c r="AZ302" s="357">
        <v>2562831</v>
      </c>
      <c r="BA302" s="357">
        <v>125938</v>
      </c>
      <c r="BB302" s="357">
        <v>0</v>
      </c>
      <c r="BC302" s="357">
        <v>0</v>
      </c>
      <c r="BD302" s="357">
        <v>125938</v>
      </c>
      <c r="BE302" s="357">
        <v>3260884</v>
      </c>
      <c r="BF302" s="357">
        <v>0</v>
      </c>
      <c r="BG302" s="357">
        <v>0</v>
      </c>
      <c r="BH302" s="357">
        <v>3260884</v>
      </c>
      <c r="BI302" s="357">
        <v>55295</v>
      </c>
      <c r="BJ302" s="357">
        <v>0</v>
      </c>
      <c r="BK302" s="357">
        <v>0</v>
      </c>
      <c r="BL302" s="357">
        <v>55295</v>
      </c>
      <c r="BM302" s="357">
        <v>1777</v>
      </c>
      <c r="BN302" s="357">
        <v>0</v>
      </c>
      <c r="BO302" s="357">
        <v>0</v>
      </c>
      <c r="BP302" s="357">
        <v>1777</v>
      </c>
      <c r="BQ302" s="357">
        <v>3443894</v>
      </c>
      <c r="BR302" s="357">
        <v>0</v>
      </c>
      <c r="BS302" s="357">
        <v>0</v>
      </c>
      <c r="BT302" s="357">
        <v>228103</v>
      </c>
      <c r="BU302" s="357">
        <v>0</v>
      </c>
      <c r="BV302" s="357">
        <v>0</v>
      </c>
      <c r="BW302" s="357">
        <v>3671997</v>
      </c>
      <c r="BX302" s="357">
        <v>0</v>
      </c>
      <c r="BY302" s="357">
        <v>0</v>
      </c>
      <c r="BZ302" s="357">
        <v>3671997</v>
      </c>
      <c r="CA302" s="357">
        <v>0</v>
      </c>
      <c r="CB302" s="357">
        <v>0</v>
      </c>
      <c r="CC302" s="357">
        <v>0</v>
      </c>
      <c r="CD302" s="357">
        <v>0</v>
      </c>
      <c r="CE302" s="357">
        <v>4178446</v>
      </c>
      <c r="CF302" s="357">
        <v>0</v>
      </c>
      <c r="CG302" s="357">
        <v>0</v>
      </c>
      <c r="CH302" s="357">
        <v>4178446</v>
      </c>
      <c r="CI302" s="357">
        <v>4178446</v>
      </c>
      <c r="CJ302" s="357">
        <v>0</v>
      </c>
      <c r="CK302" s="357">
        <v>0</v>
      </c>
      <c r="CL302" s="357">
        <v>0</v>
      </c>
      <c r="CM302" s="357">
        <v>0</v>
      </c>
      <c r="CN302" s="357">
        <v>0</v>
      </c>
      <c r="CO302" s="357">
        <v>4178446</v>
      </c>
      <c r="CP302" s="357">
        <v>0</v>
      </c>
      <c r="CQ302" s="357">
        <v>0</v>
      </c>
      <c r="CR302" s="357">
        <v>4178446</v>
      </c>
      <c r="CS302" s="357">
        <v>162386</v>
      </c>
      <c r="CT302" s="357">
        <v>0</v>
      </c>
      <c r="CU302" s="357">
        <v>0</v>
      </c>
      <c r="CV302" s="357">
        <v>162386</v>
      </c>
      <c r="CW302" s="357">
        <v>515227</v>
      </c>
      <c r="CX302" s="357">
        <v>0</v>
      </c>
      <c r="CY302" s="357">
        <v>0</v>
      </c>
      <c r="CZ302" s="357">
        <v>515227</v>
      </c>
      <c r="DA302" s="357">
        <v>848</v>
      </c>
      <c r="DB302" s="357">
        <v>0</v>
      </c>
      <c r="DC302" s="357">
        <v>0</v>
      </c>
      <c r="DD302" s="357">
        <v>848</v>
      </c>
      <c r="DE302" s="357">
        <v>889</v>
      </c>
      <c r="DF302" s="357">
        <v>0</v>
      </c>
      <c r="DG302" s="357">
        <v>0</v>
      </c>
      <c r="DH302" s="357">
        <v>889</v>
      </c>
      <c r="DI302" s="357">
        <v>3462</v>
      </c>
      <c r="DJ302" s="357">
        <v>0</v>
      </c>
      <c r="DK302" s="357">
        <v>0</v>
      </c>
      <c r="DL302" s="357">
        <v>3462</v>
      </c>
      <c r="DM302" s="357">
        <v>0</v>
      </c>
      <c r="DN302" s="357">
        <v>0</v>
      </c>
      <c r="DO302" s="357">
        <v>0</v>
      </c>
      <c r="DP302" s="357">
        <v>0</v>
      </c>
      <c r="DQ302" s="357">
        <v>682812</v>
      </c>
      <c r="DR302" s="357">
        <v>0</v>
      </c>
      <c r="DS302" s="357">
        <v>0</v>
      </c>
      <c r="DT302" s="357">
        <v>0</v>
      </c>
      <c r="DU302" s="357">
        <v>0</v>
      </c>
      <c r="DV302" s="357">
        <v>0</v>
      </c>
      <c r="DW302" s="357">
        <v>682812</v>
      </c>
      <c r="DX302" s="357">
        <v>0</v>
      </c>
      <c r="DY302" s="357">
        <v>0</v>
      </c>
      <c r="DZ302" s="357">
        <v>682812</v>
      </c>
      <c r="EA302" s="357">
        <v>0</v>
      </c>
      <c r="EB302" s="357">
        <v>0</v>
      </c>
      <c r="EC302" s="357">
        <v>0</v>
      </c>
      <c r="ED302" s="357">
        <v>0</v>
      </c>
      <c r="EE302" s="357">
        <v>0</v>
      </c>
      <c r="EF302" s="357">
        <v>0</v>
      </c>
      <c r="EG302" s="357">
        <v>0</v>
      </c>
      <c r="EH302" s="357">
        <v>0</v>
      </c>
      <c r="EI302" s="357">
        <v>0</v>
      </c>
      <c r="EJ302" s="357">
        <v>0</v>
      </c>
      <c r="EK302" s="357">
        <v>1023224</v>
      </c>
      <c r="EL302" s="357">
        <v>0</v>
      </c>
      <c r="EM302" s="357">
        <v>0</v>
      </c>
      <c r="EN302" s="357">
        <v>1023224</v>
      </c>
      <c r="EO302" s="357">
        <v>1023224</v>
      </c>
      <c r="EP302" s="357">
        <v>0</v>
      </c>
      <c r="EQ302" s="357">
        <v>0</v>
      </c>
      <c r="ER302" s="357">
        <v>0</v>
      </c>
      <c r="ES302" s="357">
        <v>0</v>
      </c>
      <c r="ET302" s="357">
        <v>0</v>
      </c>
      <c r="EU302" s="357">
        <v>1023224</v>
      </c>
      <c r="EV302" s="357">
        <v>0</v>
      </c>
      <c r="EW302" s="357">
        <v>0</v>
      </c>
      <c r="EX302" s="357">
        <v>1023224</v>
      </c>
      <c r="EY302" s="357">
        <v>111096662</v>
      </c>
      <c r="EZ302" s="357">
        <v>0</v>
      </c>
      <c r="FA302" s="357">
        <v>0</v>
      </c>
      <c r="FB302" s="357">
        <v>111096662</v>
      </c>
      <c r="FC302" s="277">
        <v>0</v>
      </c>
      <c r="FD302" s="205"/>
    </row>
    <row r="303" spans="1:160" ht="12.75">
      <c r="A303" s="169">
        <v>296</v>
      </c>
      <c r="B303" s="172" t="s">
        <v>522</v>
      </c>
      <c r="C303" s="258" t="s">
        <v>523</v>
      </c>
      <c r="D303" s="235">
        <v>41668</v>
      </c>
      <c r="E303" s="357">
        <v>165795238</v>
      </c>
      <c r="F303" s="357">
        <v>0</v>
      </c>
      <c r="G303" s="357">
        <v>0</v>
      </c>
      <c r="H303" s="357">
        <v>165795238</v>
      </c>
      <c r="I303" s="357">
        <v>78089557</v>
      </c>
      <c r="J303" s="357">
        <v>0</v>
      </c>
      <c r="K303" s="357">
        <v>0</v>
      </c>
      <c r="L303" s="357">
        <v>0</v>
      </c>
      <c r="M303" s="357">
        <v>0</v>
      </c>
      <c r="N303" s="357">
        <v>0</v>
      </c>
      <c r="O303" s="357">
        <v>78089557</v>
      </c>
      <c r="P303" s="357">
        <v>0</v>
      </c>
      <c r="Q303" s="357">
        <v>0</v>
      </c>
      <c r="R303" s="357">
        <v>78089557</v>
      </c>
      <c r="S303" s="357">
        <v>39378.16</v>
      </c>
      <c r="T303" s="357">
        <v>0</v>
      </c>
      <c r="U303" s="357">
        <v>0</v>
      </c>
      <c r="V303" s="357">
        <v>39378.16</v>
      </c>
      <c r="W303" s="357">
        <v>223</v>
      </c>
      <c r="X303" s="357">
        <v>0</v>
      </c>
      <c r="Y303" s="357">
        <v>0</v>
      </c>
      <c r="Z303" s="357">
        <v>223</v>
      </c>
      <c r="AA303" s="357">
        <v>39155.16</v>
      </c>
      <c r="AB303" s="357">
        <v>0</v>
      </c>
      <c r="AC303" s="357">
        <v>0</v>
      </c>
      <c r="AD303" s="357">
        <v>0</v>
      </c>
      <c r="AE303" s="357">
        <v>0</v>
      </c>
      <c r="AF303" s="357">
        <v>0</v>
      </c>
      <c r="AG303" s="357">
        <v>39155.16</v>
      </c>
      <c r="AH303" s="357">
        <v>0</v>
      </c>
      <c r="AI303" s="357">
        <v>0</v>
      </c>
      <c r="AJ303" s="357">
        <v>39155.16</v>
      </c>
      <c r="AK303" s="357">
        <v>39155.16</v>
      </c>
      <c r="AL303" s="357">
        <v>0</v>
      </c>
      <c r="AM303" s="357">
        <v>0</v>
      </c>
      <c r="AN303" s="357">
        <v>39155.16</v>
      </c>
      <c r="AO303" s="357">
        <v>2069482.43</v>
      </c>
      <c r="AP303" s="357">
        <v>0</v>
      </c>
      <c r="AQ303" s="357">
        <v>0</v>
      </c>
      <c r="AR303" s="357">
        <v>2069482.43</v>
      </c>
      <c r="AS303" s="357">
        <v>15000</v>
      </c>
      <c r="AT303" s="357">
        <v>0</v>
      </c>
      <c r="AU303" s="357">
        <v>0</v>
      </c>
      <c r="AV303" s="357">
        <v>15000</v>
      </c>
      <c r="AW303" s="357">
        <v>1619213.72</v>
      </c>
      <c r="AX303" s="357">
        <v>0</v>
      </c>
      <c r="AY303" s="357">
        <v>0</v>
      </c>
      <c r="AZ303" s="357">
        <v>1619213.72</v>
      </c>
      <c r="BA303" s="357">
        <v>450268.71</v>
      </c>
      <c r="BB303" s="357">
        <v>0</v>
      </c>
      <c r="BC303" s="357">
        <v>0</v>
      </c>
      <c r="BD303" s="357">
        <v>450268.71</v>
      </c>
      <c r="BE303" s="357">
        <v>4131389.47</v>
      </c>
      <c r="BF303" s="357">
        <v>0</v>
      </c>
      <c r="BG303" s="357">
        <v>0</v>
      </c>
      <c r="BH303" s="357">
        <v>4131389.47</v>
      </c>
      <c r="BI303" s="357">
        <v>61204.37</v>
      </c>
      <c r="BJ303" s="357">
        <v>0</v>
      </c>
      <c r="BK303" s="357">
        <v>0</v>
      </c>
      <c r="BL303" s="357">
        <v>61204.37</v>
      </c>
      <c r="BM303" s="357">
        <v>9525.53</v>
      </c>
      <c r="BN303" s="357">
        <v>0</v>
      </c>
      <c r="BO303" s="357">
        <v>0</v>
      </c>
      <c r="BP303" s="357">
        <v>9525.53</v>
      </c>
      <c r="BQ303" s="357">
        <v>4652388.08</v>
      </c>
      <c r="BR303" s="357">
        <v>0</v>
      </c>
      <c r="BS303" s="357">
        <v>0</v>
      </c>
      <c r="BT303" s="357">
        <v>0</v>
      </c>
      <c r="BU303" s="357">
        <v>0</v>
      </c>
      <c r="BV303" s="357">
        <v>0</v>
      </c>
      <c r="BW303" s="357">
        <v>4652388.08</v>
      </c>
      <c r="BX303" s="357">
        <v>0</v>
      </c>
      <c r="BY303" s="357">
        <v>0</v>
      </c>
      <c r="BZ303" s="357">
        <v>4652388.08</v>
      </c>
      <c r="CA303" s="357">
        <v>150000</v>
      </c>
      <c r="CB303" s="357">
        <v>0</v>
      </c>
      <c r="CC303" s="357">
        <v>0</v>
      </c>
      <c r="CD303" s="357">
        <v>150000</v>
      </c>
      <c r="CE303" s="357">
        <v>2137192</v>
      </c>
      <c r="CF303" s="357">
        <v>0</v>
      </c>
      <c r="CG303" s="357">
        <v>0</v>
      </c>
      <c r="CH303" s="357">
        <v>2137192</v>
      </c>
      <c r="CI303" s="357">
        <v>2287192</v>
      </c>
      <c r="CJ303" s="357">
        <v>0</v>
      </c>
      <c r="CK303" s="357">
        <v>0</v>
      </c>
      <c r="CL303" s="357">
        <v>0</v>
      </c>
      <c r="CM303" s="357">
        <v>0</v>
      </c>
      <c r="CN303" s="357">
        <v>0</v>
      </c>
      <c r="CO303" s="357">
        <v>2287192</v>
      </c>
      <c r="CP303" s="357">
        <v>0</v>
      </c>
      <c r="CQ303" s="357">
        <v>0</v>
      </c>
      <c r="CR303" s="357">
        <v>2287192</v>
      </c>
      <c r="CS303" s="357">
        <v>6786.81</v>
      </c>
      <c r="CT303" s="357">
        <v>0</v>
      </c>
      <c r="CU303" s="357">
        <v>0</v>
      </c>
      <c r="CV303" s="357">
        <v>6786.81</v>
      </c>
      <c r="CW303" s="357">
        <v>88744.93</v>
      </c>
      <c r="CX303" s="357">
        <v>0</v>
      </c>
      <c r="CY303" s="357">
        <v>0</v>
      </c>
      <c r="CZ303" s="357">
        <v>88744.93</v>
      </c>
      <c r="DA303" s="357">
        <v>0</v>
      </c>
      <c r="DB303" s="357">
        <v>0</v>
      </c>
      <c r="DC303" s="357">
        <v>0</v>
      </c>
      <c r="DD303" s="357">
        <v>0</v>
      </c>
      <c r="DE303" s="357">
        <v>12057.69</v>
      </c>
      <c r="DF303" s="357">
        <v>0</v>
      </c>
      <c r="DG303" s="357">
        <v>0</v>
      </c>
      <c r="DH303" s="357">
        <v>12057.69</v>
      </c>
      <c r="DI303" s="357">
        <v>0</v>
      </c>
      <c r="DJ303" s="357">
        <v>0</v>
      </c>
      <c r="DK303" s="357">
        <v>0</v>
      </c>
      <c r="DL303" s="357">
        <v>0</v>
      </c>
      <c r="DM303" s="357">
        <v>0</v>
      </c>
      <c r="DN303" s="357">
        <v>0</v>
      </c>
      <c r="DO303" s="357">
        <v>0</v>
      </c>
      <c r="DP303" s="357">
        <v>0</v>
      </c>
      <c r="DQ303" s="357">
        <v>107589.43</v>
      </c>
      <c r="DR303" s="357">
        <v>0</v>
      </c>
      <c r="DS303" s="357">
        <v>0</v>
      </c>
      <c r="DT303" s="357">
        <v>0</v>
      </c>
      <c r="DU303" s="357">
        <v>0</v>
      </c>
      <c r="DV303" s="357">
        <v>0</v>
      </c>
      <c r="DW303" s="357">
        <v>107589.43</v>
      </c>
      <c r="DX303" s="357">
        <v>0</v>
      </c>
      <c r="DY303" s="357">
        <v>0</v>
      </c>
      <c r="DZ303" s="357">
        <v>107589.43</v>
      </c>
      <c r="EA303" s="357">
        <v>0</v>
      </c>
      <c r="EB303" s="357">
        <v>0</v>
      </c>
      <c r="EC303" s="357">
        <v>0</v>
      </c>
      <c r="ED303" s="357">
        <v>0</v>
      </c>
      <c r="EE303" s="357">
        <v>0</v>
      </c>
      <c r="EF303" s="357">
        <v>0</v>
      </c>
      <c r="EG303" s="357">
        <v>72300</v>
      </c>
      <c r="EH303" s="357">
        <v>0</v>
      </c>
      <c r="EI303" s="357">
        <v>0</v>
      </c>
      <c r="EJ303" s="357">
        <v>72300</v>
      </c>
      <c r="EK303" s="357">
        <v>962000</v>
      </c>
      <c r="EL303" s="357">
        <v>0</v>
      </c>
      <c r="EM303" s="357">
        <v>0</v>
      </c>
      <c r="EN303" s="357">
        <v>962000</v>
      </c>
      <c r="EO303" s="357">
        <v>1034300</v>
      </c>
      <c r="EP303" s="357">
        <v>0</v>
      </c>
      <c r="EQ303" s="357">
        <v>0</v>
      </c>
      <c r="ER303" s="357">
        <v>0</v>
      </c>
      <c r="ES303" s="357">
        <v>0</v>
      </c>
      <c r="ET303" s="357">
        <v>0</v>
      </c>
      <c r="EU303" s="357">
        <v>1034300</v>
      </c>
      <c r="EV303" s="357">
        <v>0</v>
      </c>
      <c r="EW303" s="357">
        <v>0</v>
      </c>
      <c r="EX303" s="357">
        <v>1034300</v>
      </c>
      <c r="EY303" s="357">
        <v>69968932.3</v>
      </c>
      <c r="EZ303" s="357">
        <v>0</v>
      </c>
      <c r="FA303" s="357">
        <v>0</v>
      </c>
      <c r="FB303" s="357">
        <v>69968932.3</v>
      </c>
      <c r="FC303" s="277">
        <v>0</v>
      </c>
      <c r="FD303" s="205"/>
    </row>
    <row r="304" spans="1:160" ht="12.75">
      <c r="A304" s="169">
        <v>297</v>
      </c>
      <c r="B304" s="172" t="s">
        <v>524</v>
      </c>
      <c r="C304" s="258" t="s">
        <v>525</v>
      </c>
      <c r="D304" s="235">
        <v>41670</v>
      </c>
      <c r="E304" s="357">
        <v>158613639</v>
      </c>
      <c r="F304" s="357">
        <v>0</v>
      </c>
      <c r="G304" s="357">
        <v>0</v>
      </c>
      <c r="H304" s="357">
        <v>158613639</v>
      </c>
      <c r="I304" s="357">
        <v>74707024</v>
      </c>
      <c r="J304" s="357">
        <v>0</v>
      </c>
      <c r="K304" s="357">
        <v>0</v>
      </c>
      <c r="L304" s="357">
        <v>381198</v>
      </c>
      <c r="M304" s="357">
        <v>0</v>
      </c>
      <c r="N304" s="357">
        <v>0</v>
      </c>
      <c r="O304" s="357">
        <v>75088222</v>
      </c>
      <c r="P304" s="357">
        <v>0</v>
      </c>
      <c r="Q304" s="357">
        <v>0</v>
      </c>
      <c r="R304" s="357">
        <v>75088222</v>
      </c>
      <c r="S304" s="357">
        <v>433946</v>
      </c>
      <c r="T304" s="357">
        <v>0</v>
      </c>
      <c r="U304" s="357">
        <v>0</v>
      </c>
      <c r="V304" s="357">
        <v>433946</v>
      </c>
      <c r="W304" s="357">
        <v>232736</v>
      </c>
      <c r="X304" s="357">
        <v>0</v>
      </c>
      <c r="Y304" s="357">
        <v>0</v>
      </c>
      <c r="Z304" s="357">
        <v>232736</v>
      </c>
      <c r="AA304" s="357">
        <v>201210</v>
      </c>
      <c r="AB304" s="357">
        <v>0</v>
      </c>
      <c r="AC304" s="357">
        <v>0</v>
      </c>
      <c r="AD304" s="357">
        <v>0</v>
      </c>
      <c r="AE304" s="357">
        <v>0</v>
      </c>
      <c r="AF304" s="357">
        <v>0</v>
      </c>
      <c r="AG304" s="357">
        <v>201210</v>
      </c>
      <c r="AH304" s="357">
        <v>0</v>
      </c>
      <c r="AI304" s="357">
        <v>0</v>
      </c>
      <c r="AJ304" s="357">
        <v>201210</v>
      </c>
      <c r="AK304" s="357">
        <v>201210</v>
      </c>
      <c r="AL304" s="357">
        <v>0</v>
      </c>
      <c r="AM304" s="357">
        <v>0</v>
      </c>
      <c r="AN304" s="357">
        <v>201210</v>
      </c>
      <c r="AO304" s="357">
        <v>1333626</v>
      </c>
      <c r="AP304" s="357">
        <v>0</v>
      </c>
      <c r="AQ304" s="357">
        <v>0</v>
      </c>
      <c r="AR304" s="357">
        <v>1333626</v>
      </c>
      <c r="AS304" s="357">
        <v>0</v>
      </c>
      <c r="AT304" s="357">
        <v>0</v>
      </c>
      <c r="AU304" s="357">
        <v>0</v>
      </c>
      <c r="AV304" s="357">
        <v>0</v>
      </c>
      <c r="AW304" s="357">
        <v>1350888</v>
      </c>
      <c r="AX304" s="357">
        <v>0</v>
      </c>
      <c r="AY304" s="357">
        <v>0</v>
      </c>
      <c r="AZ304" s="357">
        <v>1350888</v>
      </c>
      <c r="BA304" s="357">
        <v>-17262</v>
      </c>
      <c r="BB304" s="357">
        <v>0</v>
      </c>
      <c r="BC304" s="357">
        <v>0</v>
      </c>
      <c r="BD304" s="357">
        <v>-17262</v>
      </c>
      <c r="BE304" s="357">
        <v>2473249</v>
      </c>
      <c r="BF304" s="357">
        <v>0</v>
      </c>
      <c r="BG304" s="357">
        <v>0</v>
      </c>
      <c r="BH304" s="357">
        <v>2473249</v>
      </c>
      <c r="BI304" s="357">
        <v>0</v>
      </c>
      <c r="BJ304" s="357">
        <v>0</v>
      </c>
      <c r="BK304" s="357">
        <v>0</v>
      </c>
      <c r="BL304" s="357">
        <v>0</v>
      </c>
      <c r="BM304" s="357">
        <v>0</v>
      </c>
      <c r="BN304" s="357">
        <v>0</v>
      </c>
      <c r="BO304" s="357">
        <v>0</v>
      </c>
      <c r="BP304" s="357">
        <v>0</v>
      </c>
      <c r="BQ304" s="357">
        <v>2455987</v>
      </c>
      <c r="BR304" s="357">
        <v>0</v>
      </c>
      <c r="BS304" s="357">
        <v>0</v>
      </c>
      <c r="BT304" s="357">
        <v>0</v>
      </c>
      <c r="BU304" s="357">
        <v>0</v>
      </c>
      <c r="BV304" s="357">
        <v>0</v>
      </c>
      <c r="BW304" s="357">
        <v>2455987</v>
      </c>
      <c r="BX304" s="357">
        <v>0</v>
      </c>
      <c r="BY304" s="357">
        <v>0</v>
      </c>
      <c r="BZ304" s="357">
        <v>2455987</v>
      </c>
      <c r="CA304" s="357">
        <v>48398</v>
      </c>
      <c r="CB304" s="357">
        <v>0</v>
      </c>
      <c r="CC304" s="357">
        <v>0</v>
      </c>
      <c r="CD304" s="357">
        <v>48398</v>
      </c>
      <c r="CE304" s="357">
        <v>2950000</v>
      </c>
      <c r="CF304" s="357">
        <v>0</v>
      </c>
      <c r="CG304" s="357">
        <v>0</v>
      </c>
      <c r="CH304" s="357">
        <v>2950000</v>
      </c>
      <c r="CI304" s="357">
        <v>2998398</v>
      </c>
      <c r="CJ304" s="357">
        <v>0</v>
      </c>
      <c r="CK304" s="357">
        <v>0</v>
      </c>
      <c r="CL304" s="357">
        <v>300214</v>
      </c>
      <c r="CM304" s="357">
        <v>0</v>
      </c>
      <c r="CN304" s="357">
        <v>0</v>
      </c>
      <c r="CO304" s="357">
        <v>3298612</v>
      </c>
      <c r="CP304" s="357">
        <v>0</v>
      </c>
      <c r="CQ304" s="357">
        <v>0</v>
      </c>
      <c r="CR304" s="357">
        <v>3298612</v>
      </c>
      <c r="CS304" s="357">
        <v>275467</v>
      </c>
      <c r="CT304" s="357">
        <v>0</v>
      </c>
      <c r="CU304" s="357">
        <v>0</v>
      </c>
      <c r="CV304" s="357">
        <v>275467</v>
      </c>
      <c r="CW304" s="357">
        <v>21227</v>
      </c>
      <c r="CX304" s="357">
        <v>0</v>
      </c>
      <c r="CY304" s="357">
        <v>0</v>
      </c>
      <c r="CZ304" s="357">
        <v>21227</v>
      </c>
      <c r="DA304" s="357">
        <v>0</v>
      </c>
      <c r="DB304" s="357">
        <v>0</v>
      </c>
      <c r="DC304" s="357">
        <v>0</v>
      </c>
      <c r="DD304" s="357">
        <v>0</v>
      </c>
      <c r="DE304" s="357">
        <v>0</v>
      </c>
      <c r="DF304" s="357">
        <v>0</v>
      </c>
      <c r="DG304" s="357">
        <v>0</v>
      </c>
      <c r="DH304" s="357">
        <v>0</v>
      </c>
      <c r="DI304" s="357">
        <v>0</v>
      </c>
      <c r="DJ304" s="357">
        <v>0</v>
      </c>
      <c r="DK304" s="357">
        <v>0</v>
      </c>
      <c r="DL304" s="357">
        <v>0</v>
      </c>
      <c r="DM304" s="357">
        <v>0</v>
      </c>
      <c r="DN304" s="357">
        <v>0</v>
      </c>
      <c r="DO304" s="357">
        <v>0</v>
      </c>
      <c r="DP304" s="357">
        <v>0</v>
      </c>
      <c r="DQ304" s="357">
        <v>296694</v>
      </c>
      <c r="DR304" s="357">
        <v>0</v>
      </c>
      <c r="DS304" s="357">
        <v>0</v>
      </c>
      <c r="DT304" s="357">
        <v>0</v>
      </c>
      <c r="DU304" s="357">
        <v>0</v>
      </c>
      <c r="DV304" s="357">
        <v>0</v>
      </c>
      <c r="DW304" s="357">
        <v>296694</v>
      </c>
      <c r="DX304" s="357">
        <v>0</v>
      </c>
      <c r="DY304" s="357">
        <v>0</v>
      </c>
      <c r="DZ304" s="357">
        <v>296694</v>
      </c>
      <c r="EA304" s="357">
        <v>0</v>
      </c>
      <c r="EB304" s="357">
        <v>0</v>
      </c>
      <c r="EC304" s="357">
        <v>0</v>
      </c>
      <c r="ED304" s="357">
        <v>0</v>
      </c>
      <c r="EE304" s="357">
        <v>0</v>
      </c>
      <c r="EF304" s="357">
        <v>0</v>
      </c>
      <c r="EG304" s="357">
        <v>706500</v>
      </c>
      <c r="EH304" s="357">
        <v>0</v>
      </c>
      <c r="EI304" s="357">
        <v>0</v>
      </c>
      <c r="EJ304" s="357">
        <v>706500</v>
      </c>
      <c r="EK304" s="357">
        <v>1000000</v>
      </c>
      <c r="EL304" s="357">
        <v>0</v>
      </c>
      <c r="EM304" s="357">
        <v>0</v>
      </c>
      <c r="EN304" s="357">
        <v>1000000</v>
      </c>
      <c r="EO304" s="357">
        <v>1706500</v>
      </c>
      <c r="EP304" s="357">
        <v>0</v>
      </c>
      <c r="EQ304" s="357">
        <v>0</v>
      </c>
      <c r="ER304" s="357">
        <v>0</v>
      </c>
      <c r="ES304" s="357">
        <v>0</v>
      </c>
      <c r="ET304" s="357">
        <v>0</v>
      </c>
      <c r="EU304" s="357">
        <v>1706500</v>
      </c>
      <c r="EV304" s="357">
        <v>0</v>
      </c>
      <c r="EW304" s="357">
        <v>0</v>
      </c>
      <c r="EX304" s="357">
        <v>1706500</v>
      </c>
      <c r="EY304" s="357">
        <v>67129219</v>
      </c>
      <c r="EZ304" s="357">
        <v>0</v>
      </c>
      <c r="FA304" s="357">
        <v>0</v>
      </c>
      <c r="FB304" s="357">
        <v>67129219</v>
      </c>
      <c r="FC304" s="277">
        <v>0</v>
      </c>
      <c r="FD304" s="205"/>
    </row>
    <row r="305" spans="1:160" ht="12.75">
      <c r="A305" s="169">
        <v>298</v>
      </c>
      <c r="B305" s="172" t="s">
        <v>526</v>
      </c>
      <c r="C305" s="258" t="s">
        <v>527</v>
      </c>
      <c r="D305" s="235">
        <v>41639</v>
      </c>
      <c r="E305" s="357">
        <v>71290136</v>
      </c>
      <c r="F305" s="357">
        <v>0</v>
      </c>
      <c r="G305" s="357">
        <v>0</v>
      </c>
      <c r="H305" s="357">
        <v>71290136</v>
      </c>
      <c r="I305" s="357">
        <v>33577654</v>
      </c>
      <c r="J305" s="357">
        <v>0</v>
      </c>
      <c r="K305" s="357">
        <v>0</v>
      </c>
      <c r="L305" s="357">
        <v>-233920</v>
      </c>
      <c r="M305" s="357">
        <v>0</v>
      </c>
      <c r="N305" s="357">
        <v>46205</v>
      </c>
      <c r="O305" s="357">
        <v>33343734</v>
      </c>
      <c r="P305" s="357">
        <v>0</v>
      </c>
      <c r="Q305" s="357">
        <v>46205</v>
      </c>
      <c r="R305" s="357">
        <v>33389939</v>
      </c>
      <c r="S305" s="357">
        <v>46529.01</v>
      </c>
      <c r="T305" s="357">
        <v>0</v>
      </c>
      <c r="U305" s="357">
        <v>0</v>
      </c>
      <c r="V305" s="357">
        <v>46529.01</v>
      </c>
      <c r="W305" s="357">
        <v>22015.01</v>
      </c>
      <c r="X305" s="357">
        <v>0</v>
      </c>
      <c r="Y305" s="357">
        <v>0</v>
      </c>
      <c r="Z305" s="357">
        <v>22015.01</v>
      </c>
      <c r="AA305" s="357">
        <v>24514</v>
      </c>
      <c r="AB305" s="357">
        <v>0</v>
      </c>
      <c r="AC305" s="357">
        <v>0</v>
      </c>
      <c r="AD305" s="357">
        <v>0</v>
      </c>
      <c r="AE305" s="357">
        <v>0</v>
      </c>
      <c r="AF305" s="357">
        <v>0</v>
      </c>
      <c r="AG305" s="357">
        <v>24514</v>
      </c>
      <c r="AH305" s="357">
        <v>0</v>
      </c>
      <c r="AI305" s="357">
        <v>0</v>
      </c>
      <c r="AJ305" s="357">
        <v>24514</v>
      </c>
      <c r="AK305" s="357">
        <v>24514</v>
      </c>
      <c r="AL305" s="357">
        <v>0</v>
      </c>
      <c r="AM305" s="357">
        <v>0</v>
      </c>
      <c r="AN305" s="357">
        <v>24514</v>
      </c>
      <c r="AO305" s="357">
        <v>3016586.67</v>
      </c>
      <c r="AP305" s="357">
        <v>0</v>
      </c>
      <c r="AQ305" s="357">
        <v>0</v>
      </c>
      <c r="AR305" s="357">
        <v>3016586.67</v>
      </c>
      <c r="AS305" s="357">
        <v>0</v>
      </c>
      <c r="AT305" s="357">
        <v>0</v>
      </c>
      <c r="AU305" s="357">
        <v>0</v>
      </c>
      <c r="AV305" s="357">
        <v>0</v>
      </c>
      <c r="AW305" s="357">
        <v>612087.13</v>
      </c>
      <c r="AX305" s="357">
        <v>0</v>
      </c>
      <c r="AY305" s="357">
        <v>0</v>
      </c>
      <c r="AZ305" s="357">
        <v>612087.13</v>
      </c>
      <c r="BA305" s="357">
        <v>2404499.54</v>
      </c>
      <c r="BB305" s="357">
        <v>0</v>
      </c>
      <c r="BC305" s="357">
        <v>0</v>
      </c>
      <c r="BD305" s="357">
        <v>2404499.54</v>
      </c>
      <c r="BE305" s="357">
        <v>1920314</v>
      </c>
      <c r="BF305" s="357">
        <v>0</v>
      </c>
      <c r="BG305" s="357">
        <v>0</v>
      </c>
      <c r="BH305" s="357">
        <v>1920314</v>
      </c>
      <c r="BI305" s="357">
        <v>62818</v>
      </c>
      <c r="BJ305" s="357">
        <v>0</v>
      </c>
      <c r="BK305" s="357">
        <v>0</v>
      </c>
      <c r="BL305" s="357">
        <v>62818</v>
      </c>
      <c r="BM305" s="357">
        <v>18340.1</v>
      </c>
      <c r="BN305" s="357">
        <v>0</v>
      </c>
      <c r="BO305" s="357">
        <v>0</v>
      </c>
      <c r="BP305" s="357">
        <v>18340.1</v>
      </c>
      <c r="BQ305" s="357">
        <v>4405971.64</v>
      </c>
      <c r="BR305" s="357">
        <v>0</v>
      </c>
      <c r="BS305" s="357">
        <v>0</v>
      </c>
      <c r="BT305" s="357">
        <v>0</v>
      </c>
      <c r="BU305" s="357">
        <v>0</v>
      </c>
      <c r="BV305" s="357">
        <v>0</v>
      </c>
      <c r="BW305" s="357">
        <v>4405971.64</v>
      </c>
      <c r="BX305" s="357">
        <v>0</v>
      </c>
      <c r="BY305" s="357">
        <v>0</v>
      </c>
      <c r="BZ305" s="357">
        <v>4405971.64</v>
      </c>
      <c r="CA305" s="357">
        <v>0</v>
      </c>
      <c r="CB305" s="357">
        <v>0</v>
      </c>
      <c r="CC305" s="357">
        <v>0</v>
      </c>
      <c r="CD305" s="357">
        <v>0</v>
      </c>
      <c r="CE305" s="357">
        <v>1209251.8</v>
      </c>
      <c r="CF305" s="357">
        <v>0</v>
      </c>
      <c r="CG305" s="357">
        <v>0</v>
      </c>
      <c r="CH305" s="357">
        <v>1209251.8</v>
      </c>
      <c r="CI305" s="357">
        <v>1209251.8</v>
      </c>
      <c r="CJ305" s="357">
        <v>0</v>
      </c>
      <c r="CK305" s="357">
        <v>0</v>
      </c>
      <c r="CL305" s="357">
        <v>0</v>
      </c>
      <c r="CM305" s="357">
        <v>0</v>
      </c>
      <c r="CN305" s="357">
        <v>23102</v>
      </c>
      <c r="CO305" s="357">
        <v>1209251.8</v>
      </c>
      <c r="CP305" s="357">
        <v>0</v>
      </c>
      <c r="CQ305" s="357">
        <v>23102</v>
      </c>
      <c r="CR305" s="357">
        <v>1232353.8</v>
      </c>
      <c r="CS305" s="357">
        <v>77792</v>
      </c>
      <c r="CT305" s="357">
        <v>0</v>
      </c>
      <c r="CU305" s="357">
        <v>0</v>
      </c>
      <c r="CV305" s="357">
        <v>77792</v>
      </c>
      <c r="CW305" s="357">
        <v>9361.13</v>
      </c>
      <c r="CX305" s="357">
        <v>0</v>
      </c>
      <c r="CY305" s="357">
        <v>0</v>
      </c>
      <c r="CZ305" s="357">
        <v>9361.13</v>
      </c>
      <c r="DA305" s="357">
        <v>264</v>
      </c>
      <c r="DB305" s="357">
        <v>0</v>
      </c>
      <c r="DC305" s="357">
        <v>0</v>
      </c>
      <c r="DD305" s="357">
        <v>264</v>
      </c>
      <c r="DE305" s="357">
        <v>11543.9</v>
      </c>
      <c r="DF305" s="357">
        <v>0</v>
      </c>
      <c r="DG305" s="357">
        <v>0</v>
      </c>
      <c r="DH305" s="357">
        <v>11543.9</v>
      </c>
      <c r="DI305" s="357">
        <v>0</v>
      </c>
      <c r="DJ305" s="357">
        <v>0</v>
      </c>
      <c r="DK305" s="357">
        <v>0</v>
      </c>
      <c r="DL305" s="357">
        <v>0</v>
      </c>
      <c r="DM305" s="357">
        <v>0</v>
      </c>
      <c r="DN305" s="357">
        <v>0</v>
      </c>
      <c r="DO305" s="357">
        <v>0</v>
      </c>
      <c r="DP305" s="357">
        <v>0</v>
      </c>
      <c r="DQ305" s="357">
        <v>98961.03</v>
      </c>
      <c r="DR305" s="357">
        <v>0</v>
      </c>
      <c r="DS305" s="357">
        <v>0</v>
      </c>
      <c r="DT305" s="357">
        <v>0</v>
      </c>
      <c r="DU305" s="357">
        <v>0</v>
      </c>
      <c r="DV305" s="357">
        <v>23103</v>
      </c>
      <c r="DW305" s="357">
        <v>98961.03</v>
      </c>
      <c r="DX305" s="357">
        <v>0</v>
      </c>
      <c r="DY305" s="357">
        <v>23103</v>
      </c>
      <c r="DZ305" s="357">
        <v>122064.03</v>
      </c>
      <c r="EA305" s="357">
        <v>23103</v>
      </c>
      <c r="EB305" s="357">
        <v>0</v>
      </c>
      <c r="EC305" s="357">
        <v>0</v>
      </c>
      <c r="ED305" s="357">
        <v>0</v>
      </c>
      <c r="EE305" s="357">
        <v>0</v>
      </c>
      <c r="EF305" s="357">
        <v>0</v>
      </c>
      <c r="EG305" s="357">
        <v>22401.87</v>
      </c>
      <c r="EH305" s="357">
        <v>0</v>
      </c>
      <c r="EI305" s="357">
        <v>0</v>
      </c>
      <c r="EJ305" s="357">
        <v>22401.87</v>
      </c>
      <c r="EK305" s="357">
        <v>522579.51</v>
      </c>
      <c r="EL305" s="357">
        <v>0</v>
      </c>
      <c r="EM305" s="357">
        <v>0</v>
      </c>
      <c r="EN305" s="357">
        <v>522579.51</v>
      </c>
      <c r="EO305" s="357">
        <v>544981.38</v>
      </c>
      <c r="EP305" s="357">
        <v>0</v>
      </c>
      <c r="EQ305" s="357">
        <v>0</v>
      </c>
      <c r="ER305" s="357">
        <v>0</v>
      </c>
      <c r="ES305" s="357">
        <v>0</v>
      </c>
      <c r="ET305" s="357">
        <v>0</v>
      </c>
      <c r="EU305" s="357">
        <v>544981.38</v>
      </c>
      <c r="EV305" s="357">
        <v>0</v>
      </c>
      <c r="EW305" s="357">
        <v>0</v>
      </c>
      <c r="EX305" s="357">
        <v>544981.38</v>
      </c>
      <c r="EY305" s="357">
        <v>27060054.2</v>
      </c>
      <c r="EZ305" s="357">
        <v>0</v>
      </c>
      <c r="FA305" s="357">
        <v>0</v>
      </c>
      <c r="FB305" s="357">
        <v>27060054.2</v>
      </c>
      <c r="FC305" s="277">
        <v>0</v>
      </c>
      <c r="FD305" s="205"/>
    </row>
    <row r="306" spans="1:160" ht="12.75">
      <c r="A306" s="169">
        <v>299</v>
      </c>
      <c r="B306" s="172" t="s">
        <v>528</v>
      </c>
      <c r="C306" s="258" t="s">
        <v>529</v>
      </c>
      <c r="D306" s="235">
        <v>41639</v>
      </c>
      <c r="E306" s="357">
        <v>95649315</v>
      </c>
      <c r="F306" s="357">
        <v>0</v>
      </c>
      <c r="G306" s="357">
        <v>0</v>
      </c>
      <c r="H306" s="357">
        <v>95649315</v>
      </c>
      <c r="I306" s="357">
        <v>45050827</v>
      </c>
      <c r="J306" s="357">
        <v>0</v>
      </c>
      <c r="K306" s="357">
        <v>0</v>
      </c>
      <c r="L306" s="357">
        <v>-1750000</v>
      </c>
      <c r="M306" s="357">
        <v>0</v>
      </c>
      <c r="N306" s="357">
        <v>0</v>
      </c>
      <c r="O306" s="357">
        <v>43300827</v>
      </c>
      <c r="P306" s="357">
        <v>0</v>
      </c>
      <c r="Q306" s="357">
        <v>0</v>
      </c>
      <c r="R306" s="357">
        <v>43300827</v>
      </c>
      <c r="S306" s="357">
        <v>29624.23</v>
      </c>
      <c r="T306" s="357">
        <v>0</v>
      </c>
      <c r="U306" s="357">
        <v>0</v>
      </c>
      <c r="V306" s="357">
        <v>29624.23</v>
      </c>
      <c r="W306" s="357">
        <v>9981.86</v>
      </c>
      <c r="X306" s="357">
        <v>0</v>
      </c>
      <c r="Y306" s="357">
        <v>0</v>
      </c>
      <c r="Z306" s="357">
        <v>9981.86</v>
      </c>
      <c r="AA306" s="357">
        <v>19642.37</v>
      </c>
      <c r="AB306" s="357">
        <v>0</v>
      </c>
      <c r="AC306" s="357">
        <v>0</v>
      </c>
      <c r="AD306" s="357">
        <v>0</v>
      </c>
      <c r="AE306" s="357">
        <v>0</v>
      </c>
      <c r="AF306" s="357">
        <v>0</v>
      </c>
      <c r="AG306" s="357">
        <v>19642.37</v>
      </c>
      <c r="AH306" s="357">
        <v>0</v>
      </c>
      <c r="AI306" s="357">
        <v>0</v>
      </c>
      <c r="AJ306" s="357">
        <v>19642.37</v>
      </c>
      <c r="AK306" s="357">
        <v>19642.37</v>
      </c>
      <c r="AL306" s="357">
        <v>0</v>
      </c>
      <c r="AM306" s="357">
        <v>0</v>
      </c>
      <c r="AN306" s="357">
        <v>19642.37</v>
      </c>
      <c r="AO306" s="357">
        <v>2118185</v>
      </c>
      <c r="AP306" s="357">
        <v>0</v>
      </c>
      <c r="AQ306" s="357">
        <v>0</v>
      </c>
      <c r="AR306" s="357">
        <v>2118185</v>
      </c>
      <c r="AS306" s="357">
        <v>100000</v>
      </c>
      <c r="AT306" s="357">
        <v>0</v>
      </c>
      <c r="AU306" s="357">
        <v>0</v>
      </c>
      <c r="AV306" s="357">
        <v>100000</v>
      </c>
      <c r="AW306" s="357">
        <v>876048.21</v>
      </c>
      <c r="AX306" s="357">
        <v>0</v>
      </c>
      <c r="AY306" s="357">
        <v>0</v>
      </c>
      <c r="AZ306" s="357">
        <v>876048.21</v>
      </c>
      <c r="BA306" s="357">
        <v>1242136.79</v>
      </c>
      <c r="BB306" s="357">
        <v>0</v>
      </c>
      <c r="BC306" s="357">
        <v>0</v>
      </c>
      <c r="BD306" s="357">
        <v>1242136.79</v>
      </c>
      <c r="BE306" s="357">
        <v>4879898.8</v>
      </c>
      <c r="BF306" s="357">
        <v>0</v>
      </c>
      <c r="BG306" s="357">
        <v>0</v>
      </c>
      <c r="BH306" s="357">
        <v>4879898.8</v>
      </c>
      <c r="BI306" s="357">
        <v>43649.99</v>
      </c>
      <c r="BJ306" s="357">
        <v>0</v>
      </c>
      <c r="BK306" s="357">
        <v>0</v>
      </c>
      <c r="BL306" s="357">
        <v>43649.99</v>
      </c>
      <c r="BM306" s="357">
        <v>6892.6</v>
      </c>
      <c r="BN306" s="357">
        <v>0</v>
      </c>
      <c r="BO306" s="357">
        <v>0</v>
      </c>
      <c r="BP306" s="357">
        <v>6892.6</v>
      </c>
      <c r="BQ306" s="357">
        <v>6172578.18</v>
      </c>
      <c r="BR306" s="357">
        <v>0</v>
      </c>
      <c r="BS306" s="357">
        <v>0</v>
      </c>
      <c r="BT306" s="357">
        <v>0</v>
      </c>
      <c r="BU306" s="357">
        <v>0</v>
      </c>
      <c r="BV306" s="357">
        <v>0</v>
      </c>
      <c r="BW306" s="357">
        <v>6172578.18</v>
      </c>
      <c r="BX306" s="357">
        <v>0</v>
      </c>
      <c r="BY306" s="357">
        <v>0</v>
      </c>
      <c r="BZ306" s="357">
        <v>6172578.18</v>
      </c>
      <c r="CA306" s="357">
        <v>3699.23</v>
      </c>
      <c r="CB306" s="357">
        <v>0</v>
      </c>
      <c r="CC306" s="357">
        <v>0</v>
      </c>
      <c r="CD306" s="357">
        <v>3699.23</v>
      </c>
      <c r="CE306" s="357">
        <v>800000</v>
      </c>
      <c r="CF306" s="357">
        <v>0</v>
      </c>
      <c r="CG306" s="357">
        <v>0</v>
      </c>
      <c r="CH306" s="357">
        <v>800000</v>
      </c>
      <c r="CI306" s="357">
        <v>803699.23</v>
      </c>
      <c r="CJ306" s="357">
        <v>0</v>
      </c>
      <c r="CK306" s="357">
        <v>0</v>
      </c>
      <c r="CL306" s="357">
        <v>0</v>
      </c>
      <c r="CM306" s="357">
        <v>0</v>
      </c>
      <c r="CN306" s="357">
        <v>0</v>
      </c>
      <c r="CO306" s="357">
        <v>803699.23</v>
      </c>
      <c r="CP306" s="357">
        <v>0</v>
      </c>
      <c r="CQ306" s="357">
        <v>0</v>
      </c>
      <c r="CR306" s="357">
        <v>803699.23</v>
      </c>
      <c r="CS306" s="357">
        <v>63316.48</v>
      </c>
      <c r="CT306" s="357">
        <v>0</v>
      </c>
      <c r="CU306" s="357">
        <v>0</v>
      </c>
      <c r="CV306" s="357">
        <v>63316.48</v>
      </c>
      <c r="CW306" s="357">
        <v>404621</v>
      </c>
      <c r="CX306" s="357">
        <v>0</v>
      </c>
      <c r="CY306" s="357">
        <v>0</v>
      </c>
      <c r="CZ306" s="357">
        <v>404621</v>
      </c>
      <c r="DA306" s="357">
        <v>0</v>
      </c>
      <c r="DB306" s="357">
        <v>0</v>
      </c>
      <c r="DC306" s="357">
        <v>0</v>
      </c>
      <c r="DD306" s="357">
        <v>0</v>
      </c>
      <c r="DE306" s="357">
        <v>4135.66</v>
      </c>
      <c r="DF306" s="357">
        <v>0</v>
      </c>
      <c r="DG306" s="357">
        <v>0</v>
      </c>
      <c r="DH306" s="357">
        <v>4135.66</v>
      </c>
      <c r="DI306" s="357">
        <v>6518.64</v>
      </c>
      <c r="DJ306" s="357">
        <v>0</v>
      </c>
      <c r="DK306" s="357">
        <v>0</v>
      </c>
      <c r="DL306" s="357">
        <v>6518.64</v>
      </c>
      <c r="DM306" s="357">
        <v>0</v>
      </c>
      <c r="DN306" s="357">
        <v>0</v>
      </c>
      <c r="DO306" s="357">
        <v>0</v>
      </c>
      <c r="DP306" s="357">
        <v>0</v>
      </c>
      <c r="DQ306" s="357">
        <v>478591.78</v>
      </c>
      <c r="DR306" s="357">
        <v>0</v>
      </c>
      <c r="DS306" s="357">
        <v>0</v>
      </c>
      <c r="DT306" s="357">
        <v>0</v>
      </c>
      <c r="DU306" s="357">
        <v>0</v>
      </c>
      <c r="DV306" s="357">
        <v>0</v>
      </c>
      <c r="DW306" s="357">
        <v>478591.78</v>
      </c>
      <c r="DX306" s="357">
        <v>0</v>
      </c>
      <c r="DY306" s="357">
        <v>0</v>
      </c>
      <c r="DZ306" s="357">
        <v>478591.78</v>
      </c>
      <c r="EA306" s="357">
        <v>0</v>
      </c>
      <c r="EB306" s="357">
        <v>0</v>
      </c>
      <c r="EC306" s="357">
        <v>100000</v>
      </c>
      <c r="ED306" s="357">
        <v>0</v>
      </c>
      <c r="EE306" s="357">
        <v>0</v>
      </c>
      <c r="EF306" s="357">
        <v>100000</v>
      </c>
      <c r="EG306" s="357">
        <v>100000</v>
      </c>
      <c r="EH306" s="357">
        <v>0</v>
      </c>
      <c r="EI306" s="357">
        <v>0</v>
      </c>
      <c r="EJ306" s="357">
        <v>100000</v>
      </c>
      <c r="EK306" s="357">
        <v>650000</v>
      </c>
      <c r="EL306" s="357">
        <v>0</v>
      </c>
      <c r="EM306" s="357">
        <v>0</v>
      </c>
      <c r="EN306" s="357">
        <v>650000</v>
      </c>
      <c r="EO306" s="357">
        <v>850000</v>
      </c>
      <c r="EP306" s="357">
        <v>0</v>
      </c>
      <c r="EQ306" s="357">
        <v>0</v>
      </c>
      <c r="ER306" s="357">
        <v>0</v>
      </c>
      <c r="ES306" s="357">
        <v>0</v>
      </c>
      <c r="ET306" s="357">
        <v>0</v>
      </c>
      <c r="EU306" s="357">
        <v>850000</v>
      </c>
      <c r="EV306" s="357">
        <v>0</v>
      </c>
      <c r="EW306" s="357">
        <v>0</v>
      </c>
      <c r="EX306" s="357">
        <v>850000</v>
      </c>
      <c r="EY306" s="357">
        <v>34976315.4</v>
      </c>
      <c r="EZ306" s="357">
        <v>0</v>
      </c>
      <c r="FA306" s="357">
        <v>0</v>
      </c>
      <c r="FB306" s="357">
        <v>34976315.4</v>
      </c>
      <c r="FC306" s="277">
        <v>0</v>
      </c>
      <c r="FD306" s="205"/>
    </row>
    <row r="307" spans="1:160" ht="12.75">
      <c r="A307" s="169">
        <v>300</v>
      </c>
      <c r="B307" s="172" t="s">
        <v>530</v>
      </c>
      <c r="C307" s="258" t="s">
        <v>531</v>
      </c>
      <c r="D307" s="235">
        <v>41662</v>
      </c>
      <c r="E307" s="357">
        <v>80572529</v>
      </c>
      <c r="F307" s="357">
        <v>0</v>
      </c>
      <c r="G307" s="357">
        <v>0</v>
      </c>
      <c r="H307" s="357">
        <v>80572529</v>
      </c>
      <c r="I307" s="357">
        <v>37949661</v>
      </c>
      <c r="J307" s="357">
        <v>0</v>
      </c>
      <c r="K307" s="357">
        <v>0</v>
      </c>
      <c r="L307" s="357">
        <v>0</v>
      </c>
      <c r="M307" s="357">
        <v>0</v>
      </c>
      <c r="N307" s="357">
        <v>0</v>
      </c>
      <c r="O307" s="357">
        <v>37949661</v>
      </c>
      <c r="P307" s="357">
        <v>0</v>
      </c>
      <c r="Q307" s="357">
        <v>0</v>
      </c>
      <c r="R307" s="357">
        <v>37949661</v>
      </c>
      <c r="S307" s="357">
        <v>93219</v>
      </c>
      <c r="T307" s="357">
        <v>0</v>
      </c>
      <c r="U307" s="357">
        <v>0</v>
      </c>
      <c r="V307" s="357">
        <v>93219</v>
      </c>
      <c r="W307" s="357">
        <v>4762</v>
      </c>
      <c r="X307" s="357">
        <v>0</v>
      </c>
      <c r="Y307" s="357">
        <v>0</v>
      </c>
      <c r="Z307" s="357">
        <v>4762</v>
      </c>
      <c r="AA307" s="357">
        <v>88457</v>
      </c>
      <c r="AB307" s="357">
        <v>0</v>
      </c>
      <c r="AC307" s="357">
        <v>0</v>
      </c>
      <c r="AD307" s="357">
        <v>0</v>
      </c>
      <c r="AE307" s="357">
        <v>0</v>
      </c>
      <c r="AF307" s="357">
        <v>0</v>
      </c>
      <c r="AG307" s="357">
        <v>88457</v>
      </c>
      <c r="AH307" s="357">
        <v>0</v>
      </c>
      <c r="AI307" s="357">
        <v>0</v>
      </c>
      <c r="AJ307" s="357">
        <v>88457</v>
      </c>
      <c r="AK307" s="357">
        <v>88457</v>
      </c>
      <c r="AL307" s="357">
        <v>0</v>
      </c>
      <c r="AM307" s="357">
        <v>0</v>
      </c>
      <c r="AN307" s="357">
        <v>88457</v>
      </c>
      <c r="AO307" s="357">
        <v>4283891</v>
      </c>
      <c r="AP307" s="357">
        <v>0</v>
      </c>
      <c r="AQ307" s="357">
        <v>0</v>
      </c>
      <c r="AR307" s="357">
        <v>4283891</v>
      </c>
      <c r="AS307" s="357">
        <v>0</v>
      </c>
      <c r="AT307" s="357">
        <v>0</v>
      </c>
      <c r="AU307" s="357">
        <v>0</v>
      </c>
      <c r="AV307" s="357">
        <v>0</v>
      </c>
      <c r="AW307" s="357">
        <v>618133</v>
      </c>
      <c r="AX307" s="357">
        <v>0</v>
      </c>
      <c r="AY307" s="357">
        <v>0</v>
      </c>
      <c r="AZ307" s="357">
        <v>618133</v>
      </c>
      <c r="BA307" s="357">
        <v>3665758</v>
      </c>
      <c r="BB307" s="357">
        <v>0</v>
      </c>
      <c r="BC307" s="357">
        <v>0</v>
      </c>
      <c r="BD307" s="357">
        <v>3665758</v>
      </c>
      <c r="BE307" s="357">
        <v>2530116</v>
      </c>
      <c r="BF307" s="357">
        <v>0</v>
      </c>
      <c r="BG307" s="357">
        <v>0</v>
      </c>
      <c r="BH307" s="357">
        <v>2530116</v>
      </c>
      <c r="BI307" s="357">
        <v>129979</v>
      </c>
      <c r="BJ307" s="357">
        <v>0</v>
      </c>
      <c r="BK307" s="357">
        <v>0</v>
      </c>
      <c r="BL307" s="357">
        <v>129979</v>
      </c>
      <c r="BM307" s="357">
        <v>69839</v>
      </c>
      <c r="BN307" s="357">
        <v>0</v>
      </c>
      <c r="BO307" s="357">
        <v>0</v>
      </c>
      <c r="BP307" s="357">
        <v>69839</v>
      </c>
      <c r="BQ307" s="357">
        <v>6395692</v>
      </c>
      <c r="BR307" s="357">
        <v>0</v>
      </c>
      <c r="BS307" s="357">
        <v>0</v>
      </c>
      <c r="BT307" s="357">
        <v>0</v>
      </c>
      <c r="BU307" s="357">
        <v>0</v>
      </c>
      <c r="BV307" s="357">
        <v>0</v>
      </c>
      <c r="BW307" s="357">
        <v>6395692</v>
      </c>
      <c r="BX307" s="357">
        <v>0</v>
      </c>
      <c r="BY307" s="357">
        <v>0</v>
      </c>
      <c r="BZ307" s="357">
        <v>6395692</v>
      </c>
      <c r="CA307" s="357">
        <v>66944</v>
      </c>
      <c r="CB307" s="357">
        <v>0</v>
      </c>
      <c r="CC307" s="357">
        <v>0</v>
      </c>
      <c r="CD307" s="357">
        <v>66944</v>
      </c>
      <c r="CE307" s="357">
        <v>1131556</v>
      </c>
      <c r="CF307" s="357">
        <v>0</v>
      </c>
      <c r="CG307" s="357">
        <v>0</v>
      </c>
      <c r="CH307" s="357">
        <v>1131556</v>
      </c>
      <c r="CI307" s="357">
        <v>1198500</v>
      </c>
      <c r="CJ307" s="357">
        <v>0</v>
      </c>
      <c r="CK307" s="357">
        <v>0</v>
      </c>
      <c r="CL307" s="357">
        <v>0</v>
      </c>
      <c r="CM307" s="357">
        <v>0</v>
      </c>
      <c r="CN307" s="357">
        <v>0</v>
      </c>
      <c r="CO307" s="357">
        <v>1198500</v>
      </c>
      <c r="CP307" s="357">
        <v>0</v>
      </c>
      <c r="CQ307" s="357">
        <v>0</v>
      </c>
      <c r="CR307" s="357">
        <v>1198500</v>
      </c>
      <c r="CS307" s="357">
        <v>77440</v>
      </c>
      <c r="CT307" s="357">
        <v>0</v>
      </c>
      <c r="CU307" s="357">
        <v>0</v>
      </c>
      <c r="CV307" s="357">
        <v>77440</v>
      </c>
      <c r="CW307" s="357">
        <v>21524</v>
      </c>
      <c r="CX307" s="357">
        <v>0</v>
      </c>
      <c r="CY307" s="357">
        <v>0</v>
      </c>
      <c r="CZ307" s="357">
        <v>21524</v>
      </c>
      <c r="DA307" s="357">
        <v>0</v>
      </c>
      <c r="DB307" s="357">
        <v>0</v>
      </c>
      <c r="DC307" s="357">
        <v>0</v>
      </c>
      <c r="DD307" s="357">
        <v>0</v>
      </c>
      <c r="DE307" s="357">
        <v>14667</v>
      </c>
      <c r="DF307" s="357">
        <v>0</v>
      </c>
      <c r="DG307" s="357">
        <v>0</v>
      </c>
      <c r="DH307" s="357">
        <v>14667</v>
      </c>
      <c r="DI307" s="357">
        <v>14181</v>
      </c>
      <c r="DJ307" s="357">
        <v>0</v>
      </c>
      <c r="DK307" s="357">
        <v>0</v>
      </c>
      <c r="DL307" s="357">
        <v>14181</v>
      </c>
      <c r="DM307" s="357">
        <v>0</v>
      </c>
      <c r="DN307" s="357">
        <v>0</v>
      </c>
      <c r="DO307" s="357">
        <v>0</v>
      </c>
      <c r="DP307" s="357">
        <v>0</v>
      </c>
      <c r="DQ307" s="357">
        <v>127812</v>
      </c>
      <c r="DR307" s="357">
        <v>0</v>
      </c>
      <c r="DS307" s="357">
        <v>0</v>
      </c>
      <c r="DT307" s="357">
        <v>0</v>
      </c>
      <c r="DU307" s="357">
        <v>0</v>
      </c>
      <c r="DV307" s="357">
        <v>0</v>
      </c>
      <c r="DW307" s="357">
        <v>127812</v>
      </c>
      <c r="DX307" s="357">
        <v>0</v>
      </c>
      <c r="DY307" s="357">
        <v>0</v>
      </c>
      <c r="DZ307" s="357">
        <v>127812</v>
      </c>
      <c r="EA307" s="357">
        <v>0</v>
      </c>
      <c r="EB307" s="357">
        <v>0</v>
      </c>
      <c r="EC307" s="357">
        <v>70000</v>
      </c>
      <c r="ED307" s="357">
        <v>0</v>
      </c>
      <c r="EE307" s="357">
        <v>0</v>
      </c>
      <c r="EF307" s="357">
        <v>70000</v>
      </c>
      <c r="EG307" s="357">
        <v>58023</v>
      </c>
      <c r="EH307" s="357">
        <v>0</v>
      </c>
      <c r="EI307" s="357">
        <v>0</v>
      </c>
      <c r="EJ307" s="357">
        <v>58023</v>
      </c>
      <c r="EK307" s="357">
        <v>886581</v>
      </c>
      <c r="EL307" s="357">
        <v>0</v>
      </c>
      <c r="EM307" s="357">
        <v>0</v>
      </c>
      <c r="EN307" s="357">
        <v>886581</v>
      </c>
      <c r="EO307" s="357">
        <v>1014604</v>
      </c>
      <c r="EP307" s="357">
        <v>0</v>
      </c>
      <c r="EQ307" s="357">
        <v>0</v>
      </c>
      <c r="ER307" s="357">
        <v>0</v>
      </c>
      <c r="ES307" s="357">
        <v>0</v>
      </c>
      <c r="ET307" s="357">
        <v>0</v>
      </c>
      <c r="EU307" s="357">
        <v>1014604</v>
      </c>
      <c r="EV307" s="357">
        <v>0</v>
      </c>
      <c r="EW307" s="357">
        <v>0</v>
      </c>
      <c r="EX307" s="357">
        <v>1014604</v>
      </c>
      <c r="EY307" s="357">
        <v>29124596</v>
      </c>
      <c r="EZ307" s="357">
        <v>0</v>
      </c>
      <c r="FA307" s="357">
        <v>0</v>
      </c>
      <c r="FB307" s="357">
        <v>29124596</v>
      </c>
      <c r="FC307" s="277">
        <v>0</v>
      </c>
      <c r="FD307" s="205"/>
    </row>
    <row r="308" spans="1:160" ht="12.75">
      <c r="A308" s="169">
        <v>301</v>
      </c>
      <c r="B308" s="172" t="s">
        <v>532</v>
      </c>
      <c r="C308" s="258" t="s">
        <v>533</v>
      </c>
      <c r="D308" s="235">
        <v>311213</v>
      </c>
      <c r="E308" s="357">
        <v>71910651</v>
      </c>
      <c r="F308" s="357">
        <v>0</v>
      </c>
      <c r="G308" s="357">
        <v>0</v>
      </c>
      <c r="H308" s="357">
        <v>71910651</v>
      </c>
      <c r="I308" s="357">
        <v>33869917</v>
      </c>
      <c r="J308" s="357">
        <v>0</v>
      </c>
      <c r="K308" s="357">
        <v>0</v>
      </c>
      <c r="L308" s="357">
        <v>1361656.92</v>
      </c>
      <c r="M308" s="357">
        <v>0</v>
      </c>
      <c r="N308" s="357">
        <v>0</v>
      </c>
      <c r="O308" s="357">
        <v>35231573.9</v>
      </c>
      <c r="P308" s="357">
        <v>0</v>
      </c>
      <c r="Q308" s="357">
        <v>0</v>
      </c>
      <c r="R308" s="357">
        <v>35231573.9</v>
      </c>
      <c r="S308" s="357">
        <v>23079.89</v>
      </c>
      <c r="T308" s="357">
        <v>0</v>
      </c>
      <c r="U308" s="357">
        <v>0</v>
      </c>
      <c r="V308" s="357">
        <v>23079.89</v>
      </c>
      <c r="W308" s="357">
        <v>11086.1</v>
      </c>
      <c r="X308" s="357">
        <v>0</v>
      </c>
      <c r="Y308" s="357">
        <v>0</v>
      </c>
      <c r="Z308" s="357">
        <v>11086.1</v>
      </c>
      <c r="AA308" s="357">
        <v>11993.79</v>
      </c>
      <c r="AB308" s="357">
        <v>0</v>
      </c>
      <c r="AC308" s="357">
        <v>0</v>
      </c>
      <c r="AD308" s="357">
        <v>0</v>
      </c>
      <c r="AE308" s="357">
        <v>0</v>
      </c>
      <c r="AF308" s="357">
        <v>0</v>
      </c>
      <c r="AG308" s="357">
        <v>11993.79</v>
      </c>
      <c r="AH308" s="357">
        <v>0</v>
      </c>
      <c r="AI308" s="357">
        <v>0</v>
      </c>
      <c r="AJ308" s="357">
        <v>11993.79</v>
      </c>
      <c r="AK308" s="357">
        <v>11993.79</v>
      </c>
      <c r="AL308" s="357">
        <v>0</v>
      </c>
      <c r="AM308" s="357">
        <v>0</v>
      </c>
      <c r="AN308" s="357">
        <v>11993.79</v>
      </c>
      <c r="AO308" s="357">
        <v>1860678.89</v>
      </c>
      <c r="AP308" s="357">
        <v>0</v>
      </c>
      <c r="AQ308" s="357">
        <v>0</v>
      </c>
      <c r="AR308" s="357">
        <v>1860678.89</v>
      </c>
      <c r="AS308" s="357">
        <v>0</v>
      </c>
      <c r="AT308" s="357">
        <v>0</v>
      </c>
      <c r="AU308" s="357">
        <v>0</v>
      </c>
      <c r="AV308" s="357">
        <v>0</v>
      </c>
      <c r="AW308" s="357">
        <v>567708.67</v>
      </c>
      <c r="AX308" s="357">
        <v>0</v>
      </c>
      <c r="AY308" s="357">
        <v>0</v>
      </c>
      <c r="AZ308" s="357">
        <v>567708.67</v>
      </c>
      <c r="BA308" s="357">
        <v>1292970.22</v>
      </c>
      <c r="BB308" s="357">
        <v>0</v>
      </c>
      <c r="BC308" s="357">
        <v>0</v>
      </c>
      <c r="BD308" s="357">
        <v>1292970.22</v>
      </c>
      <c r="BE308" s="357">
        <v>1658304.88</v>
      </c>
      <c r="BF308" s="357">
        <v>0</v>
      </c>
      <c r="BG308" s="357">
        <v>0</v>
      </c>
      <c r="BH308" s="357">
        <v>1658304.88</v>
      </c>
      <c r="BI308" s="357">
        <v>1460.48</v>
      </c>
      <c r="BJ308" s="357">
        <v>0</v>
      </c>
      <c r="BK308" s="357">
        <v>0</v>
      </c>
      <c r="BL308" s="357">
        <v>1460.48</v>
      </c>
      <c r="BM308" s="357">
        <v>2462.15</v>
      </c>
      <c r="BN308" s="357">
        <v>0</v>
      </c>
      <c r="BO308" s="357">
        <v>0</v>
      </c>
      <c r="BP308" s="357">
        <v>2462.15</v>
      </c>
      <c r="BQ308" s="357">
        <v>2955197.73</v>
      </c>
      <c r="BR308" s="357">
        <v>0</v>
      </c>
      <c r="BS308" s="357">
        <v>0</v>
      </c>
      <c r="BT308" s="357">
        <v>0</v>
      </c>
      <c r="BU308" s="357">
        <v>0</v>
      </c>
      <c r="BV308" s="357">
        <v>0</v>
      </c>
      <c r="BW308" s="357">
        <v>2955197.73</v>
      </c>
      <c r="BX308" s="357">
        <v>0</v>
      </c>
      <c r="BY308" s="357">
        <v>0</v>
      </c>
      <c r="BZ308" s="357">
        <v>2955197.73</v>
      </c>
      <c r="CA308" s="357">
        <v>120786.55</v>
      </c>
      <c r="CB308" s="357">
        <v>0</v>
      </c>
      <c r="CC308" s="357">
        <v>0</v>
      </c>
      <c r="CD308" s="357">
        <v>120786.55</v>
      </c>
      <c r="CE308" s="357">
        <v>1366075.54</v>
      </c>
      <c r="CF308" s="357">
        <v>0</v>
      </c>
      <c r="CG308" s="357">
        <v>0</v>
      </c>
      <c r="CH308" s="357">
        <v>1366075.54</v>
      </c>
      <c r="CI308" s="357">
        <v>1486862.09</v>
      </c>
      <c r="CJ308" s="357">
        <v>0</v>
      </c>
      <c r="CK308" s="357">
        <v>0</v>
      </c>
      <c r="CL308" s="357">
        <v>0</v>
      </c>
      <c r="CM308" s="357">
        <v>0</v>
      </c>
      <c r="CN308" s="357">
        <v>0</v>
      </c>
      <c r="CO308" s="357">
        <v>1486862.09</v>
      </c>
      <c r="CP308" s="357">
        <v>0</v>
      </c>
      <c r="CQ308" s="357">
        <v>0</v>
      </c>
      <c r="CR308" s="357">
        <v>1486862.09</v>
      </c>
      <c r="CS308" s="357">
        <v>91222.04</v>
      </c>
      <c r="CT308" s="357">
        <v>0</v>
      </c>
      <c r="CU308" s="357">
        <v>0</v>
      </c>
      <c r="CV308" s="357">
        <v>91222.04</v>
      </c>
      <c r="CW308" s="357">
        <v>11463.28</v>
      </c>
      <c r="CX308" s="357">
        <v>0</v>
      </c>
      <c r="CY308" s="357">
        <v>0</v>
      </c>
      <c r="CZ308" s="357">
        <v>11463.28</v>
      </c>
      <c r="DA308" s="357">
        <v>365.12</v>
      </c>
      <c r="DB308" s="357">
        <v>0</v>
      </c>
      <c r="DC308" s="357">
        <v>0</v>
      </c>
      <c r="DD308" s="357">
        <v>365.12</v>
      </c>
      <c r="DE308" s="357">
        <v>0</v>
      </c>
      <c r="DF308" s="357">
        <v>0</v>
      </c>
      <c r="DG308" s="357">
        <v>0</v>
      </c>
      <c r="DH308" s="357">
        <v>0</v>
      </c>
      <c r="DI308" s="357">
        <v>0</v>
      </c>
      <c r="DJ308" s="357">
        <v>0</v>
      </c>
      <c r="DK308" s="357">
        <v>0</v>
      </c>
      <c r="DL308" s="357">
        <v>0</v>
      </c>
      <c r="DM308" s="357">
        <v>0</v>
      </c>
      <c r="DN308" s="357">
        <v>0</v>
      </c>
      <c r="DO308" s="357">
        <v>0</v>
      </c>
      <c r="DP308" s="357">
        <v>0</v>
      </c>
      <c r="DQ308" s="357">
        <v>103050.44</v>
      </c>
      <c r="DR308" s="357">
        <v>0</v>
      </c>
      <c r="DS308" s="357">
        <v>0</v>
      </c>
      <c r="DT308" s="357">
        <v>0</v>
      </c>
      <c r="DU308" s="357">
        <v>0</v>
      </c>
      <c r="DV308" s="357">
        <v>0</v>
      </c>
      <c r="DW308" s="357">
        <v>103050.44</v>
      </c>
      <c r="DX308" s="357">
        <v>0</v>
      </c>
      <c r="DY308" s="357">
        <v>0</v>
      </c>
      <c r="DZ308" s="357">
        <v>103050.44</v>
      </c>
      <c r="EA308" s="357">
        <v>0</v>
      </c>
      <c r="EB308" s="357">
        <v>0</v>
      </c>
      <c r="EC308" s="357">
        <v>0</v>
      </c>
      <c r="ED308" s="357">
        <v>0</v>
      </c>
      <c r="EE308" s="357">
        <v>0</v>
      </c>
      <c r="EF308" s="357">
        <v>0</v>
      </c>
      <c r="EG308" s="357">
        <v>0</v>
      </c>
      <c r="EH308" s="357">
        <v>0</v>
      </c>
      <c r="EI308" s="357">
        <v>0</v>
      </c>
      <c r="EJ308" s="357">
        <v>0</v>
      </c>
      <c r="EK308" s="357">
        <v>231220.57</v>
      </c>
      <c r="EL308" s="357">
        <v>0</v>
      </c>
      <c r="EM308" s="357">
        <v>0</v>
      </c>
      <c r="EN308" s="357">
        <v>231220.57</v>
      </c>
      <c r="EO308" s="357">
        <v>231220.57</v>
      </c>
      <c r="EP308" s="357">
        <v>0</v>
      </c>
      <c r="EQ308" s="357">
        <v>0</v>
      </c>
      <c r="ER308" s="357">
        <v>0</v>
      </c>
      <c r="ES308" s="357">
        <v>0</v>
      </c>
      <c r="ET308" s="357">
        <v>0</v>
      </c>
      <c r="EU308" s="357">
        <v>231220.57</v>
      </c>
      <c r="EV308" s="357">
        <v>0</v>
      </c>
      <c r="EW308" s="357">
        <v>0</v>
      </c>
      <c r="EX308" s="357">
        <v>231220.57</v>
      </c>
      <c r="EY308" s="357">
        <v>30443249.3</v>
      </c>
      <c r="EZ308" s="357">
        <v>0</v>
      </c>
      <c r="FA308" s="357">
        <v>0</v>
      </c>
      <c r="FB308" s="357">
        <v>30443249.3</v>
      </c>
      <c r="FC308" s="277">
        <v>0</v>
      </c>
      <c r="FD308" s="205"/>
    </row>
    <row r="309" spans="1:160" ht="12.75">
      <c r="A309" s="169">
        <v>302</v>
      </c>
      <c r="B309" s="172" t="s">
        <v>534</v>
      </c>
      <c r="C309" s="258" t="s">
        <v>535</v>
      </c>
      <c r="D309" s="235">
        <v>41639</v>
      </c>
      <c r="E309" s="357">
        <v>141110370</v>
      </c>
      <c r="F309" s="357">
        <v>0</v>
      </c>
      <c r="G309" s="357">
        <v>0</v>
      </c>
      <c r="H309" s="357">
        <v>141110370</v>
      </c>
      <c r="I309" s="357">
        <v>66462984</v>
      </c>
      <c r="J309" s="357">
        <v>0</v>
      </c>
      <c r="K309" s="357">
        <v>0</v>
      </c>
      <c r="L309" s="357">
        <v>-749615</v>
      </c>
      <c r="M309" s="357">
        <v>0</v>
      </c>
      <c r="N309" s="357">
        <v>0</v>
      </c>
      <c r="O309" s="357">
        <v>65713369</v>
      </c>
      <c r="P309" s="357">
        <v>0</v>
      </c>
      <c r="Q309" s="357">
        <v>0</v>
      </c>
      <c r="R309" s="357">
        <v>65713369</v>
      </c>
      <c r="S309" s="357">
        <v>57634</v>
      </c>
      <c r="T309" s="357">
        <v>0</v>
      </c>
      <c r="U309" s="357">
        <v>0</v>
      </c>
      <c r="V309" s="357">
        <v>57634</v>
      </c>
      <c r="W309" s="357">
        <v>5044</v>
      </c>
      <c r="X309" s="357">
        <v>0</v>
      </c>
      <c r="Y309" s="357">
        <v>0</v>
      </c>
      <c r="Z309" s="357">
        <v>5044</v>
      </c>
      <c r="AA309" s="357">
        <v>52590</v>
      </c>
      <c r="AB309" s="357">
        <v>0</v>
      </c>
      <c r="AC309" s="357">
        <v>0</v>
      </c>
      <c r="AD309" s="357">
        <v>0</v>
      </c>
      <c r="AE309" s="357">
        <v>0</v>
      </c>
      <c r="AF309" s="357">
        <v>0</v>
      </c>
      <c r="AG309" s="357">
        <v>52590</v>
      </c>
      <c r="AH309" s="357">
        <v>0</v>
      </c>
      <c r="AI309" s="357">
        <v>0</v>
      </c>
      <c r="AJ309" s="357">
        <v>52590</v>
      </c>
      <c r="AK309" s="357">
        <v>52590</v>
      </c>
      <c r="AL309" s="357">
        <v>0</v>
      </c>
      <c r="AM309" s="357">
        <v>0</v>
      </c>
      <c r="AN309" s="357">
        <v>52590</v>
      </c>
      <c r="AO309" s="357">
        <v>1175366</v>
      </c>
      <c r="AP309" s="357">
        <v>0</v>
      </c>
      <c r="AQ309" s="357">
        <v>0</v>
      </c>
      <c r="AR309" s="357">
        <v>1175366</v>
      </c>
      <c r="AS309" s="357">
        <v>0</v>
      </c>
      <c r="AT309" s="357">
        <v>0</v>
      </c>
      <c r="AU309" s="357">
        <v>0</v>
      </c>
      <c r="AV309" s="357">
        <v>0</v>
      </c>
      <c r="AW309" s="357">
        <v>1444880</v>
      </c>
      <c r="AX309" s="357">
        <v>0</v>
      </c>
      <c r="AY309" s="357">
        <v>0</v>
      </c>
      <c r="AZ309" s="357">
        <v>1444880</v>
      </c>
      <c r="BA309" s="357">
        <v>-269514</v>
      </c>
      <c r="BB309" s="357">
        <v>0</v>
      </c>
      <c r="BC309" s="357">
        <v>0</v>
      </c>
      <c r="BD309" s="357">
        <v>-269514</v>
      </c>
      <c r="BE309" s="357">
        <v>5627158</v>
      </c>
      <c r="BF309" s="357">
        <v>0</v>
      </c>
      <c r="BG309" s="357">
        <v>0</v>
      </c>
      <c r="BH309" s="357">
        <v>5627158</v>
      </c>
      <c r="BI309" s="357">
        <v>44151</v>
      </c>
      <c r="BJ309" s="357">
        <v>0</v>
      </c>
      <c r="BK309" s="357">
        <v>0</v>
      </c>
      <c r="BL309" s="357">
        <v>44151</v>
      </c>
      <c r="BM309" s="357">
        <v>0</v>
      </c>
      <c r="BN309" s="357">
        <v>0</v>
      </c>
      <c r="BO309" s="357">
        <v>0</v>
      </c>
      <c r="BP309" s="357">
        <v>0</v>
      </c>
      <c r="BQ309" s="357">
        <v>5401795</v>
      </c>
      <c r="BR309" s="357">
        <v>0</v>
      </c>
      <c r="BS309" s="357">
        <v>0</v>
      </c>
      <c r="BT309" s="357">
        <v>162054</v>
      </c>
      <c r="BU309" s="357">
        <v>0</v>
      </c>
      <c r="BV309" s="357">
        <v>0</v>
      </c>
      <c r="BW309" s="357">
        <v>5563849</v>
      </c>
      <c r="BX309" s="357">
        <v>0</v>
      </c>
      <c r="BY309" s="357">
        <v>0</v>
      </c>
      <c r="BZ309" s="357">
        <v>5563849</v>
      </c>
      <c r="CA309" s="357">
        <v>218786</v>
      </c>
      <c r="CB309" s="357">
        <v>0</v>
      </c>
      <c r="CC309" s="357">
        <v>0</v>
      </c>
      <c r="CD309" s="357">
        <v>218786</v>
      </c>
      <c r="CE309" s="357">
        <v>1901739</v>
      </c>
      <c r="CF309" s="357">
        <v>0</v>
      </c>
      <c r="CG309" s="357">
        <v>0</v>
      </c>
      <c r="CH309" s="357">
        <v>1901739</v>
      </c>
      <c r="CI309" s="357">
        <v>2120525</v>
      </c>
      <c r="CJ309" s="357">
        <v>0</v>
      </c>
      <c r="CK309" s="357">
        <v>0</v>
      </c>
      <c r="CL309" s="357">
        <v>254463</v>
      </c>
      <c r="CM309" s="357">
        <v>0</v>
      </c>
      <c r="CN309" s="357">
        <v>0</v>
      </c>
      <c r="CO309" s="357">
        <v>2374988</v>
      </c>
      <c r="CP309" s="357">
        <v>0</v>
      </c>
      <c r="CQ309" s="357">
        <v>0</v>
      </c>
      <c r="CR309" s="357">
        <v>2374988</v>
      </c>
      <c r="CS309" s="357">
        <v>245983</v>
      </c>
      <c r="CT309" s="357">
        <v>0</v>
      </c>
      <c r="CU309" s="357">
        <v>0</v>
      </c>
      <c r="CV309" s="357">
        <v>245983</v>
      </c>
      <c r="CW309" s="357">
        <v>46088</v>
      </c>
      <c r="CX309" s="357">
        <v>0</v>
      </c>
      <c r="CY309" s="357">
        <v>0</v>
      </c>
      <c r="CZ309" s="357">
        <v>46088</v>
      </c>
      <c r="DA309" s="357">
        <v>5609</v>
      </c>
      <c r="DB309" s="357">
        <v>0</v>
      </c>
      <c r="DC309" s="357">
        <v>0</v>
      </c>
      <c r="DD309" s="357">
        <v>5609</v>
      </c>
      <c r="DE309" s="357">
        <v>0</v>
      </c>
      <c r="DF309" s="357">
        <v>0</v>
      </c>
      <c r="DG309" s="357">
        <v>0</v>
      </c>
      <c r="DH309" s="357">
        <v>0</v>
      </c>
      <c r="DI309" s="357">
        <v>0</v>
      </c>
      <c r="DJ309" s="357">
        <v>0</v>
      </c>
      <c r="DK309" s="357">
        <v>0</v>
      </c>
      <c r="DL309" s="357">
        <v>0</v>
      </c>
      <c r="DM309" s="357">
        <v>0</v>
      </c>
      <c r="DN309" s="357">
        <v>0</v>
      </c>
      <c r="DO309" s="357">
        <v>0</v>
      </c>
      <c r="DP309" s="357">
        <v>0</v>
      </c>
      <c r="DQ309" s="357">
        <v>297680</v>
      </c>
      <c r="DR309" s="357">
        <v>0</v>
      </c>
      <c r="DS309" s="357">
        <v>0</v>
      </c>
      <c r="DT309" s="357">
        <v>8930</v>
      </c>
      <c r="DU309" s="357">
        <v>0</v>
      </c>
      <c r="DV309" s="357">
        <v>0</v>
      </c>
      <c r="DW309" s="357">
        <v>306610</v>
      </c>
      <c r="DX309" s="357">
        <v>0</v>
      </c>
      <c r="DY309" s="357">
        <v>0</v>
      </c>
      <c r="DZ309" s="357">
        <v>306610</v>
      </c>
      <c r="EA309" s="357">
        <v>0</v>
      </c>
      <c r="EB309" s="357">
        <v>0</v>
      </c>
      <c r="EC309" s="357">
        <v>496460</v>
      </c>
      <c r="ED309" s="357">
        <v>0</v>
      </c>
      <c r="EE309" s="357">
        <v>0</v>
      </c>
      <c r="EF309" s="357">
        <v>496460</v>
      </c>
      <c r="EG309" s="357">
        <v>65528</v>
      </c>
      <c r="EH309" s="357">
        <v>0</v>
      </c>
      <c r="EI309" s="357">
        <v>0</v>
      </c>
      <c r="EJ309" s="357">
        <v>65528</v>
      </c>
      <c r="EK309" s="357">
        <v>563000</v>
      </c>
      <c r="EL309" s="357">
        <v>0</v>
      </c>
      <c r="EM309" s="357">
        <v>0</v>
      </c>
      <c r="EN309" s="357">
        <v>563000</v>
      </c>
      <c r="EO309" s="357">
        <v>1124988</v>
      </c>
      <c r="EP309" s="357">
        <v>0</v>
      </c>
      <c r="EQ309" s="357">
        <v>0</v>
      </c>
      <c r="ER309" s="357">
        <v>112499</v>
      </c>
      <c r="ES309" s="357">
        <v>0</v>
      </c>
      <c r="ET309" s="357">
        <v>0</v>
      </c>
      <c r="EU309" s="357">
        <v>1237487</v>
      </c>
      <c r="EV309" s="357">
        <v>0</v>
      </c>
      <c r="EW309" s="357">
        <v>0</v>
      </c>
      <c r="EX309" s="357">
        <v>1237487</v>
      </c>
      <c r="EY309" s="357">
        <v>56177845</v>
      </c>
      <c r="EZ309" s="357">
        <v>0</v>
      </c>
      <c r="FA309" s="357">
        <v>0</v>
      </c>
      <c r="FB309" s="357">
        <v>56177845</v>
      </c>
      <c r="FC309" s="277">
        <v>0</v>
      </c>
      <c r="FD309" s="205"/>
    </row>
    <row r="310" spans="1:160" ht="12.75">
      <c r="A310" s="169">
        <v>303</v>
      </c>
      <c r="B310" s="172" t="s">
        <v>536</v>
      </c>
      <c r="C310" s="258" t="s">
        <v>537</v>
      </c>
      <c r="D310" s="235">
        <v>41550</v>
      </c>
      <c r="E310" s="357">
        <v>193800687</v>
      </c>
      <c r="F310" s="357">
        <v>0</v>
      </c>
      <c r="G310" s="357">
        <v>0</v>
      </c>
      <c r="H310" s="357">
        <v>193800687</v>
      </c>
      <c r="I310" s="357">
        <v>91280124</v>
      </c>
      <c r="J310" s="357">
        <v>0</v>
      </c>
      <c r="K310" s="357">
        <v>0</v>
      </c>
      <c r="L310" s="357">
        <v>-207000</v>
      </c>
      <c r="M310" s="357">
        <v>0</v>
      </c>
      <c r="N310" s="357">
        <v>0</v>
      </c>
      <c r="O310" s="357">
        <v>91073124</v>
      </c>
      <c r="P310" s="357">
        <v>0</v>
      </c>
      <c r="Q310" s="357">
        <v>0</v>
      </c>
      <c r="R310" s="357">
        <v>91073124</v>
      </c>
      <c r="S310" s="357">
        <v>84904</v>
      </c>
      <c r="T310" s="357">
        <v>0</v>
      </c>
      <c r="U310" s="357">
        <v>0</v>
      </c>
      <c r="V310" s="357">
        <v>84904</v>
      </c>
      <c r="W310" s="357">
        <v>6279</v>
      </c>
      <c r="X310" s="357">
        <v>0</v>
      </c>
      <c r="Y310" s="357">
        <v>0</v>
      </c>
      <c r="Z310" s="357">
        <v>6279</v>
      </c>
      <c r="AA310" s="357">
        <v>78625</v>
      </c>
      <c r="AB310" s="357">
        <v>0</v>
      </c>
      <c r="AC310" s="357">
        <v>0</v>
      </c>
      <c r="AD310" s="357">
        <v>0</v>
      </c>
      <c r="AE310" s="357">
        <v>0</v>
      </c>
      <c r="AF310" s="357">
        <v>0</v>
      </c>
      <c r="AG310" s="357">
        <v>78625</v>
      </c>
      <c r="AH310" s="357">
        <v>0</v>
      </c>
      <c r="AI310" s="357">
        <v>0</v>
      </c>
      <c r="AJ310" s="357">
        <v>78625</v>
      </c>
      <c r="AK310" s="357">
        <v>78625</v>
      </c>
      <c r="AL310" s="357">
        <v>0</v>
      </c>
      <c r="AM310" s="357">
        <v>0</v>
      </c>
      <c r="AN310" s="357">
        <v>78625</v>
      </c>
      <c r="AO310" s="357">
        <v>1800000</v>
      </c>
      <c r="AP310" s="357">
        <v>0</v>
      </c>
      <c r="AQ310" s="357">
        <v>0</v>
      </c>
      <c r="AR310" s="357">
        <v>1800000</v>
      </c>
      <c r="AS310" s="357">
        <v>0</v>
      </c>
      <c r="AT310" s="357">
        <v>0</v>
      </c>
      <c r="AU310" s="357">
        <v>0</v>
      </c>
      <c r="AV310" s="357">
        <v>0</v>
      </c>
      <c r="AW310" s="357">
        <v>1891840</v>
      </c>
      <c r="AX310" s="357">
        <v>0</v>
      </c>
      <c r="AY310" s="357">
        <v>0</v>
      </c>
      <c r="AZ310" s="357">
        <v>1891840</v>
      </c>
      <c r="BA310" s="357">
        <v>-91840</v>
      </c>
      <c r="BB310" s="357">
        <v>0</v>
      </c>
      <c r="BC310" s="357">
        <v>0</v>
      </c>
      <c r="BD310" s="357">
        <v>-91840</v>
      </c>
      <c r="BE310" s="357">
        <v>3855863</v>
      </c>
      <c r="BF310" s="357">
        <v>0</v>
      </c>
      <c r="BG310" s="357">
        <v>0</v>
      </c>
      <c r="BH310" s="357">
        <v>3855863</v>
      </c>
      <c r="BI310" s="357">
        <v>34933</v>
      </c>
      <c r="BJ310" s="357">
        <v>0</v>
      </c>
      <c r="BK310" s="357">
        <v>0</v>
      </c>
      <c r="BL310" s="357">
        <v>34933</v>
      </c>
      <c r="BM310" s="357">
        <v>28006</v>
      </c>
      <c r="BN310" s="357">
        <v>0</v>
      </c>
      <c r="BO310" s="357">
        <v>0</v>
      </c>
      <c r="BP310" s="357">
        <v>28006</v>
      </c>
      <c r="BQ310" s="357">
        <v>3826962</v>
      </c>
      <c r="BR310" s="357">
        <v>0</v>
      </c>
      <c r="BS310" s="357">
        <v>0</v>
      </c>
      <c r="BT310" s="357">
        <v>0</v>
      </c>
      <c r="BU310" s="357">
        <v>0</v>
      </c>
      <c r="BV310" s="357">
        <v>0</v>
      </c>
      <c r="BW310" s="357">
        <v>3826962</v>
      </c>
      <c r="BX310" s="357">
        <v>0</v>
      </c>
      <c r="BY310" s="357">
        <v>0</v>
      </c>
      <c r="BZ310" s="357">
        <v>3826962</v>
      </c>
      <c r="CA310" s="357">
        <v>80000</v>
      </c>
      <c r="CB310" s="357">
        <v>0</v>
      </c>
      <c r="CC310" s="357">
        <v>0</v>
      </c>
      <c r="CD310" s="357">
        <v>80000</v>
      </c>
      <c r="CE310" s="357">
        <v>1575670</v>
      </c>
      <c r="CF310" s="357">
        <v>0</v>
      </c>
      <c r="CG310" s="357">
        <v>0</v>
      </c>
      <c r="CH310" s="357">
        <v>1575670</v>
      </c>
      <c r="CI310" s="357">
        <v>1655670</v>
      </c>
      <c r="CJ310" s="357">
        <v>0</v>
      </c>
      <c r="CK310" s="357">
        <v>0</v>
      </c>
      <c r="CL310" s="357">
        <v>0</v>
      </c>
      <c r="CM310" s="357">
        <v>0</v>
      </c>
      <c r="CN310" s="357">
        <v>0</v>
      </c>
      <c r="CO310" s="357">
        <v>1655670</v>
      </c>
      <c r="CP310" s="357">
        <v>0</v>
      </c>
      <c r="CQ310" s="357">
        <v>0</v>
      </c>
      <c r="CR310" s="357">
        <v>1655670</v>
      </c>
      <c r="CS310" s="357">
        <v>40018</v>
      </c>
      <c r="CT310" s="357">
        <v>0</v>
      </c>
      <c r="CU310" s="357">
        <v>0</v>
      </c>
      <c r="CV310" s="357">
        <v>40018</v>
      </c>
      <c r="CW310" s="357">
        <v>40241</v>
      </c>
      <c r="CX310" s="357">
        <v>0</v>
      </c>
      <c r="CY310" s="357">
        <v>0</v>
      </c>
      <c r="CZ310" s="357">
        <v>40241</v>
      </c>
      <c r="DA310" s="357">
        <v>0</v>
      </c>
      <c r="DB310" s="357">
        <v>0</v>
      </c>
      <c r="DC310" s="357">
        <v>0</v>
      </c>
      <c r="DD310" s="357">
        <v>0</v>
      </c>
      <c r="DE310" s="357">
        <v>12416</v>
      </c>
      <c r="DF310" s="357">
        <v>0</v>
      </c>
      <c r="DG310" s="357">
        <v>0</v>
      </c>
      <c r="DH310" s="357">
        <v>12416</v>
      </c>
      <c r="DI310" s="357">
        <v>46247</v>
      </c>
      <c r="DJ310" s="357">
        <v>0</v>
      </c>
      <c r="DK310" s="357">
        <v>0</v>
      </c>
      <c r="DL310" s="357">
        <v>46247</v>
      </c>
      <c r="DM310" s="357">
        <v>0</v>
      </c>
      <c r="DN310" s="357">
        <v>0</v>
      </c>
      <c r="DO310" s="357">
        <v>0</v>
      </c>
      <c r="DP310" s="357">
        <v>0</v>
      </c>
      <c r="DQ310" s="357">
        <v>138922</v>
      </c>
      <c r="DR310" s="357">
        <v>0</v>
      </c>
      <c r="DS310" s="357">
        <v>0</v>
      </c>
      <c r="DT310" s="357">
        <v>0</v>
      </c>
      <c r="DU310" s="357">
        <v>0</v>
      </c>
      <c r="DV310" s="357">
        <v>0</v>
      </c>
      <c r="DW310" s="357">
        <v>138922</v>
      </c>
      <c r="DX310" s="357">
        <v>0</v>
      </c>
      <c r="DY310" s="357">
        <v>0</v>
      </c>
      <c r="DZ310" s="357">
        <v>138922</v>
      </c>
      <c r="EA310" s="357">
        <v>0</v>
      </c>
      <c r="EB310" s="357">
        <v>0</v>
      </c>
      <c r="EC310" s="357">
        <v>0</v>
      </c>
      <c r="ED310" s="357">
        <v>0</v>
      </c>
      <c r="EE310" s="357">
        <v>0</v>
      </c>
      <c r="EF310" s="357">
        <v>0</v>
      </c>
      <c r="EG310" s="357">
        <v>135000</v>
      </c>
      <c r="EH310" s="357">
        <v>0</v>
      </c>
      <c r="EI310" s="357">
        <v>0</v>
      </c>
      <c r="EJ310" s="357">
        <v>135000</v>
      </c>
      <c r="EK310" s="357">
        <v>405000</v>
      </c>
      <c r="EL310" s="357">
        <v>0</v>
      </c>
      <c r="EM310" s="357">
        <v>0</v>
      </c>
      <c r="EN310" s="357">
        <v>405000</v>
      </c>
      <c r="EO310" s="357">
        <v>540000</v>
      </c>
      <c r="EP310" s="357">
        <v>0</v>
      </c>
      <c r="EQ310" s="357">
        <v>0</v>
      </c>
      <c r="ER310" s="357">
        <v>0</v>
      </c>
      <c r="ES310" s="357">
        <v>0</v>
      </c>
      <c r="ET310" s="357">
        <v>0</v>
      </c>
      <c r="EU310" s="357">
        <v>540000</v>
      </c>
      <c r="EV310" s="357">
        <v>0</v>
      </c>
      <c r="EW310" s="357">
        <v>0</v>
      </c>
      <c r="EX310" s="357">
        <v>540000</v>
      </c>
      <c r="EY310" s="357">
        <v>84832945</v>
      </c>
      <c r="EZ310" s="357">
        <v>0</v>
      </c>
      <c r="FA310" s="357">
        <v>0</v>
      </c>
      <c r="FB310" s="357">
        <v>84832945</v>
      </c>
      <c r="FC310" s="277">
        <v>0</v>
      </c>
      <c r="FD310" s="205"/>
    </row>
    <row r="311" spans="1:160" ht="12.75">
      <c r="A311" s="169">
        <v>304</v>
      </c>
      <c r="B311" s="172" t="s">
        <v>538</v>
      </c>
      <c r="C311" s="258" t="s">
        <v>539</v>
      </c>
      <c r="D311" s="235">
        <v>220114</v>
      </c>
      <c r="E311" s="357">
        <v>28748920</v>
      </c>
      <c r="F311" s="357">
        <v>0</v>
      </c>
      <c r="G311" s="357">
        <v>0</v>
      </c>
      <c r="H311" s="357">
        <v>28748920</v>
      </c>
      <c r="I311" s="357">
        <v>13540741</v>
      </c>
      <c r="J311" s="357">
        <v>0</v>
      </c>
      <c r="K311" s="357">
        <v>0</v>
      </c>
      <c r="L311" s="357">
        <v>0</v>
      </c>
      <c r="M311" s="357">
        <v>0</v>
      </c>
      <c r="N311" s="357">
        <v>0</v>
      </c>
      <c r="O311" s="357">
        <v>13540741</v>
      </c>
      <c r="P311" s="357">
        <v>0</v>
      </c>
      <c r="Q311" s="357">
        <v>0</v>
      </c>
      <c r="R311" s="357">
        <v>13540741</v>
      </c>
      <c r="S311" s="357">
        <v>66429</v>
      </c>
      <c r="T311" s="357">
        <v>0</v>
      </c>
      <c r="U311" s="357">
        <v>0</v>
      </c>
      <c r="V311" s="357">
        <v>66429</v>
      </c>
      <c r="W311" s="357">
        <v>2197</v>
      </c>
      <c r="X311" s="357">
        <v>0</v>
      </c>
      <c r="Y311" s="357">
        <v>0</v>
      </c>
      <c r="Z311" s="357">
        <v>2197</v>
      </c>
      <c r="AA311" s="357">
        <v>64232</v>
      </c>
      <c r="AB311" s="357">
        <v>0</v>
      </c>
      <c r="AC311" s="357">
        <v>0</v>
      </c>
      <c r="AD311" s="357">
        <v>0</v>
      </c>
      <c r="AE311" s="357">
        <v>0</v>
      </c>
      <c r="AF311" s="357">
        <v>0</v>
      </c>
      <c r="AG311" s="357">
        <v>64232</v>
      </c>
      <c r="AH311" s="357">
        <v>0</v>
      </c>
      <c r="AI311" s="357">
        <v>0</v>
      </c>
      <c r="AJ311" s="357">
        <v>64232</v>
      </c>
      <c r="AK311" s="357">
        <v>64232</v>
      </c>
      <c r="AL311" s="357">
        <v>0</v>
      </c>
      <c r="AM311" s="357">
        <v>0</v>
      </c>
      <c r="AN311" s="357">
        <v>64232</v>
      </c>
      <c r="AO311" s="357">
        <v>1523918</v>
      </c>
      <c r="AP311" s="357">
        <v>0</v>
      </c>
      <c r="AQ311" s="357">
        <v>0</v>
      </c>
      <c r="AR311" s="357">
        <v>1523918</v>
      </c>
      <c r="AS311" s="357">
        <v>10000</v>
      </c>
      <c r="AT311" s="357">
        <v>0</v>
      </c>
      <c r="AU311" s="357">
        <v>0</v>
      </c>
      <c r="AV311" s="357">
        <v>10000</v>
      </c>
      <c r="AW311" s="357">
        <v>215784</v>
      </c>
      <c r="AX311" s="357">
        <v>0</v>
      </c>
      <c r="AY311" s="357">
        <v>0</v>
      </c>
      <c r="AZ311" s="357">
        <v>215784</v>
      </c>
      <c r="BA311" s="357">
        <v>1308134</v>
      </c>
      <c r="BB311" s="357">
        <v>0</v>
      </c>
      <c r="BC311" s="357">
        <v>0</v>
      </c>
      <c r="BD311" s="357">
        <v>1308134</v>
      </c>
      <c r="BE311" s="357">
        <v>734305</v>
      </c>
      <c r="BF311" s="357">
        <v>0</v>
      </c>
      <c r="BG311" s="357">
        <v>0</v>
      </c>
      <c r="BH311" s="357">
        <v>734305</v>
      </c>
      <c r="BI311" s="357">
        <v>71448</v>
      </c>
      <c r="BJ311" s="357">
        <v>0</v>
      </c>
      <c r="BK311" s="357">
        <v>0</v>
      </c>
      <c r="BL311" s="357">
        <v>71448</v>
      </c>
      <c r="BM311" s="357">
        <v>48149</v>
      </c>
      <c r="BN311" s="357">
        <v>0</v>
      </c>
      <c r="BO311" s="357">
        <v>0</v>
      </c>
      <c r="BP311" s="357">
        <v>48149</v>
      </c>
      <c r="BQ311" s="357">
        <v>2162036</v>
      </c>
      <c r="BR311" s="357">
        <v>0</v>
      </c>
      <c r="BS311" s="357">
        <v>0</v>
      </c>
      <c r="BT311" s="357">
        <v>0</v>
      </c>
      <c r="BU311" s="357">
        <v>0</v>
      </c>
      <c r="BV311" s="357">
        <v>0</v>
      </c>
      <c r="BW311" s="357">
        <v>2162036</v>
      </c>
      <c r="BX311" s="357">
        <v>0</v>
      </c>
      <c r="BY311" s="357">
        <v>0</v>
      </c>
      <c r="BZ311" s="357">
        <v>2162036</v>
      </c>
      <c r="CA311" s="357">
        <v>40000</v>
      </c>
      <c r="CB311" s="357">
        <v>0</v>
      </c>
      <c r="CC311" s="357">
        <v>0</v>
      </c>
      <c r="CD311" s="357">
        <v>40000</v>
      </c>
      <c r="CE311" s="357">
        <v>323189</v>
      </c>
      <c r="CF311" s="357">
        <v>0</v>
      </c>
      <c r="CG311" s="357">
        <v>0</v>
      </c>
      <c r="CH311" s="357">
        <v>323189</v>
      </c>
      <c r="CI311" s="357">
        <v>363189</v>
      </c>
      <c r="CJ311" s="357">
        <v>0</v>
      </c>
      <c r="CK311" s="357">
        <v>0</v>
      </c>
      <c r="CL311" s="357">
        <v>0</v>
      </c>
      <c r="CM311" s="357">
        <v>0</v>
      </c>
      <c r="CN311" s="357">
        <v>0</v>
      </c>
      <c r="CO311" s="357">
        <v>363189</v>
      </c>
      <c r="CP311" s="357">
        <v>0</v>
      </c>
      <c r="CQ311" s="357">
        <v>0</v>
      </c>
      <c r="CR311" s="357">
        <v>363189</v>
      </c>
      <c r="CS311" s="357">
        <v>61349</v>
      </c>
      <c r="CT311" s="357">
        <v>0</v>
      </c>
      <c r="CU311" s="357">
        <v>0</v>
      </c>
      <c r="CV311" s="357">
        <v>61349</v>
      </c>
      <c r="CW311" s="357">
        <v>12120</v>
      </c>
      <c r="CX311" s="357">
        <v>0</v>
      </c>
      <c r="CY311" s="357">
        <v>0</v>
      </c>
      <c r="CZ311" s="357">
        <v>12120</v>
      </c>
      <c r="DA311" s="357">
        <v>8000</v>
      </c>
      <c r="DB311" s="357">
        <v>0</v>
      </c>
      <c r="DC311" s="357">
        <v>0</v>
      </c>
      <c r="DD311" s="357">
        <v>8000</v>
      </c>
      <c r="DE311" s="357">
        <v>16236</v>
      </c>
      <c r="DF311" s="357">
        <v>0</v>
      </c>
      <c r="DG311" s="357">
        <v>0</v>
      </c>
      <c r="DH311" s="357">
        <v>16236</v>
      </c>
      <c r="DI311" s="357">
        <v>0</v>
      </c>
      <c r="DJ311" s="357">
        <v>0</v>
      </c>
      <c r="DK311" s="357">
        <v>0</v>
      </c>
      <c r="DL311" s="357">
        <v>0</v>
      </c>
      <c r="DM311" s="357">
        <v>0</v>
      </c>
      <c r="DN311" s="357">
        <v>0</v>
      </c>
      <c r="DO311" s="357">
        <v>0</v>
      </c>
      <c r="DP311" s="357">
        <v>0</v>
      </c>
      <c r="DQ311" s="357">
        <v>97705</v>
      </c>
      <c r="DR311" s="357">
        <v>0</v>
      </c>
      <c r="DS311" s="357">
        <v>0</v>
      </c>
      <c r="DT311" s="357">
        <v>0</v>
      </c>
      <c r="DU311" s="357">
        <v>0</v>
      </c>
      <c r="DV311" s="357">
        <v>0</v>
      </c>
      <c r="DW311" s="357">
        <v>97705</v>
      </c>
      <c r="DX311" s="357">
        <v>0</v>
      </c>
      <c r="DY311" s="357">
        <v>0</v>
      </c>
      <c r="DZ311" s="357">
        <v>97705</v>
      </c>
      <c r="EA311" s="357">
        <v>0</v>
      </c>
      <c r="EB311" s="357">
        <v>0</v>
      </c>
      <c r="EC311" s="357">
        <v>10000</v>
      </c>
      <c r="ED311" s="357">
        <v>0</v>
      </c>
      <c r="EE311" s="357">
        <v>0</v>
      </c>
      <c r="EF311" s="357">
        <v>10000</v>
      </c>
      <c r="EG311" s="357">
        <v>20000</v>
      </c>
      <c r="EH311" s="357">
        <v>0</v>
      </c>
      <c r="EI311" s="357">
        <v>0</v>
      </c>
      <c r="EJ311" s="357">
        <v>20000</v>
      </c>
      <c r="EK311" s="357">
        <v>411000</v>
      </c>
      <c r="EL311" s="357">
        <v>0</v>
      </c>
      <c r="EM311" s="357">
        <v>0</v>
      </c>
      <c r="EN311" s="357">
        <v>411000</v>
      </c>
      <c r="EO311" s="357">
        <v>441000</v>
      </c>
      <c r="EP311" s="357">
        <v>0</v>
      </c>
      <c r="EQ311" s="357">
        <v>0</v>
      </c>
      <c r="ER311" s="357">
        <v>0</v>
      </c>
      <c r="ES311" s="357">
        <v>0</v>
      </c>
      <c r="ET311" s="357">
        <v>0</v>
      </c>
      <c r="EU311" s="357">
        <v>441000</v>
      </c>
      <c r="EV311" s="357">
        <v>0</v>
      </c>
      <c r="EW311" s="357">
        <v>0</v>
      </c>
      <c r="EX311" s="357">
        <v>441000</v>
      </c>
      <c r="EY311" s="357">
        <v>10412579</v>
      </c>
      <c r="EZ311" s="357">
        <v>0</v>
      </c>
      <c r="FA311" s="357">
        <v>0</v>
      </c>
      <c r="FB311" s="357">
        <v>10412579</v>
      </c>
      <c r="FC311" s="277">
        <v>0</v>
      </c>
      <c r="FD311" s="205"/>
    </row>
    <row r="312" spans="1:160" ht="12.75">
      <c r="A312" s="169">
        <v>305</v>
      </c>
      <c r="B312" s="172" t="s">
        <v>540</v>
      </c>
      <c r="C312" s="258" t="s">
        <v>541</v>
      </c>
      <c r="D312" s="235">
        <v>41547</v>
      </c>
      <c r="E312" s="357">
        <v>80055381</v>
      </c>
      <c r="F312" s="357">
        <v>0</v>
      </c>
      <c r="G312" s="357">
        <v>0</v>
      </c>
      <c r="H312" s="357">
        <v>80055381</v>
      </c>
      <c r="I312" s="357">
        <v>37706084</v>
      </c>
      <c r="J312" s="357">
        <v>0</v>
      </c>
      <c r="K312" s="357">
        <v>0</v>
      </c>
      <c r="L312" s="357">
        <v>0</v>
      </c>
      <c r="M312" s="357">
        <v>0</v>
      </c>
      <c r="N312" s="357">
        <v>0</v>
      </c>
      <c r="O312" s="357">
        <v>37706084</v>
      </c>
      <c r="P312" s="357">
        <v>0</v>
      </c>
      <c r="Q312" s="357">
        <v>0</v>
      </c>
      <c r="R312" s="357">
        <v>37706084</v>
      </c>
      <c r="S312" s="357">
        <v>44430</v>
      </c>
      <c r="T312" s="357">
        <v>0</v>
      </c>
      <c r="U312" s="357">
        <v>0</v>
      </c>
      <c r="V312" s="357">
        <v>44430</v>
      </c>
      <c r="W312" s="357">
        <v>8570</v>
      </c>
      <c r="X312" s="357">
        <v>0</v>
      </c>
      <c r="Y312" s="357">
        <v>0</v>
      </c>
      <c r="Z312" s="357">
        <v>8570</v>
      </c>
      <c r="AA312" s="357">
        <v>35860</v>
      </c>
      <c r="AB312" s="357">
        <v>0</v>
      </c>
      <c r="AC312" s="357">
        <v>0</v>
      </c>
      <c r="AD312" s="357">
        <v>0</v>
      </c>
      <c r="AE312" s="357">
        <v>0</v>
      </c>
      <c r="AF312" s="357">
        <v>0</v>
      </c>
      <c r="AG312" s="357">
        <v>35860</v>
      </c>
      <c r="AH312" s="357">
        <v>0</v>
      </c>
      <c r="AI312" s="357">
        <v>0</v>
      </c>
      <c r="AJ312" s="357">
        <v>35860</v>
      </c>
      <c r="AK312" s="357">
        <v>35860</v>
      </c>
      <c r="AL312" s="357">
        <v>0</v>
      </c>
      <c r="AM312" s="357">
        <v>0</v>
      </c>
      <c r="AN312" s="357">
        <v>35860</v>
      </c>
      <c r="AO312" s="357">
        <v>3540366</v>
      </c>
      <c r="AP312" s="357">
        <v>0</v>
      </c>
      <c r="AQ312" s="357">
        <v>0</v>
      </c>
      <c r="AR312" s="357">
        <v>3540366</v>
      </c>
      <c r="AS312" s="357">
        <v>10000</v>
      </c>
      <c r="AT312" s="357">
        <v>0</v>
      </c>
      <c r="AU312" s="357">
        <v>0</v>
      </c>
      <c r="AV312" s="357">
        <v>10000</v>
      </c>
      <c r="AW312" s="357">
        <v>658487</v>
      </c>
      <c r="AX312" s="357">
        <v>0</v>
      </c>
      <c r="AY312" s="357">
        <v>0</v>
      </c>
      <c r="AZ312" s="357">
        <v>658487</v>
      </c>
      <c r="BA312" s="357">
        <v>2881879</v>
      </c>
      <c r="BB312" s="357">
        <v>0</v>
      </c>
      <c r="BC312" s="357">
        <v>0</v>
      </c>
      <c r="BD312" s="357">
        <v>2881879</v>
      </c>
      <c r="BE312" s="357">
        <v>2821699</v>
      </c>
      <c r="BF312" s="357">
        <v>0</v>
      </c>
      <c r="BG312" s="357">
        <v>0</v>
      </c>
      <c r="BH312" s="357">
        <v>2821699</v>
      </c>
      <c r="BI312" s="357">
        <v>78521</v>
      </c>
      <c r="BJ312" s="357">
        <v>0</v>
      </c>
      <c r="BK312" s="357">
        <v>0</v>
      </c>
      <c r="BL312" s="357">
        <v>78521</v>
      </c>
      <c r="BM312" s="357">
        <v>88050</v>
      </c>
      <c r="BN312" s="357">
        <v>0</v>
      </c>
      <c r="BO312" s="357">
        <v>0</v>
      </c>
      <c r="BP312" s="357">
        <v>88050</v>
      </c>
      <c r="BQ312" s="357">
        <v>5870149</v>
      </c>
      <c r="BR312" s="357">
        <v>0</v>
      </c>
      <c r="BS312" s="357">
        <v>0</v>
      </c>
      <c r="BT312" s="357">
        <v>117402.98</v>
      </c>
      <c r="BU312" s="357">
        <v>0</v>
      </c>
      <c r="BV312" s="357">
        <v>0</v>
      </c>
      <c r="BW312" s="357">
        <v>5987551.98</v>
      </c>
      <c r="BX312" s="357">
        <v>0</v>
      </c>
      <c r="BY312" s="357">
        <v>0</v>
      </c>
      <c r="BZ312" s="357">
        <v>5987551.98</v>
      </c>
      <c r="CA312" s="357">
        <v>0</v>
      </c>
      <c r="CB312" s="357">
        <v>0</v>
      </c>
      <c r="CC312" s="357">
        <v>0</v>
      </c>
      <c r="CD312" s="357">
        <v>0</v>
      </c>
      <c r="CE312" s="357">
        <v>755749</v>
      </c>
      <c r="CF312" s="357">
        <v>0</v>
      </c>
      <c r="CG312" s="357">
        <v>0</v>
      </c>
      <c r="CH312" s="357">
        <v>755749</v>
      </c>
      <c r="CI312" s="357">
        <v>755749</v>
      </c>
      <c r="CJ312" s="357">
        <v>0</v>
      </c>
      <c r="CK312" s="357">
        <v>0</v>
      </c>
      <c r="CL312" s="357">
        <v>0</v>
      </c>
      <c r="CM312" s="357">
        <v>0</v>
      </c>
      <c r="CN312" s="357">
        <v>0</v>
      </c>
      <c r="CO312" s="357">
        <v>755749</v>
      </c>
      <c r="CP312" s="357">
        <v>0</v>
      </c>
      <c r="CQ312" s="357">
        <v>0</v>
      </c>
      <c r="CR312" s="357">
        <v>755749</v>
      </c>
      <c r="CS312" s="357">
        <v>157943</v>
      </c>
      <c r="CT312" s="357">
        <v>0</v>
      </c>
      <c r="CU312" s="357">
        <v>0</v>
      </c>
      <c r="CV312" s="357">
        <v>157943</v>
      </c>
      <c r="CW312" s="357">
        <v>4865</v>
      </c>
      <c r="CX312" s="357">
        <v>0</v>
      </c>
      <c r="CY312" s="357">
        <v>0</v>
      </c>
      <c r="CZ312" s="357">
        <v>4865</v>
      </c>
      <c r="DA312" s="357">
        <v>1485</v>
      </c>
      <c r="DB312" s="357">
        <v>0</v>
      </c>
      <c r="DC312" s="357">
        <v>0</v>
      </c>
      <c r="DD312" s="357">
        <v>1485</v>
      </c>
      <c r="DE312" s="357">
        <v>64437</v>
      </c>
      <c r="DF312" s="357">
        <v>0</v>
      </c>
      <c r="DG312" s="357">
        <v>0</v>
      </c>
      <c r="DH312" s="357">
        <v>64437</v>
      </c>
      <c r="DI312" s="357">
        <v>0</v>
      </c>
      <c r="DJ312" s="357">
        <v>0</v>
      </c>
      <c r="DK312" s="357">
        <v>0</v>
      </c>
      <c r="DL312" s="357">
        <v>0</v>
      </c>
      <c r="DM312" s="357">
        <v>0</v>
      </c>
      <c r="DN312" s="357">
        <v>0</v>
      </c>
      <c r="DO312" s="357">
        <v>0</v>
      </c>
      <c r="DP312" s="357">
        <v>0</v>
      </c>
      <c r="DQ312" s="357">
        <v>228730</v>
      </c>
      <c r="DR312" s="357">
        <v>0</v>
      </c>
      <c r="DS312" s="357">
        <v>0</v>
      </c>
      <c r="DT312" s="357">
        <v>0</v>
      </c>
      <c r="DU312" s="357">
        <v>0</v>
      </c>
      <c r="DV312" s="357">
        <v>0</v>
      </c>
      <c r="DW312" s="357">
        <v>228730</v>
      </c>
      <c r="DX312" s="357">
        <v>0</v>
      </c>
      <c r="DY312" s="357">
        <v>0</v>
      </c>
      <c r="DZ312" s="357">
        <v>228730</v>
      </c>
      <c r="EA312" s="357">
        <v>0</v>
      </c>
      <c r="EB312" s="357">
        <v>0</v>
      </c>
      <c r="EC312" s="357">
        <v>10000</v>
      </c>
      <c r="ED312" s="357">
        <v>0</v>
      </c>
      <c r="EE312" s="357">
        <v>0</v>
      </c>
      <c r="EF312" s="357">
        <v>10000</v>
      </c>
      <c r="EG312" s="357">
        <v>10000</v>
      </c>
      <c r="EH312" s="357">
        <v>0</v>
      </c>
      <c r="EI312" s="357">
        <v>0</v>
      </c>
      <c r="EJ312" s="357">
        <v>10000</v>
      </c>
      <c r="EK312" s="357">
        <v>817012.7</v>
      </c>
      <c r="EL312" s="357">
        <v>0</v>
      </c>
      <c r="EM312" s="357">
        <v>0</v>
      </c>
      <c r="EN312" s="357">
        <v>817012.7</v>
      </c>
      <c r="EO312" s="357">
        <v>837012.7</v>
      </c>
      <c r="EP312" s="357">
        <v>0</v>
      </c>
      <c r="EQ312" s="357">
        <v>0</v>
      </c>
      <c r="ER312" s="357">
        <v>0</v>
      </c>
      <c r="ES312" s="357">
        <v>0</v>
      </c>
      <c r="ET312" s="357">
        <v>0</v>
      </c>
      <c r="EU312" s="357">
        <v>837012.7</v>
      </c>
      <c r="EV312" s="357">
        <v>0</v>
      </c>
      <c r="EW312" s="357">
        <v>0</v>
      </c>
      <c r="EX312" s="357">
        <v>837012.7</v>
      </c>
      <c r="EY312" s="357">
        <v>29861180.3</v>
      </c>
      <c r="EZ312" s="357">
        <v>0</v>
      </c>
      <c r="FA312" s="357">
        <v>0</v>
      </c>
      <c r="FB312" s="357">
        <v>29861180.3</v>
      </c>
      <c r="FC312" s="277">
        <v>0</v>
      </c>
      <c r="FD312" s="205"/>
    </row>
    <row r="313" spans="1:160" ht="12.75">
      <c r="A313" s="169">
        <v>306</v>
      </c>
      <c r="B313" s="172" t="s">
        <v>542</v>
      </c>
      <c r="C313" s="258" t="s">
        <v>543</v>
      </c>
      <c r="D313" s="235">
        <v>41661</v>
      </c>
      <c r="E313" s="357">
        <v>80126354</v>
      </c>
      <c r="F313" s="357">
        <v>0</v>
      </c>
      <c r="G313" s="357">
        <v>0</v>
      </c>
      <c r="H313" s="357">
        <v>80126354</v>
      </c>
      <c r="I313" s="357">
        <v>37739513</v>
      </c>
      <c r="J313" s="357">
        <v>0</v>
      </c>
      <c r="K313" s="357">
        <v>0</v>
      </c>
      <c r="L313" s="357">
        <v>0</v>
      </c>
      <c r="M313" s="357">
        <v>0</v>
      </c>
      <c r="N313" s="357">
        <v>0</v>
      </c>
      <c r="O313" s="357">
        <v>37739513</v>
      </c>
      <c r="P313" s="357">
        <v>0</v>
      </c>
      <c r="Q313" s="357">
        <v>0</v>
      </c>
      <c r="R313" s="357">
        <v>37739513</v>
      </c>
      <c r="S313" s="357">
        <v>63282</v>
      </c>
      <c r="T313" s="357">
        <v>0</v>
      </c>
      <c r="U313" s="357">
        <v>0</v>
      </c>
      <c r="V313" s="357">
        <v>63282</v>
      </c>
      <c r="W313" s="357">
        <v>3734</v>
      </c>
      <c r="X313" s="357">
        <v>0</v>
      </c>
      <c r="Y313" s="357">
        <v>0</v>
      </c>
      <c r="Z313" s="357">
        <v>3734</v>
      </c>
      <c r="AA313" s="357">
        <v>59548</v>
      </c>
      <c r="AB313" s="357">
        <v>0</v>
      </c>
      <c r="AC313" s="357">
        <v>0</v>
      </c>
      <c r="AD313" s="357">
        <v>0</v>
      </c>
      <c r="AE313" s="357">
        <v>0</v>
      </c>
      <c r="AF313" s="357">
        <v>0</v>
      </c>
      <c r="AG313" s="357">
        <v>59548</v>
      </c>
      <c r="AH313" s="357">
        <v>0</v>
      </c>
      <c r="AI313" s="357">
        <v>0</v>
      </c>
      <c r="AJ313" s="357">
        <v>59548</v>
      </c>
      <c r="AK313" s="357">
        <v>59548</v>
      </c>
      <c r="AL313" s="357">
        <v>0</v>
      </c>
      <c r="AM313" s="357">
        <v>0</v>
      </c>
      <c r="AN313" s="357">
        <v>59548</v>
      </c>
      <c r="AO313" s="357">
        <v>1912814</v>
      </c>
      <c r="AP313" s="357">
        <v>0</v>
      </c>
      <c r="AQ313" s="357">
        <v>0</v>
      </c>
      <c r="AR313" s="357">
        <v>1912814</v>
      </c>
      <c r="AS313" s="357">
        <v>1860</v>
      </c>
      <c r="AT313" s="357">
        <v>0</v>
      </c>
      <c r="AU313" s="357">
        <v>0</v>
      </c>
      <c r="AV313" s="357">
        <v>1860</v>
      </c>
      <c r="AW313" s="357">
        <v>738419</v>
      </c>
      <c r="AX313" s="357">
        <v>0</v>
      </c>
      <c r="AY313" s="357">
        <v>0</v>
      </c>
      <c r="AZ313" s="357">
        <v>738419</v>
      </c>
      <c r="BA313" s="357">
        <v>1174395</v>
      </c>
      <c r="BB313" s="357">
        <v>0</v>
      </c>
      <c r="BC313" s="357">
        <v>0</v>
      </c>
      <c r="BD313" s="357">
        <v>1174395</v>
      </c>
      <c r="BE313" s="357">
        <v>2384663</v>
      </c>
      <c r="BF313" s="357">
        <v>0</v>
      </c>
      <c r="BG313" s="357">
        <v>0</v>
      </c>
      <c r="BH313" s="357">
        <v>2384663</v>
      </c>
      <c r="BI313" s="357">
        <v>0</v>
      </c>
      <c r="BJ313" s="357">
        <v>0</v>
      </c>
      <c r="BK313" s="357">
        <v>0</v>
      </c>
      <c r="BL313" s="357">
        <v>0</v>
      </c>
      <c r="BM313" s="357">
        <v>5386</v>
      </c>
      <c r="BN313" s="357">
        <v>0</v>
      </c>
      <c r="BO313" s="357">
        <v>0</v>
      </c>
      <c r="BP313" s="357">
        <v>5386</v>
      </c>
      <c r="BQ313" s="357">
        <v>3564444</v>
      </c>
      <c r="BR313" s="357">
        <v>0</v>
      </c>
      <c r="BS313" s="357">
        <v>0</v>
      </c>
      <c r="BT313" s="357">
        <v>0</v>
      </c>
      <c r="BU313" s="357">
        <v>0</v>
      </c>
      <c r="BV313" s="357">
        <v>0</v>
      </c>
      <c r="BW313" s="357">
        <v>3564444</v>
      </c>
      <c r="BX313" s="357">
        <v>0</v>
      </c>
      <c r="BY313" s="357">
        <v>0</v>
      </c>
      <c r="BZ313" s="357">
        <v>3564444</v>
      </c>
      <c r="CA313" s="357">
        <v>80000</v>
      </c>
      <c r="CB313" s="357">
        <v>0</v>
      </c>
      <c r="CC313" s="357">
        <v>0</v>
      </c>
      <c r="CD313" s="357">
        <v>80000</v>
      </c>
      <c r="CE313" s="357">
        <v>2046115</v>
      </c>
      <c r="CF313" s="357">
        <v>0</v>
      </c>
      <c r="CG313" s="357">
        <v>0</v>
      </c>
      <c r="CH313" s="357">
        <v>2046115</v>
      </c>
      <c r="CI313" s="357">
        <v>2126115</v>
      </c>
      <c r="CJ313" s="357">
        <v>0</v>
      </c>
      <c r="CK313" s="357">
        <v>0</v>
      </c>
      <c r="CL313" s="357">
        <v>0</v>
      </c>
      <c r="CM313" s="357">
        <v>0</v>
      </c>
      <c r="CN313" s="357">
        <v>0</v>
      </c>
      <c r="CO313" s="357">
        <v>2126115</v>
      </c>
      <c r="CP313" s="357">
        <v>0</v>
      </c>
      <c r="CQ313" s="357">
        <v>0</v>
      </c>
      <c r="CR313" s="357">
        <v>2126115</v>
      </c>
      <c r="CS313" s="357">
        <v>9139</v>
      </c>
      <c r="CT313" s="357">
        <v>0</v>
      </c>
      <c r="CU313" s="357">
        <v>0</v>
      </c>
      <c r="CV313" s="357">
        <v>9139</v>
      </c>
      <c r="CW313" s="357">
        <v>28931</v>
      </c>
      <c r="CX313" s="357">
        <v>0</v>
      </c>
      <c r="CY313" s="357">
        <v>0</v>
      </c>
      <c r="CZ313" s="357">
        <v>28931</v>
      </c>
      <c r="DA313" s="357">
        <v>0</v>
      </c>
      <c r="DB313" s="357">
        <v>0</v>
      </c>
      <c r="DC313" s="357">
        <v>0</v>
      </c>
      <c r="DD313" s="357">
        <v>0</v>
      </c>
      <c r="DE313" s="357">
        <v>0</v>
      </c>
      <c r="DF313" s="357">
        <v>0</v>
      </c>
      <c r="DG313" s="357">
        <v>0</v>
      </c>
      <c r="DH313" s="357">
        <v>0</v>
      </c>
      <c r="DI313" s="357">
        <v>0</v>
      </c>
      <c r="DJ313" s="357">
        <v>0</v>
      </c>
      <c r="DK313" s="357">
        <v>0</v>
      </c>
      <c r="DL313" s="357">
        <v>0</v>
      </c>
      <c r="DM313" s="357">
        <v>0</v>
      </c>
      <c r="DN313" s="357">
        <v>0</v>
      </c>
      <c r="DO313" s="357">
        <v>0</v>
      </c>
      <c r="DP313" s="357">
        <v>0</v>
      </c>
      <c r="DQ313" s="357">
        <v>38070</v>
      </c>
      <c r="DR313" s="357">
        <v>0</v>
      </c>
      <c r="DS313" s="357">
        <v>0</v>
      </c>
      <c r="DT313" s="357">
        <v>0</v>
      </c>
      <c r="DU313" s="357">
        <v>0</v>
      </c>
      <c r="DV313" s="357">
        <v>0</v>
      </c>
      <c r="DW313" s="357">
        <v>38070</v>
      </c>
      <c r="DX313" s="357">
        <v>0</v>
      </c>
      <c r="DY313" s="357">
        <v>0</v>
      </c>
      <c r="DZ313" s="357">
        <v>38070</v>
      </c>
      <c r="EA313" s="357">
        <v>0</v>
      </c>
      <c r="EB313" s="357">
        <v>0</v>
      </c>
      <c r="EC313" s="357">
        <v>0</v>
      </c>
      <c r="ED313" s="357">
        <v>0</v>
      </c>
      <c r="EE313" s="357">
        <v>0</v>
      </c>
      <c r="EF313" s="357">
        <v>0</v>
      </c>
      <c r="EG313" s="357">
        <v>404673</v>
      </c>
      <c r="EH313" s="357">
        <v>0</v>
      </c>
      <c r="EI313" s="357">
        <v>0</v>
      </c>
      <c r="EJ313" s="357">
        <v>404673</v>
      </c>
      <c r="EK313" s="357">
        <v>517000</v>
      </c>
      <c r="EL313" s="357">
        <v>0</v>
      </c>
      <c r="EM313" s="357">
        <v>0</v>
      </c>
      <c r="EN313" s="357">
        <v>517000</v>
      </c>
      <c r="EO313" s="357">
        <v>921673</v>
      </c>
      <c r="EP313" s="357">
        <v>0</v>
      </c>
      <c r="EQ313" s="357">
        <v>0</v>
      </c>
      <c r="ER313" s="357">
        <v>0</v>
      </c>
      <c r="ES313" s="357">
        <v>0</v>
      </c>
      <c r="ET313" s="357">
        <v>0</v>
      </c>
      <c r="EU313" s="357">
        <v>921673</v>
      </c>
      <c r="EV313" s="357">
        <v>0</v>
      </c>
      <c r="EW313" s="357">
        <v>0</v>
      </c>
      <c r="EX313" s="357">
        <v>921673</v>
      </c>
      <c r="EY313" s="357">
        <v>31029663</v>
      </c>
      <c r="EZ313" s="357">
        <v>0</v>
      </c>
      <c r="FA313" s="357">
        <v>0</v>
      </c>
      <c r="FB313" s="357">
        <v>31029663</v>
      </c>
      <c r="FC313" s="277">
        <v>0</v>
      </c>
      <c r="FD313" s="205"/>
    </row>
    <row r="314" spans="1:160" ht="12.75">
      <c r="A314" s="169">
        <v>307</v>
      </c>
      <c r="B314" s="172" t="s">
        <v>544</v>
      </c>
      <c r="C314" s="258" t="s">
        <v>545</v>
      </c>
      <c r="D314" s="235">
        <v>41639</v>
      </c>
      <c r="E314" s="357">
        <v>43381332</v>
      </c>
      <c r="F314" s="357">
        <v>0</v>
      </c>
      <c r="G314" s="357">
        <v>0</v>
      </c>
      <c r="H314" s="357">
        <v>43381332</v>
      </c>
      <c r="I314" s="357">
        <v>20432607</v>
      </c>
      <c r="J314" s="357">
        <v>0</v>
      </c>
      <c r="K314" s="357">
        <v>0</v>
      </c>
      <c r="L314" s="357">
        <v>102000</v>
      </c>
      <c r="M314" s="357">
        <v>0</v>
      </c>
      <c r="N314" s="357">
        <v>0</v>
      </c>
      <c r="O314" s="357">
        <v>20534607</v>
      </c>
      <c r="P314" s="357">
        <v>0</v>
      </c>
      <c r="Q314" s="357">
        <v>0</v>
      </c>
      <c r="R314" s="357">
        <v>20534607</v>
      </c>
      <c r="S314" s="357">
        <v>0</v>
      </c>
      <c r="T314" s="357">
        <v>0</v>
      </c>
      <c r="U314" s="357">
        <v>0</v>
      </c>
      <c r="V314" s="357">
        <v>0</v>
      </c>
      <c r="W314" s="357">
        <v>21369</v>
      </c>
      <c r="X314" s="357">
        <v>0</v>
      </c>
      <c r="Y314" s="357">
        <v>0</v>
      </c>
      <c r="Z314" s="357">
        <v>21369</v>
      </c>
      <c r="AA314" s="357">
        <v>-21369</v>
      </c>
      <c r="AB314" s="357">
        <v>0</v>
      </c>
      <c r="AC314" s="357">
        <v>0</v>
      </c>
      <c r="AD314" s="357">
        <v>0</v>
      </c>
      <c r="AE314" s="357">
        <v>0</v>
      </c>
      <c r="AF314" s="357">
        <v>0</v>
      </c>
      <c r="AG314" s="357">
        <v>-21369</v>
      </c>
      <c r="AH314" s="357">
        <v>0</v>
      </c>
      <c r="AI314" s="357">
        <v>0</v>
      </c>
      <c r="AJ314" s="357">
        <v>-21369</v>
      </c>
      <c r="AK314" s="357">
        <v>-21369</v>
      </c>
      <c r="AL314" s="357">
        <v>0</v>
      </c>
      <c r="AM314" s="357">
        <v>0</v>
      </c>
      <c r="AN314" s="357">
        <v>-21369</v>
      </c>
      <c r="AO314" s="357">
        <v>1626300</v>
      </c>
      <c r="AP314" s="357">
        <v>0</v>
      </c>
      <c r="AQ314" s="357">
        <v>0</v>
      </c>
      <c r="AR314" s="357">
        <v>1626300</v>
      </c>
      <c r="AS314" s="357">
        <v>1000</v>
      </c>
      <c r="AT314" s="357">
        <v>0</v>
      </c>
      <c r="AU314" s="357">
        <v>0</v>
      </c>
      <c r="AV314" s="357">
        <v>1000</v>
      </c>
      <c r="AW314" s="357">
        <v>376968</v>
      </c>
      <c r="AX314" s="357">
        <v>0</v>
      </c>
      <c r="AY314" s="357">
        <v>0</v>
      </c>
      <c r="AZ314" s="357">
        <v>376968</v>
      </c>
      <c r="BA314" s="357">
        <v>1249332</v>
      </c>
      <c r="BB314" s="357">
        <v>0</v>
      </c>
      <c r="BC314" s="357">
        <v>0</v>
      </c>
      <c r="BD314" s="357">
        <v>1249332</v>
      </c>
      <c r="BE314" s="357">
        <v>1365598</v>
      </c>
      <c r="BF314" s="357">
        <v>0</v>
      </c>
      <c r="BG314" s="357">
        <v>0</v>
      </c>
      <c r="BH314" s="357">
        <v>1365598</v>
      </c>
      <c r="BI314" s="357">
        <v>25151</v>
      </c>
      <c r="BJ314" s="357">
        <v>0</v>
      </c>
      <c r="BK314" s="357">
        <v>0</v>
      </c>
      <c r="BL314" s="357">
        <v>25151</v>
      </c>
      <c r="BM314" s="357">
        <v>35853</v>
      </c>
      <c r="BN314" s="357">
        <v>0</v>
      </c>
      <c r="BO314" s="357">
        <v>0</v>
      </c>
      <c r="BP314" s="357">
        <v>35853</v>
      </c>
      <c r="BQ314" s="357">
        <v>2675934</v>
      </c>
      <c r="BR314" s="357">
        <v>0</v>
      </c>
      <c r="BS314" s="357">
        <v>0</v>
      </c>
      <c r="BT314" s="357">
        <v>0</v>
      </c>
      <c r="BU314" s="357">
        <v>0</v>
      </c>
      <c r="BV314" s="357">
        <v>0</v>
      </c>
      <c r="BW314" s="357">
        <v>2675934</v>
      </c>
      <c r="BX314" s="357">
        <v>0</v>
      </c>
      <c r="BY314" s="357">
        <v>0</v>
      </c>
      <c r="BZ314" s="357">
        <v>2675934</v>
      </c>
      <c r="CA314" s="357">
        <v>20000</v>
      </c>
      <c r="CB314" s="357">
        <v>0</v>
      </c>
      <c r="CC314" s="357">
        <v>0</v>
      </c>
      <c r="CD314" s="357">
        <v>20000</v>
      </c>
      <c r="CE314" s="357">
        <v>466111</v>
      </c>
      <c r="CF314" s="357">
        <v>0</v>
      </c>
      <c r="CG314" s="357">
        <v>0</v>
      </c>
      <c r="CH314" s="357">
        <v>466111</v>
      </c>
      <c r="CI314" s="357">
        <v>486111</v>
      </c>
      <c r="CJ314" s="357">
        <v>0</v>
      </c>
      <c r="CK314" s="357">
        <v>0</v>
      </c>
      <c r="CL314" s="357">
        <v>0</v>
      </c>
      <c r="CM314" s="357">
        <v>0</v>
      </c>
      <c r="CN314" s="357">
        <v>0</v>
      </c>
      <c r="CO314" s="357">
        <v>486111</v>
      </c>
      <c r="CP314" s="357">
        <v>0</v>
      </c>
      <c r="CQ314" s="357">
        <v>0</v>
      </c>
      <c r="CR314" s="357">
        <v>486111</v>
      </c>
      <c r="CS314" s="357">
        <v>28923</v>
      </c>
      <c r="CT314" s="357">
        <v>0</v>
      </c>
      <c r="CU314" s="357">
        <v>0</v>
      </c>
      <c r="CV314" s="357">
        <v>28923</v>
      </c>
      <c r="CW314" s="357">
        <v>34937</v>
      </c>
      <c r="CX314" s="357">
        <v>0</v>
      </c>
      <c r="CY314" s="357">
        <v>0</v>
      </c>
      <c r="CZ314" s="357">
        <v>34937</v>
      </c>
      <c r="DA314" s="357">
        <v>1779</v>
      </c>
      <c r="DB314" s="357">
        <v>0</v>
      </c>
      <c r="DC314" s="357">
        <v>0</v>
      </c>
      <c r="DD314" s="357">
        <v>1779</v>
      </c>
      <c r="DE314" s="357">
        <v>6683</v>
      </c>
      <c r="DF314" s="357">
        <v>0</v>
      </c>
      <c r="DG314" s="357">
        <v>0</v>
      </c>
      <c r="DH314" s="357">
        <v>6683</v>
      </c>
      <c r="DI314" s="357">
        <v>0</v>
      </c>
      <c r="DJ314" s="357">
        <v>0</v>
      </c>
      <c r="DK314" s="357">
        <v>0</v>
      </c>
      <c r="DL314" s="357">
        <v>0</v>
      </c>
      <c r="DM314" s="357">
        <v>0</v>
      </c>
      <c r="DN314" s="357">
        <v>0</v>
      </c>
      <c r="DO314" s="357">
        <v>0</v>
      </c>
      <c r="DP314" s="357">
        <v>0</v>
      </c>
      <c r="DQ314" s="357">
        <v>72322</v>
      </c>
      <c r="DR314" s="357">
        <v>0</v>
      </c>
      <c r="DS314" s="357">
        <v>0</v>
      </c>
      <c r="DT314" s="357">
        <v>0</v>
      </c>
      <c r="DU314" s="357">
        <v>0</v>
      </c>
      <c r="DV314" s="357">
        <v>0</v>
      </c>
      <c r="DW314" s="357">
        <v>72322</v>
      </c>
      <c r="DX314" s="357">
        <v>0</v>
      </c>
      <c r="DY314" s="357">
        <v>0</v>
      </c>
      <c r="DZ314" s="357">
        <v>72322</v>
      </c>
      <c r="EA314" s="357">
        <v>0</v>
      </c>
      <c r="EB314" s="357">
        <v>0</v>
      </c>
      <c r="EC314" s="357">
        <v>30000</v>
      </c>
      <c r="ED314" s="357">
        <v>0</v>
      </c>
      <c r="EE314" s="357">
        <v>0</v>
      </c>
      <c r="EF314" s="357">
        <v>30000</v>
      </c>
      <c r="EG314" s="357">
        <v>47072</v>
      </c>
      <c r="EH314" s="357">
        <v>0</v>
      </c>
      <c r="EI314" s="357">
        <v>0</v>
      </c>
      <c r="EJ314" s="357">
        <v>47072</v>
      </c>
      <c r="EK314" s="357">
        <v>330000</v>
      </c>
      <c r="EL314" s="357">
        <v>0</v>
      </c>
      <c r="EM314" s="357">
        <v>0</v>
      </c>
      <c r="EN314" s="357">
        <v>330000</v>
      </c>
      <c r="EO314" s="357">
        <v>407072</v>
      </c>
      <c r="EP314" s="357">
        <v>0</v>
      </c>
      <c r="EQ314" s="357">
        <v>0</v>
      </c>
      <c r="ER314" s="357">
        <v>0</v>
      </c>
      <c r="ES314" s="357">
        <v>0</v>
      </c>
      <c r="ET314" s="357">
        <v>0</v>
      </c>
      <c r="EU314" s="357">
        <v>407072</v>
      </c>
      <c r="EV314" s="357">
        <v>0</v>
      </c>
      <c r="EW314" s="357">
        <v>0</v>
      </c>
      <c r="EX314" s="357">
        <v>407072</v>
      </c>
      <c r="EY314" s="357">
        <v>16914537</v>
      </c>
      <c r="EZ314" s="357">
        <v>0</v>
      </c>
      <c r="FA314" s="357">
        <v>0</v>
      </c>
      <c r="FB314" s="357">
        <v>16914537</v>
      </c>
      <c r="FC314" s="277">
        <v>0</v>
      </c>
      <c r="FD314" s="205"/>
    </row>
    <row r="315" spans="1:160" ht="12.75">
      <c r="A315" s="169">
        <v>308</v>
      </c>
      <c r="B315" s="172" t="s">
        <v>546</v>
      </c>
      <c r="C315" s="258" t="s">
        <v>547</v>
      </c>
      <c r="D315" s="235">
        <v>41639</v>
      </c>
      <c r="E315" s="357">
        <v>80027404</v>
      </c>
      <c r="F315" s="357">
        <v>0</v>
      </c>
      <c r="G315" s="357">
        <v>0</v>
      </c>
      <c r="H315" s="357">
        <v>80027404</v>
      </c>
      <c r="I315" s="357">
        <v>37692907</v>
      </c>
      <c r="J315" s="357">
        <v>0</v>
      </c>
      <c r="K315" s="357">
        <v>0</v>
      </c>
      <c r="L315" s="357">
        <v>172000</v>
      </c>
      <c r="M315" s="357">
        <v>0</v>
      </c>
      <c r="N315" s="357">
        <v>0</v>
      </c>
      <c r="O315" s="357">
        <v>37864907</v>
      </c>
      <c r="P315" s="357">
        <v>0</v>
      </c>
      <c r="Q315" s="357">
        <v>0</v>
      </c>
      <c r="R315" s="357">
        <v>37864907</v>
      </c>
      <c r="S315" s="357">
        <v>72008</v>
      </c>
      <c r="T315" s="357">
        <v>0</v>
      </c>
      <c r="U315" s="357">
        <v>0</v>
      </c>
      <c r="V315" s="357">
        <v>72008</v>
      </c>
      <c r="W315" s="357">
        <v>7535</v>
      </c>
      <c r="X315" s="357">
        <v>0</v>
      </c>
      <c r="Y315" s="357">
        <v>0</v>
      </c>
      <c r="Z315" s="357">
        <v>7535</v>
      </c>
      <c r="AA315" s="357">
        <v>64473</v>
      </c>
      <c r="AB315" s="357">
        <v>0</v>
      </c>
      <c r="AC315" s="357">
        <v>0</v>
      </c>
      <c r="AD315" s="357">
        <v>0</v>
      </c>
      <c r="AE315" s="357">
        <v>0</v>
      </c>
      <c r="AF315" s="357">
        <v>0</v>
      </c>
      <c r="AG315" s="357">
        <v>64473</v>
      </c>
      <c r="AH315" s="357">
        <v>0</v>
      </c>
      <c r="AI315" s="357">
        <v>0</v>
      </c>
      <c r="AJ315" s="357">
        <v>64473</v>
      </c>
      <c r="AK315" s="357">
        <v>64473</v>
      </c>
      <c r="AL315" s="357">
        <v>0</v>
      </c>
      <c r="AM315" s="357">
        <v>0</v>
      </c>
      <c r="AN315" s="357">
        <v>64473</v>
      </c>
      <c r="AO315" s="357">
        <v>2210179</v>
      </c>
      <c r="AP315" s="357">
        <v>0</v>
      </c>
      <c r="AQ315" s="357">
        <v>0</v>
      </c>
      <c r="AR315" s="357">
        <v>2210179</v>
      </c>
      <c r="AS315" s="357">
        <v>0</v>
      </c>
      <c r="AT315" s="357">
        <v>0</v>
      </c>
      <c r="AU315" s="357">
        <v>0</v>
      </c>
      <c r="AV315" s="357">
        <v>0</v>
      </c>
      <c r="AW315" s="357">
        <v>702569</v>
      </c>
      <c r="AX315" s="357">
        <v>0</v>
      </c>
      <c r="AY315" s="357">
        <v>0</v>
      </c>
      <c r="AZ315" s="357">
        <v>702569</v>
      </c>
      <c r="BA315" s="357">
        <v>1507610</v>
      </c>
      <c r="BB315" s="357">
        <v>0</v>
      </c>
      <c r="BC315" s="357">
        <v>0</v>
      </c>
      <c r="BD315" s="357">
        <v>1507610</v>
      </c>
      <c r="BE315" s="357">
        <v>2305151</v>
      </c>
      <c r="BF315" s="357">
        <v>0</v>
      </c>
      <c r="BG315" s="357">
        <v>0</v>
      </c>
      <c r="BH315" s="357">
        <v>2305151</v>
      </c>
      <c r="BI315" s="357">
        <v>55366</v>
      </c>
      <c r="BJ315" s="357">
        <v>0</v>
      </c>
      <c r="BK315" s="357">
        <v>0</v>
      </c>
      <c r="BL315" s="357">
        <v>55366</v>
      </c>
      <c r="BM315" s="357">
        <v>46343</v>
      </c>
      <c r="BN315" s="357">
        <v>0</v>
      </c>
      <c r="BO315" s="357">
        <v>0</v>
      </c>
      <c r="BP315" s="357">
        <v>46343</v>
      </c>
      <c r="BQ315" s="357">
        <v>3914470</v>
      </c>
      <c r="BR315" s="357">
        <v>0</v>
      </c>
      <c r="BS315" s="357">
        <v>0</v>
      </c>
      <c r="BT315" s="357">
        <v>0</v>
      </c>
      <c r="BU315" s="357">
        <v>0</v>
      </c>
      <c r="BV315" s="357">
        <v>0</v>
      </c>
      <c r="BW315" s="357">
        <v>3914470</v>
      </c>
      <c r="BX315" s="357">
        <v>0</v>
      </c>
      <c r="BY315" s="357">
        <v>0</v>
      </c>
      <c r="BZ315" s="357">
        <v>3914470</v>
      </c>
      <c r="CA315" s="357">
        <v>0</v>
      </c>
      <c r="CB315" s="357">
        <v>0</v>
      </c>
      <c r="CC315" s="357">
        <v>0</v>
      </c>
      <c r="CD315" s="357">
        <v>0</v>
      </c>
      <c r="CE315" s="357">
        <v>478728</v>
      </c>
      <c r="CF315" s="357">
        <v>0</v>
      </c>
      <c r="CG315" s="357">
        <v>0</v>
      </c>
      <c r="CH315" s="357">
        <v>478728</v>
      </c>
      <c r="CI315" s="357">
        <v>478728</v>
      </c>
      <c r="CJ315" s="357">
        <v>0</v>
      </c>
      <c r="CK315" s="357">
        <v>0</v>
      </c>
      <c r="CL315" s="357">
        <v>0</v>
      </c>
      <c r="CM315" s="357">
        <v>0</v>
      </c>
      <c r="CN315" s="357">
        <v>0</v>
      </c>
      <c r="CO315" s="357">
        <v>478728</v>
      </c>
      <c r="CP315" s="357">
        <v>0</v>
      </c>
      <c r="CQ315" s="357">
        <v>0</v>
      </c>
      <c r="CR315" s="357">
        <v>478728</v>
      </c>
      <c r="CS315" s="357">
        <v>77055</v>
      </c>
      <c r="CT315" s="357">
        <v>0</v>
      </c>
      <c r="CU315" s="357">
        <v>0</v>
      </c>
      <c r="CV315" s="357">
        <v>77055</v>
      </c>
      <c r="CW315" s="357">
        <v>0</v>
      </c>
      <c r="CX315" s="357">
        <v>0</v>
      </c>
      <c r="CY315" s="357">
        <v>0</v>
      </c>
      <c r="CZ315" s="357">
        <v>0</v>
      </c>
      <c r="DA315" s="357">
        <v>0</v>
      </c>
      <c r="DB315" s="357">
        <v>0</v>
      </c>
      <c r="DC315" s="357">
        <v>0</v>
      </c>
      <c r="DD315" s="357">
        <v>0</v>
      </c>
      <c r="DE315" s="357">
        <v>3452</v>
      </c>
      <c r="DF315" s="357">
        <v>0</v>
      </c>
      <c r="DG315" s="357">
        <v>0</v>
      </c>
      <c r="DH315" s="357">
        <v>3452</v>
      </c>
      <c r="DI315" s="357">
        <v>0</v>
      </c>
      <c r="DJ315" s="357">
        <v>0</v>
      </c>
      <c r="DK315" s="357">
        <v>0</v>
      </c>
      <c r="DL315" s="357">
        <v>0</v>
      </c>
      <c r="DM315" s="357">
        <v>0</v>
      </c>
      <c r="DN315" s="357">
        <v>0</v>
      </c>
      <c r="DO315" s="357">
        <v>0</v>
      </c>
      <c r="DP315" s="357">
        <v>0</v>
      </c>
      <c r="DQ315" s="357">
        <v>80507</v>
      </c>
      <c r="DR315" s="357">
        <v>0</v>
      </c>
      <c r="DS315" s="357">
        <v>0</v>
      </c>
      <c r="DT315" s="357">
        <v>0</v>
      </c>
      <c r="DU315" s="357">
        <v>0</v>
      </c>
      <c r="DV315" s="357">
        <v>0</v>
      </c>
      <c r="DW315" s="357">
        <v>80507</v>
      </c>
      <c r="DX315" s="357">
        <v>0</v>
      </c>
      <c r="DY315" s="357">
        <v>0</v>
      </c>
      <c r="DZ315" s="357">
        <v>80507</v>
      </c>
      <c r="EA315" s="357">
        <v>0</v>
      </c>
      <c r="EB315" s="357">
        <v>0</v>
      </c>
      <c r="EC315" s="357">
        <v>0</v>
      </c>
      <c r="ED315" s="357">
        <v>0</v>
      </c>
      <c r="EE315" s="357">
        <v>0</v>
      </c>
      <c r="EF315" s="357">
        <v>0</v>
      </c>
      <c r="EG315" s="357">
        <v>11042</v>
      </c>
      <c r="EH315" s="357">
        <v>0</v>
      </c>
      <c r="EI315" s="357">
        <v>0</v>
      </c>
      <c r="EJ315" s="357">
        <v>11042</v>
      </c>
      <c r="EK315" s="357">
        <v>214755</v>
      </c>
      <c r="EL315" s="357">
        <v>0</v>
      </c>
      <c r="EM315" s="357">
        <v>0</v>
      </c>
      <c r="EN315" s="357">
        <v>214755</v>
      </c>
      <c r="EO315" s="357">
        <v>225797</v>
      </c>
      <c r="EP315" s="357">
        <v>0</v>
      </c>
      <c r="EQ315" s="357">
        <v>0</v>
      </c>
      <c r="ER315" s="357">
        <v>0</v>
      </c>
      <c r="ES315" s="357">
        <v>0</v>
      </c>
      <c r="ET315" s="357">
        <v>0</v>
      </c>
      <c r="EU315" s="357">
        <v>225797</v>
      </c>
      <c r="EV315" s="357">
        <v>0</v>
      </c>
      <c r="EW315" s="357">
        <v>0</v>
      </c>
      <c r="EX315" s="357">
        <v>225797</v>
      </c>
      <c r="EY315" s="357">
        <v>33100932</v>
      </c>
      <c r="EZ315" s="357">
        <v>0</v>
      </c>
      <c r="FA315" s="357">
        <v>0</v>
      </c>
      <c r="FB315" s="357">
        <v>33100932</v>
      </c>
      <c r="FC315" s="277">
        <v>0</v>
      </c>
      <c r="FD315" s="205"/>
    </row>
    <row r="316" spans="1:160" ht="12.75">
      <c r="A316" s="169">
        <v>309</v>
      </c>
      <c r="B316" s="172" t="s">
        <v>548</v>
      </c>
      <c r="C316" s="258" t="s">
        <v>549</v>
      </c>
      <c r="D316" s="235">
        <v>41639</v>
      </c>
      <c r="E316" s="357">
        <v>31361576</v>
      </c>
      <c r="F316" s="357">
        <v>0</v>
      </c>
      <c r="G316" s="357">
        <v>0</v>
      </c>
      <c r="H316" s="357">
        <v>31361576</v>
      </c>
      <c r="I316" s="357">
        <v>14771302</v>
      </c>
      <c r="J316" s="357">
        <v>0</v>
      </c>
      <c r="K316" s="357">
        <v>0</v>
      </c>
      <c r="L316" s="357">
        <v>0</v>
      </c>
      <c r="M316" s="357">
        <v>0</v>
      </c>
      <c r="N316" s="357">
        <v>0</v>
      </c>
      <c r="O316" s="357">
        <v>14771302</v>
      </c>
      <c r="P316" s="357">
        <v>0</v>
      </c>
      <c r="Q316" s="357">
        <v>0</v>
      </c>
      <c r="R316" s="357">
        <v>14771302</v>
      </c>
      <c r="S316" s="357">
        <v>54057</v>
      </c>
      <c r="T316" s="357">
        <v>0</v>
      </c>
      <c r="U316" s="357">
        <v>0</v>
      </c>
      <c r="V316" s="357">
        <v>54057</v>
      </c>
      <c r="W316" s="357">
        <v>1064</v>
      </c>
      <c r="X316" s="357">
        <v>0</v>
      </c>
      <c r="Y316" s="357">
        <v>0</v>
      </c>
      <c r="Z316" s="357">
        <v>1064</v>
      </c>
      <c r="AA316" s="357">
        <v>52993</v>
      </c>
      <c r="AB316" s="357">
        <v>0</v>
      </c>
      <c r="AC316" s="357">
        <v>0</v>
      </c>
      <c r="AD316" s="357">
        <v>800</v>
      </c>
      <c r="AE316" s="357">
        <v>0</v>
      </c>
      <c r="AF316" s="357">
        <v>0</v>
      </c>
      <c r="AG316" s="357">
        <v>53793</v>
      </c>
      <c r="AH316" s="357">
        <v>0</v>
      </c>
      <c r="AI316" s="357">
        <v>0</v>
      </c>
      <c r="AJ316" s="357">
        <v>53793</v>
      </c>
      <c r="AK316" s="357">
        <v>53793</v>
      </c>
      <c r="AL316" s="357">
        <v>0</v>
      </c>
      <c r="AM316" s="357">
        <v>0</v>
      </c>
      <c r="AN316" s="357">
        <v>53793</v>
      </c>
      <c r="AO316" s="357">
        <v>1257794</v>
      </c>
      <c r="AP316" s="357">
        <v>0</v>
      </c>
      <c r="AQ316" s="357">
        <v>0</v>
      </c>
      <c r="AR316" s="357">
        <v>1257794</v>
      </c>
      <c r="AS316" s="357">
        <v>3000</v>
      </c>
      <c r="AT316" s="357">
        <v>0</v>
      </c>
      <c r="AU316" s="357">
        <v>0</v>
      </c>
      <c r="AV316" s="357">
        <v>3000</v>
      </c>
      <c r="AW316" s="357">
        <v>269001</v>
      </c>
      <c r="AX316" s="357">
        <v>0</v>
      </c>
      <c r="AY316" s="357">
        <v>0</v>
      </c>
      <c r="AZ316" s="357">
        <v>269001</v>
      </c>
      <c r="BA316" s="357">
        <v>988793</v>
      </c>
      <c r="BB316" s="357">
        <v>0</v>
      </c>
      <c r="BC316" s="357">
        <v>0</v>
      </c>
      <c r="BD316" s="357">
        <v>988793</v>
      </c>
      <c r="BE316" s="357">
        <v>548156</v>
      </c>
      <c r="BF316" s="357">
        <v>0</v>
      </c>
      <c r="BG316" s="357">
        <v>0</v>
      </c>
      <c r="BH316" s="357">
        <v>548156</v>
      </c>
      <c r="BI316" s="357">
        <v>11394</v>
      </c>
      <c r="BJ316" s="357">
        <v>0</v>
      </c>
      <c r="BK316" s="357">
        <v>0</v>
      </c>
      <c r="BL316" s="357">
        <v>11394</v>
      </c>
      <c r="BM316" s="357">
        <v>40259</v>
      </c>
      <c r="BN316" s="357">
        <v>0</v>
      </c>
      <c r="BO316" s="357">
        <v>0</v>
      </c>
      <c r="BP316" s="357">
        <v>40259</v>
      </c>
      <c r="BQ316" s="357">
        <v>1588602</v>
      </c>
      <c r="BR316" s="357">
        <v>0</v>
      </c>
      <c r="BS316" s="357">
        <v>0</v>
      </c>
      <c r="BT316" s="357">
        <v>48875</v>
      </c>
      <c r="BU316" s="357">
        <v>0</v>
      </c>
      <c r="BV316" s="357">
        <v>0</v>
      </c>
      <c r="BW316" s="357">
        <v>1637477</v>
      </c>
      <c r="BX316" s="357">
        <v>0</v>
      </c>
      <c r="BY316" s="357">
        <v>0</v>
      </c>
      <c r="BZ316" s="357">
        <v>1637477</v>
      </c>
      <c r="CA316" s="357">
        <v>0</v>
      </c>
      <c r="CB316" s="357">
        <v>0</v>
      </c>
      <c r="CC316" s="357">
        <v>0</v>
      </c>
      <c r="CD316" s="357">
        <v>0</v>
      </c>
      <c r="CE316" s="357">
        <v>81806</v>
      </c>
      <c r="CF316" s="357">
        <v>0</v>
      </c>
      <c r="CG316" s="357">
        <v>0</v>
      </c>
      <c r="CH316" s="357">
        <v>81806</v>
      </c>
      <c r="CI316" s="357">
        <v>81806</v>
      </c>
      <c r="CJ316" s="357">
        <v>0</v>
      </c>
      <c r="CK316" s="357">
        <v>0</v>
      </c>
      <c r="CL316" s="357">
        <v>0</v>
      </c>
      <c r="CM316" s="357">
        <v>0</v>
      </c>
      <c r="CN316" s="357">
        <v>0</v>
      </c>
      <c r="CO316" s="357">
        <v>81806</v>
      </c>
      <c r="CP316" s="357">
        <v>0</v>
      </c>
      <c r="CQ316" s="357">
        <v>0</v>
      </c>
      <c r="CR316" s="357">
        <v>81806</v>
      </c>
      <c r="CS316" s="357">
        <v>28302</v>
      </c>
      <c r="CT316" s="357">
        <v>0</v>
      </c>
      <c r="CU316" s="357">
        <v>0</v>
      </c>
      <c r="CV316" s="357">
        <v>28302</v>
      </c>
      <c r="CW316" s="357">
        <v>84782</v>
      </c>
      <c r="CX316" s="357">
        <v>0</v>
      </c>
      <c r="CY316" s="357">
        <v>0</v>
      </c>
      <c r="CZ316" s="357">
        <v>84782</v>
      </c>
      <c r="DA316" s="357">
        <v>2357</v>
      </c>
      <c r="DB316" s="357">
        <v>0</v>
      </c>
      <c r="DC316" s="357">
        <v>0</v>
      </c>
      <c r="DD316" s="357">
        <v>2357</v>
      </c>
      <c r="DE316" s="357">
        <v>40259</v>
      </c>
      <c r="DF316" s="357">
        <v>0</v>
      </c>
      <c r="DG316" s="357">
        <v>0</v>
      </c>
      <c r="DH316" s="357">
        <v>40259</v>
      </c>
      <c r="DI316" s="357">
        <v>59628</v>
      </c>
      <c r="DJ316" s="357">
        <v>0</v>
      </c>
      <c r="DK316" s="357">
        <v>0</v>
      </c>
      <c r="DL316" s="357">
        <v>59628</v>
      </c>
      <c r="DM316" s="357">
        <v>0</v>
      </c>
      <c r="DN316" s="357">
        <v>0</v>
      </c>
      <c r="DO316" s="357">
        <v>0</v>
      </c>
      <c r="DP316" s="357">
        <v>0</v>
      </c>
      <c r="DQ316" s="357">
        <v>215328</v>
      </c>
      <c r="DR316" s="357">
        <v>0</v>
      </c>
      <c r="DS316" s="357">
        <v>0</v>
      </c>
      <c r="DT316" s="357">
        <v>18302</v>
      </c>
      <c r="DU316" s="357">
        <v>0</v>
      </c>
      <c r="DV316" s="357">
        <v>0</v>
      </c>
      <c r="DW316" s="357">
        <v>233630</v>
      </c>
      <c r="DX316" s="357">
        <v>0</v>
      </c>
      <c r="DY316" s="357">
        <v>0</v>
      </c>
      <c r="DZ316" s="357">
        <v>233630</v>
      </c>
      <c r="EA316" s="357">
        <v>0</v>
      </c>
      <c r="EB316" s="357">
        <v>0</v>
      </c>
      <c r="EC316" s="357">
        <v>500</v>
      </c>
      <c r="ED316" s="357">
        <v>0</v>
      </c>
      <c r="EE316" s="357">
        <v>0</v>
      </c>
      <c r="EF316" s="357">
        <v>500</v>
      </c>
      <c r="EG316" s="357">
        <v>5000</v>
      </c>
      <c r="EH316" s="357">
        <v>0</v>
      </c>
      <c r="EI316" s="357">
        <v>0</v>
      </c>
      <c r="EJ316" s="357">
        <v>5000</v>
      </c>
      <c r="EK316" s="357">
        <v>210000</v>
      </c>
      <c r="EL316" s="357">
        <v>0</v>
      </c>
      <c r="EM316" s="357">
        <v>0</v>
      </c>
      <c r="EN316" s="357">
        <v>210000</v>
      </c>
      <c r="EO316" s="357">
        <v>215500</v>
      </c>
      <c r="EP316" s="357">
        <v>0</v>
      </c>
      <c r="EQ316" s="357">
        <v>0</v>
      </c>
      <c r="ER316" s="357">
        <v>0</v>
      </c>
      <c r="ES316" s="357">
        <v>0</v>
      </c>
      <c r="ET316" s="357">
        <v>0</v>
      </c>
      <c r="EU316" s="357">
        <v>215500</v>
      </c>
      <c r="EV316" s="357">
        <v>0</v>
      </c>
      <c r="EW316" s="357">
        <v>0</v>
      </c>
      <c r="EX316" s="357">
        <v>215500</v>
      </c>
      <c r="EY316" s="357">
        <v>12549096</v>
      </c>
      <c r="EZ316" s="357">
        <v>0</v>
      </c>
      <c r="FA316" s="357">
        <v>0</v>
      </c>
      <c r="FB316" s="357">
        <v>12549096</v>
      </c>
      <c r="FC316" s="277">
        <v>0</v>
      </c>
      <c r="FD316" s="205"/>
    </row>
    <row r="317" spans="1:160" ht="12.75">
      <c r="A317" s="169">
        <v>310</v>
      </c>
      <c r="B317" s="172" t="s">
        <v>550</v>
      </c>
      <c r="C317" s="258" t="s">
        <v>551</v>
      </c>
      <c r="D317" s="235">
        <v>41654</v>
      </c>
      <c r="E317" s="357">
        <v>4183410803</v>
      </c>
      <c r="F317" s="357">
        <v>0</v>
      </c>
      <c r="G317" s="357">
        <v>0</v>
      </c>
      <c r="H317" s="357">
        <v>4183410803</v>
      </c>
      <c r="I317" s="357">
        <v>1970386488</v>
      </c>
      <c r="J317" s="357">
        <v>0</v>
      </c>
      <c r="K317" s="357">
        <v>0</v>
      </c>
      <c r="L317" s="357">
        <v>0</v>
      </c>
      <c r="M317" s="357">
        <v>0</v>
      </c>
      <c r="N317" s="357">
        <v>0</v>
      </c>
      <c r="O317" s="357">
        <v>1970386488</v>
      </c>
      <c r="P317" s="357">
        <v>0</v>
      </c>
      <c r="Q317" s="357">
        <v>0</v>
      </c>
      <c r="R317" s="357">
        <v>1970386488</v>
      </c>
      <c r="S317" s="357">
        <v>4027440.73</v>
      </c>
      <c r="T317" s="357">
        <v>0</v>
      </c>
      <c r="U317" s="357">
        <v>0</v>
      </c>
      <c r="V317" s="357">
        <v>4027440.73</v>
      </c>
      <c r="W317" s="357">
        <v>89807.52</v>
      </c>
      <c r="X317" s="357">
        <v>0</v>
      </c>
      <c r="Y317" s="357">
        <v>0</v>
      </c>
      <c r="Z317" s="357">
        <v>89807.52</v>
      </c>
      <c r="AA317" s="357">
        <v>3937633.21</v>
      </c>
      <c r="AB317" s="357">
        <v>0</v>
      </c>
      <c r="AC317" s="357">
        <v>0</v>
      </c>
      <c r="AD317" s="357">
        <v>0</v>
      </c>
      <c r="AE317" s="357">
        <v>0</v>
      </c>
      <c r="AF317" s="357">
        <v>0</v>
      </c>
      <c r="AG317" s="357">
        <v>3937633.21</v>
      </c>
      <c r="AH317" s="357">
        <v>0</v>
      </c>
      <c r="AI317" s="357">
        <v>0</v>
      </c>
      <c r="AJ317" s="357">
        <v>3937633.21</v>
      </c>
      <c r="AK317" s="357">
        <v>3937633.21</v>
      </c>
      <c r="AL317" s="357">
        <v>0</v>
      </c>
      <c r="AM317" s="357">
        <v>0</v>
      </c>
      <c r="AN317" s="357">
        <v>3937633.21</v>
      </c>
      <c r="AO317" s="357">
        <v>1884231.17</v>
      </c>
      <c r="AP317" s="357">
        <v>0</v>
      </c>
      <c r="AQ317" s="357">
        <v>0</v>
      </c>
      <c r="AR317" s="357">
        <v>1884231.17</v>
      </c>
      <c r="AS317" s="357">
        <v>0</v>
      </c>
      <c r="AT317" s="357">
        <v>0</v>
      </c>
      <c r="AU317" s="357">
        <v>0</v>
      </c>
      <c r="AV317" s="357">
        <v>0</v>
      </c>
      <c r="AW317" s="357">
        <v>44559728.9</v>
      </c>
      <c r="AX317" s="357">
        <v>0</v>
      </c>
      <c r="AY317" s="357">
        <v>0</v>
      </c>
      <c r="AZ317" s="357">
        <v>44559728.9</v>
      </c>
      <c r="BA317" s="357">
        <v>-42675498</v>
      </c>
      <c r="BB317" s="357">
        <v>0</v>
      </c>
      <c r="BC317" s="357">
        <v>0</v>
      </c>
      <c r="BD317" s="357">
        <v>-42675498</v>
      </c>
      <c r="BE317" s="357">
        <v>65489935.5</v>
      </c>
      <c r="BF317" s="357">
        <v>0</v>
      </c>
      <c r="BG317" s="357">
        <v>0</v>
      </c>
      <c r="BH317" s="357">
        <v>65489935.5</v>
      </c>
      <c r="BI317" s="357">
        <v>22750.4</v>
      </c>
      <c r="BJ317" s="357">
        <v>0</v>
      </c>
      <c r="BK317" s="357">
        <v>0</v>
      </c>
      <c r="BL317" s="357">
        <v>22750.4</v>
      </c>
      <c r="BM317" s="357">
        <v>0</v>
      </c>
      <c r="BN317" s="357">
        <v>0</v>
      </c>
      <c r="BO317" s="357">
        <v>0</v>
      </c>
      <c r="BP317" s="357">
        <v>0</v>
      </c>
      <c r="BQ317" s="357">
        <v>22837188.2</v>
      </c>
      <c r="BR317" s="357">
        <v>0</v>
      </c>
      <c r="BS317" s="357">
        <v>0</v>
      </c>
      <c r="BT317" s="357">
        <v>0</v>
      </c>
      <c r="BU317" s="357">
        <v>0</v>
      </c>
      <c r="BV317" s="357">
        <v>0</v>
      </c>
      <c r="BW317" s="357">
        <v>22837188.2</v>
      </c>
      <c r="BX317" s="357">
        <v>0</v>
      </c>
      <c r="BY317" s="357">
        <v>0</v>
      </c>
      <c r="BZ317" s="357">
        <v>22837188.2</v>
      </c>
      <c r="CA317" s="357">
        <v>0</v>
      </c>
      <c r="CB317" s="357">
        <v>0</v>
      </c>
      <c r="CC317" s="357">
        <v>0</v>
      </c>
      <c r="CD317" s="357">
        <v>0</v>
      </c>
      <c r="CE317" s="357">
        <v>122183557</v>
      </c>
      <c r="CF317" s="357">
        <v>0</v>
      </c>
      <c r="CG317" s="357">
        <v>0</v>
      </c>
      <c r="CH317" s="357">
        <v>122183557</v>
      </c>
      <c r="CI317" s="357">
        <v>122183557</v>
      </c>
      <c r="CJ317" s="357">
        <v>0</v>
      </c>
      <c r="CK317" s="357">
        <v>0</v>
      </c>
      <c r="CL317" s="357">
        <v>0</v>
      </c>
      <c r="CM317" s="357">
        <v>0</v>
      </c>
      <c r="CN317" s="357">
        <v>0</v>
      </c>
      <c r="CO317" s="357">
        <v>122183557</v>
      </c>
      <c r="CP317" s="357">
        <v>0</v>
      </c>
      <c r="CQ317" s="357">
        <v>0</v>
      </c>
      <c r="CR317" s="357">
        <v>122183557</v>
      </c>
      <c r="CS317" s="357">
        <v>325368.3</v>
      </c>
      <c r="CT317" s="357">
        <v>0</v>
      </c>
      <c r="CU317" s="357">
        <v>0</v>
      </c>
      <c r="CV317" s="357">
        <v>325368.3</v>
      </c>
      <c r="CW317" s="357">
        <v>13362.32</v>
      </c>
      <c r="CX317" s="357">
        <v>0</v>
      </c>
      <c r="CY317" s="357">
        <v>0</v>
      </c>
      <c r="CZ317" s="357">
        <v>13362.32</v>
      </c>
      <c r="DA317" s="357">
        <v>5687.6</v>
      </c>
      <c r="DB317" s="357">
        <v>0</v>
      </c>
      <c r="DC317" s="357">
        <v>0</v>
      </c>
      <c r="DD317" s="357">
        <v>5687.6</v>
      </c>
      <c r="DE317" s="357">
        <v>0</v>
      </c>
      <c r="DF317" s="357">
        <v>0</v>
      </c>
      <c r="DG317" s="357">
        <v>0</v>
      </c>
      <c r="DH317" s="357">
        <v>0</v>
      </c>
      <c r="DI317" s="357">
        <v>0</v>
      </c>
      <c r="DJ317" s="357">
        <v>0</v>
      </c>
      <c r="DK317" s="357">
        <v>0</v>
      </c>
      <c r="DL317" s="357">
        <v>0</v>
      </c>
      <c r="DM317" s="357">
        <v>0</v>
      </c>
      <c r="DN317" s="357">
        <v>0</v>
      </c>
      <c r="DO317" s="357">
        <v>0</v>
      </c>
      <c r="DP317" s="357">
        <v>0</v>
      </c>
      <c r="DQ317" s="357">
        <v>344418.22</v>
      </c>
      <c r="DR317" s="357">
        <v>0</v>
      </c>
      <c r="DS317" s="357">
        <v>0</v>
      </c>
      <c r="DT317" s="357">
        <v>0</v>
      </c>
      <c r="DU317" s="357">
        <v>0</v>
      </c>
      <c r="DV317" s="357">
        <v>0</v>
      </c>
      <c r="DW317" s="357">
        <v>344418.22</v>
      </c>
      <c r="DX317" s="357">
        <v>0</v>
      </c>
      <c r="DY317" s="357">
        <v>0</v>
      </c>
      <c r="DZ317" s="357">
        <v>344418.22</v>
      </c>
      <c r="EA317" s="357">
        <v>0</v>
      </c>
      <c r="EB317" s="357">
        <v>0</v>
      </c>
      <c r="EC317" s="357">
        <v>0</v>
      </c>
      <c r="ED317" s="357">
        <v>0</v>
      </c>
      <c r="EE317" s="357">
        <v>0</v>
      </c>
      <c r="EF317" s="357">
        <v>0</v>
      </c>
      <c r="EG317" s="357">
        <v>0</v>
      </c>
      <c r="EH317" s="357">
        <v>0</v>
      </c>
      <c r="EI317" s="357">
        <v>0</v>
      </c>
      <c r="EJ317" s="357">
        <v>0</v>
      </c>
      <c r="EK317" s="357">
        <v>3000000</v>
      </c>
      <c r="EL317" s="357">
        <v>0</v>
      </c>
      <c r="EM317" s="357">
        <v>0</v>
      </c>
      <c r="EN317" s="357">
        <v>3000000</v>
      </c>
      <c r="EO317" s="357">
        <v>3000000</v>
      </c>
      <c r="EP317" s="357">
        <v>0</v>
      </c>
      <c r="EQ317" s="357">
        <v>0</v>
      </c>
      <c r="ER317" s="357">
        <v>0</v>
      </c>
      <c r="ES317" s="357">
        <v>0</v>
      </c>
      <c r="ET317" s="357">
        <v>0</v>
      </c>
      <c r="EU317" s="357">
        <v>3000000</v>
      </c>
      <c r="EV317" s="357">
        <v>0</v>
      </c>
      <c r="EW317" s="357">
        <v>0</v>
      </c>
      <c r="EX317" s="357">
        <v>3000000</v>
      </c>
      <c r="EY317" s="357">
        <v>1818083691</v>
      </c>
      <c r="EZ317" s="357">
        <v>0</v>
      </c>
      <c r="FA317" s="357">
        <v>0</v>
      </c>
      <c r="FB317" s="357">
        <v>1818083691</v>
      </c>
      <c r="FC317" s="277">
        <v>0</v>
      </c>
      <c r="FD317" s="205"/>
    </row>
    <row r="318" spans="1:160" ht="12.75">
      <c r="A318" s="169">
        <v>311</v>
      </c>
      <c r="B318" s="172" t="s">
        <v>552</v>
      </c>
      <c r="C318" s="258" t="s">
        <v>553</v>
      </c>
      <c r="D318" s="235">
        <v>41547</v>
      </c>
      <c r="E318" s="357">
        <v>42634152</v>
      </c>
      <c r="F318" s="357">
        <v>0</v>
      </c>
      <c r="G318" s="357">
        <v>0</v>
      </c>
      <c r="H318" s="357">
        <v>42634152</v>
      </c>
      <c r="I318" s="357">
        <v>20080686</v>
      </c>
      <c r="J318" s="357">
        <v>0</v>
      </c>
      <c r="K318" s="357">
        <v>0</v>
      </c>
      <c r="L318" s="357">
        <v>0</v>
      </c>
      <c r="M318" s="357">
        <v>0</v>
      </c>
      <c r="N318" s="357">
        <v>0</v>
      </c>
      <c r="O318" s="357">
        <v>20080686</v>
      </c>
      <c r="P318" s="357">
        <v>0</v>
      </c>
      <c r="Q318" s="357">
        <v>0</v>
      </c>
      <c r="R318" s="357">
        <v>20080686</v>
      </c>
      <c r="S318" s="357">
        <v>32638</v>
      </c>
      <c r="T318" s="357">
        <v>0</v>
      </c>
      <c r="U318" s="357">
        <v>0</v>
      </c>
      <c r="V318" s="357">
        <v>32638</v>
      </c>
      <c r="W318" s="357">
        <v>13109</v>
      </c>
      <c r="X318" s="357">
        <v>0</v>
      </c>
      <c r="Y318" s="357">
        <v>0</v>
      </c>
      <c r="Z318" s="357">
        <v>13109</v>
      </c>
      <c r="AA318" s="357">
        <v>19529</v>
      </c>
      <c r="AB318" s="357">
        <v>0</v>
      </c>
      <c r="AC318" s="357">
        <v>0</v>
      </c>
      <c r="AD318" s="357">
        <v>0</v>
      </c>
      <c r="AE318" s="357">
        <v>0</v>
      </c>
      <c r="AF318" s="357">
        <v>0</v>
      </c>
      <c r="AG318" s="357">
        <v>19529</v>
      </c>
      <c r="AH318" s="357">
        <v>0</v>
      </c>
      <c r="AI318" s="357">
        <v>0</v>
      </c>
      <c r="AJ318" s="357">
        <v>19529</v>
      </c>
      <c r="AK318" s="357">
        <v>19529</v>
      </c>
      <c r="AL318" s="357">
        <v>0</v>
      </c>
      <c r="AM318" s="357">
        <v>0</v>
      </c>
      <c r="AN318" s="357">
        <v>19529</v>
      </c>
      <c r="AO318" s="357">
        <v>1515455</v>
      </c>
      <c r="AP318" s="357">
        <v>0</v>
      </c>
      <c r="AQ318" s="357">
        <v>0</v>
      </c>
      <c r="AR318" s="357">
        <v>1515455</v>
      </c>
      <c r="AS318" s="357">
        <v>10000</v>
      </c>
      <c r="AT318" s="357">
        <v>0</v>
      </c>
      <c r="AU318" s="357">
        <v>0</v>
      </c>
      <c r="AV318" s="357">
        <v>10000</v>
      </c>
      <c r="AW318" s="357">
        <v>377997</v>
      </c>
      <c r="AX318" s="357">
        <v>0</v>
      </c>
      <c r="AY318" s="357">
        <v>0</v>
      </c>
      <c r="AZ318" s="357">
        <v>377997</v>
      </c>
      <c r="BA318" s="357">
        <v>1137458</v>
      </c>
      <c r="BB318" s="357">
        <v>0</v>
      </c>
      <c r="BC318" s="357">
        <v>0</v>
      </c>
      <c r="BD318" s="357">
        <v>1137458</v>
      </c>
      <c r="BE318" s="357">
        <v>1088254</v>
      </c>
      <c r="BF318" s="357">
        <v>0</v>
      </c>
      <c r="BG318" s="357">
        <v>0</v>
      </c>
      <c r="BH318" s="357">
        <v>1088254</v>
      </c>
      <c r="BI318" s="357">
        <v>70563</v>
      </c>
      <c r="BJ318" s="357">
        <v>0</v>
      </c>
      <c r="BK318" s="357">
        <v>0</v>
      </c>
      <c r="BL318" s="357">
        <v>70563</v>
      </c>
      <c r="BM318" s="357">
        <v>0</v>
      </c>
      <c r="BN318" s="357">
        <v>0</v>
      </c>
      <c r="BO318" s="357">
        <v>0</v>
      </c>
      <c r="BP318" s="357">
        <v>0</v>
      </c>
      <c r="BQ318" s="357">
        <v>2296275</v>
      </c>
      <c r="BR318" s="357">
        <v>0</v>
      </c>
      <c r="BS318" s="357">
        <v>0</v>
      </c>
      <c r="BT318" s="357">
        <v>114814</v>
      </c>
      <c r="BU318" s="357">
        <v>0</v>
      </c>
      <c r="BV318" s="357">
        <v>0</v>
      </c>
      <c r="BW318" s="357">
        <v>2411089</v>
      </c>
      <c r="BX318" s="357">
        <v>0</v>
      </c>
      <c r="BY318" s="357">
        <v>0</v>
      </c>
      <c r="BZ318" s="357">
        <v>2411089</v>
      </c>
      <c r="CA318" s="357">
        <v>0</v>
      </c>
      <c r="CB318" s="357">
        <v>0</v>
      </c>
      <c r="CC318" s="357">
        <v>0</v>
      </c>
      <c r="CD318" s="357">
        <v>0</v>
      </c>
      <c r="CE318" s="357">
        <v>443297</v>
      </c>
      <c r="CF318" s="357">
        <v>0</v>
      </c>
      <c r="CG318" s="357">
        <v>0</v>
      </c>
      <c r="CH318" s="357">
        <v>443297</v>
      </c>
      <c r="CI318" s="357">
        <v>443297</v>
      </c>
      <c r="CJ318" s="357">
        <v>0</v>
      </c>
      <c r="CK318" s="357">
        <v>0</v>
      </c>
      <c r="CL318" s="357">
        <v>0</v>
      </c>
      <c r="CM318" s="357">
        <v>0</v>
      </c>
      <c r="CN318" s="357">
        <v>0</v>
      </c>
      <c r="CO318" s="357">
        <v>443297</v>
      </c>
      <c r="CP318" s="357">
        <v>0</v>
      </c>
      <c r="CQ318" s="357">
        <v>0</v>
      </c>
      <c r="CR318" s="357">
        <v>443297</v>
      </c>
      <c r="CS318" s="357">
        <v>25667</v>
      </c>
      <c r="CT318" s="357">
        <v>0</v>
      </c>
      <c r="CU318" s="357">
        <v>0</v>
      </c>
      <c r="CV318" s="357">
        <v>25667</v>
      </c>
      <c r="CW318" s="357">
        <v>95341</v>
      </c>
      <c r="CX318" s="357">
        <v>0</v>
      </c>
      <c r="CY318" s="357">
        <v>0</v>
      </c>
      <c r="CZ318" s="357">
        <v>95341</v>
      </c>
      <c r="DA318" s="357">
        <v>0</v>
      </c>
      <c r="DB318" s="357">
        <v>0</v>
      </c>
      <c r="DC318" s="357">
        <v>0</v>
      </c>
      <c r="DD318" s="357">
        <v>0</v>
      </c>
      <c r="DE318" s="357">
        <v>0</v>
      </c>
      <c r="DF318" s="357">
        <v>0</v>
      </c>
      <c r="DG318" s="357">
        <v>0</v>
      </c>
      <c r="DH318" s="357">
        <v>0</v>
      </c>
      <c r="DI318" s="357">
        <v>0</v>
      </c>
      <c r="DJ318" s="357">
        <v>0</v>
      </c>
      <c r="DK318" s="357">
        <v>0</v>
      </c>
      <c r="DL318" s="357">
        <v>0</v>
      </c>
      <c r="DM318" s="357">
        <v>0</v>
      </c>
      <c r="DN318" s="357">
        <v>0</v>
      </c>
      <c r="DO318" s="357">
        <v>0</v>
      </c>
      <c r="DP318" s="357">
        <v>0</v>
      </c>
      <c r="DQ318" s="357">
        <v>121008</v>
      </c>
      <c r="DR318" s="357">
        <v>0</v>
      </c>
      <c r="DS318" s="357">
        <v>0</v>
      </c>
      <c r="DT318" s="357">
        <v>0</v>
      </c>
      <c r="DU318" s="357">
        <v>0</v>
      </c>
      <c r="DV318" s="357">
        <v>0</v>
      </c>
      <c r="DW318" s="357">
        <v>121008</v>
      </c>
      <c r="DX318" s="357">
        <v>0</v>
      </c>
      <c r="DY318" s="357">
        <v>0</v>
      </c>
      <c r="DZ318" s="357">
        <v>121008</v>
      </c>
      <c r="EA318" s="357">
        <v>0</v>
      </c>
      <c r="EB318" s="357">
        <v>0</v>
      </c>
      <c r="EC318" s="357">
        <v>10000</v>
      </c>
      <c r="ED318" s="357">
        <v>0</v>
      </c>
      <c r="EE318" s="357">
        <v>0</v>
      </c>
      <c r="EF318" s="357">
        <v>10000</v>
      </c>
      <c r="EG318" s="357">
        <v>10000</v>
      </c>
      <c r="EH318" s="357">
        <v>0</v>
      </c>
      <c r="EI318" s="357">
        <v>0</v>
      </c>
      <c r="EJ318" s="357">
        <v>10000</v>
      </c>
      <c r="EK318" s="357">
        <v>492922.16</v>
      </c>
      <c r="EL318" s="357">
        <v>0</v>
      </c>
      <c r="EM318" s="357">
        <v>0</v>
      </c>
      <c r="EN318" s="357">
        <v>492922.16</v>
      </c>
      <c r="EO318" s="357">
        <v>512922.16</v>
      </c>
      <c r="EP318" s="357">
        <v>0</v>
      </c>
      <c r="EQ318" s="357">
        <v>0</v>
      </c>
      <c r="ER318" s="357">
        <v>0</v>
      </c>
      <c r="ES318" s="357">
        <v>0</v>
      </c>
      <c r="ET318" s="357">
        <v>0</v>
      </c>
      <c r="EU318" s="357">
        <v>512922.16</v>
      </c>
      <c r="EV318" s="357">
        <v>0</v>
      </c>
      <c r="EW318" s="357">
        <v>0</v>
      </c>
      <c r="EX318" s="357">
        <v>512922.16</v>
      </c>
      <c r="EY318" s="357">
        <v>16572840.8</v>
      </c>
      <c r="EZ318" s="357">
        <v>0</v>
      </c>
      <c r="FA318" s="357">
        <v>0</v>
      </c>
      <c r="FB318" s="357">
        <v>16572840.8</v>
      </c>
      <c r="FC318" s="277">
        <v>0</v>
      </c>
      <c r="FD318" s="205"/>
    </row>
    <row r="319" spans="1:160" ht="12.75">
      <c r="A319" s="169">
        <v>312</v>
      </c>
      <c r="B319" s="172" t="s">
        <v>554</v>
      </c>
      <c r="C319" s="258" t="s">
        <v>555</v>
      </c>
      <c r="D319" s="235">
        <v>41639</v>
      </c>
      <c r="E319" s="357">
        <v>209569227</v>
      </c>
      <c r="F319" s="357">
        <v>0</v>
      </c>
      <c r="G319" s="357">
        <v>0</v>
      </c>
      <c r="H319" s="357">
        <v>209569227</v>
      </c>
      <c r="I319" s="357">
        <v>98707106</v>
      </c>
      <c r="J319" s="357">
        <v>0</v>
      </c>
      <c r="K319" s="357">
        <v>0</v>
      </c>
      <c r="L319" s="357">
        <v>0</v>
      </c>
      <c r="M319" s="357">
        <v>0</v>
      </c>
      <c r="N319" s="357">
        <v>0</v>
      </c>
      <c r="O319" s="357">
        <v>98707106</v>
      </c>
      <c r="P319" s="357">
        <v>0</v>
      </c>
      <c r="Q319" s="357">
        <v>0</v>
      </c>
      <c r="R319" s="357">
        <v>98707106</v>
      </c>
      <c r="S319" s="357">
        <v>417387</v>
      </c>
      <c r="T319" s="357">
        <v>0</v>
      </c>
      <c r="U319" s="357">
        <v>0</v>
      </c>
      <c r="V319" s="357">
        <v>417387</v>
      </c>
      <c r="W319" s="357">
        <v>33987</v>
      </c>
      <c r="X319" s="357">
        <v>0</v>
      </c>
      <c r="Y319" s="357">
        <v>0</v>
      </c>
      <c r="Z319" s="357">
        <v>33987</v>
      </c>
      <c r="AA319" s="357">
        <v>383400</v>
      </c>
      <c r="AB319" s="357">
        <v>0</v>
      </c>
      <c r="AC319" s="357">
        <v>0</v>
      </c>
      <c r="AD319" s="357">
        <v>0</v>
      </c>
      <c r="AE319" s="357">
        <v>0</v>
      </c>
      <c r="AF319" s="357">
        <v>0</v>
      </c>
      <c r="AG319" s="357">
        <v>383400</v>
      </c>
      <c r="AH319" s="357">
        <v>0</v>
      </c>
      <c r="AI319" s="357">
        <v>0</v>
      </c>
      <c r="AJ319" s="357">
        <v>383400</v>
      </c>
      <c r="AK319" s="357">
        <v>383400</v>
      </c>
      <c r="AL319" s="357">
        <v>0</v>
      </c>
      <c r="AM319" s="357">
        <v>0</v>
      </c>
      <c r="AN319" s="357">
        <v>383400</v>
      </c>
      <c r="AO319" s="357">
        <v>3206177</v>
      </c>
      <c r="AP319" s="357">
        <v>0</v>
      </c>
      <c r="AQ319" s="357">
        <v>0</v>
      </c>
      <c r="AR319" s="357">
        <v>3206177</v>
      </c>
      <c r="AS319" s="357">
        <v>0</v>
      </c>
      <c r="AT319" s="357">
        <v>0</v>
      </c>
      <c r="AU319" s="357">
        <v>0</v>
      </c>
      <c r="AV319" s="357">
        <v>0</v>
      </c>
      <c r="AW319" s="357">
        <v>1923658</v>
      </c>
      <c r="AX319" s="357">
        <v>0</v>
      </c>
      <c r="AY319" s="357">
        <v>0</v>
      </c>
      <c r="AZ319" s="357">
        <v>1923658</v>
      </c>
      <c r="BA319" s="357">
        <v>1282519</v>
      </c>
      <c r="BB319" s="357">
        <v>0</v>
      </c>
      <c r="BC319" s="357">
        <v>0</v>
      </c>
      <c r="BD319" s="357">
        <v>1282519</v>
      </c>
      <c r="BE319" s="357">
        <v>5013575</v>
      </c>
      <c r="BF319" s="357">
        <v>0</v>
      </c>
      <c r="BG319" s="357">
        <v>0</v>
      </c>
      <c r="BH319" s="357">
        <v>5013575</v>
      </c>
      <c r="BI319" s="357">
        <v>160448</v>
      </c>
      <c r="BJ319" s="357">
        <v>0</v>
      </c>
      <c r="BK319" s="357">
        <v>0</v>
      </c>
      <c r="BL319" s="357">
        <v>160448</v>
      </c>
      <c r="BM319" s="357">
        <v>0</v>
      </c>
      <c r="BN319" s="357">
        <v>0</v>
      </c>
      <c r="BO319" s="357">
        <v>0</v>
      </c>
      <c r="BP319" s="357">
        <v>0</v>
      </c>
      <c r="BQ319" s="357">
        <v>6456542</v>
      </c>
      <c r="BR319" s="357">
        <v>0</v>
      </c>
      <c r="BS319" s="357">
        <v>0</v>
      </c>
      <c r="BT319" s="357">
        <v>0</v>
      </c>
      <c r="BU319" s="357">
        <v>0</v>
      </c>
      <c r="BV319" s="357">
        <v>0</v>
      </c>
      <c r="BW319" s="357">
        <v>6456542</v>
      </c>
      <c r="BX319" s="357">
        <v>0</v>
      </c>
      <c r="BY319" s="357">
        <v>0</v>
      </c>
      <c r="BZ319" s="357">
        <v>6456542</v>
      </c>
      <c r="CA319" s="357">
        <v>21360</v>
      </c>
      <c r="CB319" s="357">
        <v>0</v>
      </c>
      <c r="CC319" s="357">
        <v>0</v>
      </c>
      <c r="CD319" s="357">
        <v>21360</v>
      </c>
      <c r="CE319" s="357">
        <v>3218809</v>
      </c>
      <c r="CF319" s="357">
        <v>0</v>
      </c>
      <c r="CG319" s="357">
        <v>0</v>
      </c>
      <c r="CH319" s="357">
        <v>3218809</v>
      </c>
      <c r="CI319" s="357">
        <v>3240169</v>
      </c>
      <c r="CJ319" s="357">
        <v>0</v>
      </c>
      <c r="CK319" s="357">
        <v>0</v>
      </c>
      <c r="CL319" s="357">
        <v>0</v>
      </c>
      <c r="CM319" s="357">
        <v>0</v>
      </c>
      <c r="CN319" s="357">
        <v>0</v>
      </c>
      <c r="CO319" s="357">
        <v>3240169</v>
      </c>
      <c r="CP319" s="357">
        <v>0</v>
      </c>
      <c r="CQ319" s="357">
        <v>0</v>
      </c>
      <c r="CR319" s="357">
        <v>3240169</v>
      </c>
      <c r="CS319" s="357">
        <v>772813</v>
      </c>
      <c r="CT319" s="357">
        <v>0</v>
      </c>
      <c r="CU319" s="357">
        <v>0</v>
      </c>
      <c r="CV319" s="357">
        <v>772813</v>
      </c>
      <c r="CW319" s="357">
        <v>485652</v>
      </c>
      <c r="CX319" s="357">
        <v>0</v>
      </c>
      <c r="CY319" s="357">
        <v>0</v>
      </c>
      <c r="CZ319" s="357">
        <v>485652</v>
      </c>
      <c r="DA319" s="357">
        <v>28158</v>
      </c>
      <c r="DB319" s="357">
        <v>0</v>
      </c>
      <c r="DC319" s="357">
        <v>0</v>
      </c>
      <c r="DD319" s="357">
        <v>28158</v>
      </c>
      <c r="DE319" s="357">
        <v>0</v>
      </c>
      <c r="DF319" s="357">
        <v>0</v>
      </c>
      <c r="DG319" s="357">
        <v>0</v>
      </c>
      <c r="DH319" s="357">
        <v>0</v>
      </c>
      <c r="DI319" s="357">
        <v>0</v>
      </c>
      <c r="DJ319" s="357">
        <v>0</v>
      </c>
      <c r="DK319" s="357">
        <v>0</v>
      </c>
      <c r="DL319" s="357">
        <v>0</v>
      </c>
      <c r="DM319" s="357">
        <v>0</v>
      </c>
      <c r="DN319" s="357">
        <v>0</v>
      </c>
      <c r="DO319" s="357">
        <v>0</v>
      </c>
      <c r="DP319" s="357">
        <v>0</v>
      </c>
      <c r="DQ319" s="357">
        <v>1286623</v>
      </c>
      <c r="DR319" s="357">
        <v>0</v>
      </c>
      <c r="DS319" s="357">
        <v>0</v>
      </c>
      <c r="DT319" s="357">
        <v>0</v>
      </c>
      <c r="DU319" s="357">
        <v>0</v>
      </c>
      <c r="DV319" s="357">
        <v>0</v>
      </c>
      <c r="DW319" s="357">
        <v>1286623</v>
      </c>
      <c r="DX319" s="357">
        <v>0</v>
      </c>
      <c r="DY319" s="357">
        <v>0</v>
      </c>
      <c r="DZ319" s="357">
        <v>1286623</v>
      </c>
      <c r="EA319" s="357">
        <v>0</v>
      </c>
      <c r="EB319" s="357">
        <v>0</v>
      </c>
      <c r="EC319" s="357">
        <v>0</v>
      </c>
      <c r="ED319" s="357">
        <v>0</v>
      </c>
      <c r="EE319" s="357">
        <v>0</v>
      </c>
      <c r="EF319" s="357">
        <v>0</v>
      </c>
      <c r="EG319" s="357">
        <v>0</v>
      </c>
      <c r="EH319" s="357">
        <v>0</v>
      </c>
      <c r="EI319" s="357">
        <v>0</v>
      </c>
      <c r="EJ319" s="357">
        <v>0</v>
      </c>
      <c r="EK319" s="357">
        <v>1257067</v>
      </c>
      <c r="EL319" s="357">
        <v>0</v>
      </c>
      <c r="EM319" s="357">
        <v>0</v>
      </c>
      <c r="EN319" s="357">
        <v>1257067</v>
      </c>
      <c r="EO319" s="357">
        <v>1257067</v>
      </c>
      <c r="EP319" s="357">
        <v>0</v>
      </c>
      <c r="EQ319" s="357">
        <v>0</v>
      </c>
      <c r="ER319" s="357">
        <v>0</v>
      </c>
      <c r="ES319" s="357">
        <v>0</v>
      </c>
      <c r="ET319" s="357">
        <v>0</v>
      </c>
      <c r="EU319" s="357">
        <v>1257067</v>
      </c>
      <c r="EV319" s="357">
        <v>0</v>
      </c>
      <c r="EW319" s="357">
        <v>0</v>
      </c>
      <c r="EX319" s="357">
        <v>1257067</v>
      </c>
      <c r="EY319" s="357">
        <v>86083305</v>
      </c>
      <c r="EZ319" s="357">
        <v>0</v>
      </c>
      <c r="FA319" s="357">
        <v>0</v>
      </c>
      <c r="FB319" s="357">
        <v>86083305</v>
      </c>
      <c r="FC319" s="277">
        <v>0</v>
      </c>
      <c r="FD319" s="205"/>
    </row>
    <row r="320" spans="1:160" ht="12.75">
      <c r="A320" s="169">
        <v>313</v>
      </c>
      <c r="B320" s="172" t="s">
        <v>556</v>
      </c>
      <c r="C320" s="258" t="s">
        <v>557</v>
      </c>
      <c r="D320" s="235">
        <v>41661</v>
      </c>
      <c r="E320" s="357">
        <v>355623988</v>
      </c>
      <c r="F320" s="357">
        <v>0</v>
      </c>
      <c r="G320" s="357">
        <v>0</v>
      </c>
      <c r="H320" s="357">
        <v>355623988</v>
      </c>
      <c r="I320" s="357">
        <v>167498898</v>
      </c>
      <c r="J320" s="357">
        <v>0</v>
      </c>
      <c r="K320" s="357">
        <v>0</v>
      </c>
      <c r="L320" s="357">
        <v>2512483</v>
      </c>
      <c r="M320" s="357">
        <v>0</v>
      </c>
      <c r="N320" s="357">
        <v>0</v>
      </c>
      <c r="O320" s="357">
        <v>170011381</v>
      </c>
      <c r="P320" s="357">
        <v>0</v>
      </c>
      <c r="Q320" s="357">
        <v>0</v>
      </c>
      <c r="R320" s="357">
        <v>170011381</v>
      </c>
      <c r="S320" s="357">
        <v>200760</v>
      </c>
      <c r="T320" s="357">
        <v>0</v>
      </c>
      <c r="U320" s="357">
        <v>0</v>
      </c>
      <c r="V320" s="357">
        <v>200760</v>
      </c>
      <c r="W320" s="357">
        <v>16190</v>
      </c>
      <c r="X320" s="357">
        <v>0</v>
      </c>
      <c r="Y320" s="357">
        <v>0</v>
      </c>
      <c r="Z320" s="357">
        <v>16190</v>
      </c>
      <c r="AA320" s="357">
        <v>184570</v>
      </c>
      <c r="AB320" s="357">
        <v>0</v>
      </c>
      <c r="AC320" s="357">
        <v>0</v>
      </c>
      <c r="AD320" s="357">
        <v>0</v>
      </c>
      <c r="AE320" s="357">
        <v>0</v>
      </c>
      <c r="AF320" s="357">
        <v>0</v>
      </c>
      <c r="AG320" s="357">
        <v>184570</v>
      </c>
      <c r="AH320" s="357">
        <v>0</v>
      </c>
      <c r="AI320" s="357">
        <v>0</v>
      </c>
      <c r="AJ320" s="357">
        <v>184570</v>
      </c>
      <c r="AK320" s="357">
        <v>184570</v>
      </c>
      <c r="AL320" s="357">
        <v>0</v>
      </c>
      <c r="AM320" s="357">
        <v>0</v>
      </c>
      <c r="AN320" s="357">
        <v>184570</v>
      </c>
      <c r="AO320" s="357">
        <v>8851238</v>
      </c>
      <c r="AP320" s="357">
        <v>0</v>
      </c>
      <c r="AQ320" s="357">
        <v>0</v>
      </c>
      <c r="AR320" s="357">
        <v>8851238</v>
      </c>
      <c r="AS320" s="357">
        <v>0</v>
      </c>
      <c r="AT320" s="357">
        <v>0</v>
      </c>
      <c r="AU320" s="357">
        <v>0</v>
      </c>
      <c r="AV320" s="357">
        <v>0</v>
      </c>
      <c r="AW320" s="357">
        <v>3274957</v>
      </c>
      <c r="AX320" s="357">
        <v>0</v>
      </c>
      <c r="AY320" s="357">
        <v>0</v>
      </c>
      <c r="AZ320" s="357">
        <v>3274957</v>
      </c>
      <c r="BA320" s="357">
        <v>5576281</v>
      </c>
      <c r="BB320" s="357">
        <v>0</v>
      </c>
      <c r="BC320" s="357">
        <v>0</v>
      </c>
      <c r="BD320" s="357">
        <v>5576281</v>
      </c>
      <c r="BE320" s="357">
        <v>9271457</v>
      </c>
      <c r="BF320" s="357">
        <v>0</v>
      </c>
      <c r="BG320" s="357">
        <v>0</v>
      </c>
      <c r="BH320" s="357">
        <v>9271457</v>
      </c>
      <c r="BI320" s="357">
        <v>163614</v>
      </c>
      <c r="BJ320" s="357">
        <v>0</v>
      </c>
      <c r="BK320" s="357">
        <v>0</v>
      </c>
      <c r="BL320" s="357">
        <v>163614</v>
      </c>
      <c r="BM320" s="357">
        <v>231244</v>
      </c>
      <c r="BN320" s="357">
        <v>0</v>
      </c>
      <c r="BO320" s="357">
        <v>0</v>
      </c>
      <c r="BP320" s="357">
        <v>231244</v>
      </c>
      <c r="BQ320" s="357">
        <v>15242596</v>
      </c>
      <c r="BR320" s="357">
        <v>0</v>
      </c>
      <c r="BS320" s="357">
        <v>0</v>
      </c>
      <c r="BT320" s="357">
        <v>228639</v>
      </c>
      <c r="BU320" s="357">
        <v>0</v>
      </c>
      <c r="BV320" s="357">
        <v>0</v>
      </c>
      <c r="BW320" s="357">
        <v>15471235</v>
      </c>
      <c r="BX320" s="357">
        <v>0</v>
      </c>
      <c r="BY320" s="357">
        <v>0</v>
      </c>
      <c r="BZ320" s="357">
        <v>15471235</v>
      </c>
      <c r="CA320" s="357">
        <v>250000</v>
      </c>
      <c r="CB320" s="357">
        <v>0</v>
      </c>
      <c r="CC320" s="357">
        <v>0</v>
      </c>
      <c r="CD320" s="357">
        <v>250000</v>
      </c>
      <c r="CE320" s="357">
        <v>3349101</v>
      </c>
      <c r="CF320" s="357">
        <v>0</v>
      </c>
      <c r="CG320" s="357">
        <v>0</v>
      </c>
      <c r="CH320" s="357">
        <v>3349101</v>
      </c>
      <c r="CI320" s="357">
        <v>3599101</v>
      </c>
      <c r="CJ320" s="357">
        <v>0</v>
      </c>
      <c r="CK320" s="357">
        <v>0</v>
      </c>
      <c r="CL320" s="357">
        <v>0</v>
      </c>
      <c r="CM320" s="357">
        <v>0</v>
      </c>
      <c r="CN320" s="357">
        <v>0</v>
      </c>
      <c r="CO320" s="357">
        <v>3599101</v>
      </c>
      <c r="CP320" s="357">
        <v>0</v>
      </c>
      <c r="CQ320" s="357">
        <v>0</v>
      </c>
      <c r="CR320" s="357">
        <v>3599101</v>
      </c>
      <c r="CS320" s="357">
        <v>528184</v>
      </c>
      <c r="CT320" s="357">
        <v>0</v>
      </c>
      <c r="CU320" s="357">
        <v>0</v>
      </c>
      <c r="CV320" s="357">
        <v>528184</v>
      </c>
      <c r="CW320" s="357">
        <v>319751</v>
      </c>
      <c r="CX320" s="357">
        <v>0</v>
      </c>
      <c r="CY320" s="357">
        <v>0</v>
      </c>
      <c r="CZ320" s="357">
        <v>319751</v>
      </c>
      <c r="DA320" s="357">
        <v>0</v>
      </c>
      <c r="DB320" s="357">
        <v>0</v>
      </c>
      <c r="DC320" s="357">
        <v>0</v>
      </c>
      <c r="DD320" s="357">
        <v>0</v>
      </c>
      <c r="DE320" s="357">
        <v>240318</v>
      </c>
      <c r="DF320" s="357">
        <v>0</v>
      </c>
      <c r="DG320" s="357">
        <v>0</v>
      </c>
      <c r="DH320" s="357">
        <v>240318</v>
      </c>
      <c r="DI320" s="357">
        <v>0</v>
      </c>
      <c r="DJ320" s="357">
        <v>0</v>
      </c>
      <c r="DK320" s="357">
        <v>0</v>
      </c>
      <c r="DL320" s="357">
        <v>0</v>
      </c>
      <c r="DM320" s="357">
        <v>0</v>
      </c>
      <c r="DN320" s="357">
        <v>0</v>
      </c>
      <c r="DO320" s="357">
        <v>0</v>
      </c>
      <c r="DP320" s="357">
        <v>0</v>
      </c>
      <c r="DQ320" s="357">
        <v>1088253</v>
      </c>
      <c r="DR320" s="357">
        <v>0</v>
      </c>
      <c r="DS320" s="357">
        <v>0</v>
      </c>
      <c r="DT320" s="357">
        <v>16324</v>
      </c>
      <c r="DU320" s="357">
        <v>0</v>
      </c>
      <c r="DV320" s="357">
        <v>0</v>
      </c>
      <c r="DW320" s="357">
        <v>1104577</v>
      </c>
      <c r="DX320" s="357">
        <v>0</v>
      </c>
      <c r="DY320" s="357">
        <v>0</v>
      </c>
      <c r="DZ320" s="357">
        <v>1104577</v>
      </c>
      <c r="EA320" s="357">
        <v>0</v>
      </c>
      <c r="EB320" s="357">
        <v>0</v>
      </c>
      <c r="EC320" s="357">
        <v>100000</v>
      </c>
      <c r="ED320" s="357">
        <v>0</v>
      </c>
      <c r="EE320" s="357">
        <v>0</v>
      </c>
      <c r="EF320" s="357">
        <v>100000</v>
      </c>
      <c r="EG320" s="357">
        <v>180000</v>
      </c>
      <c r="EH320" s="357">
        <v>0</v>
      </c>
      <c r="EI320" s="357">
        <v>0</v>
      </c>
      <c r="EJ320" s="357">
        <v>180000</v>
      </c>
      <c r="EK320" s="357">
        <v>2155000</v>
      </c>
      <c r="EL320" s="357">
        <v>0</v>
      </c>
      <c r="EM320" s="357">
        <v>0</v>
      </c>
      <c r="EN320" s="357">
        <v>2155000</v>
      </c>
      <c r="EO320" s="357">
        <v>2435000</v>
      </c>
      <c r="EP320" s="357">
        <v>0</v>
      </c>
      <c r="EQ320" s="357">
        <v>0</v>
      </c>
      <c r="ER320" s="357">
        <v>0</v>
      </c>
      <c r="ES320" s="357">
        <v>0</v>
      </c>
      <c r="ET320" s="357">
        <v>0</v>
      </c>
      <c r="EU320" s="357">
        <v>2435000</v>
      </c>
      <c r="EV320" s="357">
        <v>0</v>
      </c>
      <c r="EW320" s="357">
        <v>0</v>
      </c>
      <c r="EX320" s="357">
        <v>2435000</v>
      </c>
      <c r="EY320" s="357">
        <v>147216898</v>
      </c>
      <c r="EZ320" s="357">
        <v>0</v>
      </c>
      <c r="FA320" s="357">
        <v>0</v>
      </c>
      <c r="FB320" s="357">
        <v>147216898</v>
      </c>
      <c r="FC320" s="277">
        <v>0</v>
      </c>
      <c r="FD320" s="205"/>
    </row>
    <row r="321" spans="1:160" ht="12.75">
      <c r="A321" s="169">
        <v>314</v>
      </c>
      <c r="B321" s="172" t="s">
        <v>558</v>
      </c>
      <c r="C321" s="258" t="s">
        <v>559</v>
      </c>
      <c r="D321" s="235">
        <v>41654</v>
      </c>
      <c r="E321" s="357">
        <v>133205271</v>
      </c>
      <c r="F321" s="357">
        <v>0</v>
      </c>
      <c r="G321" s="357">
        <v>0</v>
      </c>
      <c r="H321" s="357">
        <v>133205271</v>
      </c>
      <c r="I321" s="357">
        <v>62739683</v>
      </c>
      <c r="J321" s="357">
        <v>0</v>
      </c>
      <c r="K321" s="357">
        <v>0</v>
      </c>
      <c r="L321" s="357">
        <v>0</v>
      </c>
      <c r="M321" s="357">
        <v>0</v>
      </c>
      <c r="N321" s="357">
        <v>0</v>
      </c>
      <c r="O321" s="357">
        <v>62739683</v>
      </c>
      <c r="P321" s="357">
        <v>0</v>
      </c>
      <c r="Q321" s="357">
        <v>0</v>
      </c>
      <c r="R321" s="357">
        <v>62739683</v>
      </c>
      <c r="S321" s="357">
        <v>183114.94</v>
      </c>
      <c r="T321" s="357">
        <v>0</v>
      </c>
      <c r="U321" s="357">
        <v>0</v>
      </c>
      <c r="V321" s="357">
        <v>183114.94</v>
      </c>
      <c r="W321" s="357">
        <v>14900.67</v>
      </c>
      <c r="X321" s="357">
        <v>0</v>
      </c>
      <c r="Y321" s="357">
        <v>0</v>
      </c>
      <c r="Z321" s="357">
        <v>14900.67</v>
      </c>
      <c r="AA321" s="357">
        <v>168214.27</v>
      </c>
      <c r="AB321" s="357">
        <v>0</v>
      </c>
      <c r="AC321" s="357">
        <v>0</v>
      </c>
      <c r="AD321" s="357">
        <v>0</v>
      </c>
      <c r="AE321" s="357">
        <v>0</v>
      </c>
      <c r="AF321" s="357">
        <v>0</v>
      </c>
      <c r="AG321" s="357">
        <v>168214.27</v>
      </c>
      <c r="AH321" s="357">
        <v>0</v>
      </c>
      <c r="AI321" s="357">
        <v>0</v>
      </c>
      <c r="AJ321" s="357">
        <v>168214.27</v>
      </c>
      <c r="AK321" s="357">
        <v>168214.27</v>
      </c>
      <c r="AL321" s="357">
        <v>0</v>
      </c>
      <c r="AM321" s="357">
        <v>0</v>
      </c>
      <c r="AN321" s="357">
        <v>168214.27</v>
      </c>
      <c r="AO321" s="357">
        <v>2399486</v>
      </c>
      <c r="AP321" s="357">
        <v>0</v>
      </c>
      <c r="AQ321" s="357">
        <v>0</v>
      </c>
      <c r="AR321" s="357">
        <v>2399486</v>
      </c>
      <c r="AS321" s="357">
        <v>56520</v>
      </c>
      <c r="AT321" s="357">
        <v>0</v>
      </c>
      <c r="AU321" s="357">
        <v>0</v>
      </c>
      <c r="AV321" s="357">
        <v>56520</v>
      </c>
      <c r="AW321" s="357">
        <v>1279819.54</v>
      </c>
      <c r="AX321" s="357">
        <v>0</v>
      </c>
      <c r="AY321" s="357">
        <v>0</v>
      </c>
      <c r="AZ321" s="357">
        <v>1279819.54</v>
      </c>
      <c r="BA321" s="357">
        <v>1119666.46</v>
      </c>
      <c r="BB321" s="357">
        <v>0</v>
      </c>
      <c r="BC321" s="357">
        <v>0</v>
      </c>
      <c r="BD321" s="357">
        <v>1119666.46</v>
      </c>
      <c r="BE321" s="357">
        <v>3138678.23</v>
      </c>
      <c r="BF321" s="357">
        <v>0</v>
      </c>
      <c r="BG321" s="357">
        <v>0</v>
      </c>
      <c r="BH321" s="357">
        <v>3138678.23</v>
      </c>
      <c r="BI321" s="357">
        <v>44010.46</v>
      </c>
      <c r="BJ321" s="357">
        <v>0</v>
      </c>
      <c r="BK321" s="357">
        <v>0</v>
      </c>
      <c r="BL321" s="357">
        <v>44010.46</v>
      </c>
      <c r="BM321" s="357">
        <v>14520.25</v>
      </c>
      <c r="BN321" s="357">
        <v>0</v>
      </c>
      <c r="BO321" s="357">
        <v>0</v>
      </c>
      <c r="BP321" s="357">
        <v>14520.25</v>
      </c>
      <c r="BQ321" s="357">
        <v>4316875.4</v>
      </c>
      <c r="BR321" s="357">
        <v>0</v>
      </c>
      <c r="BS321" s="357">
        <v>0</v>
      </c>
      <c r="BT321" s="357">
        <v>0</v>
      </c>
      <c r="BU321" s="357">
        <v>0</v>
      </c>
      <c r="BV321" s="357">
        <v>0</v>
      </c>
      <c r="BW321" s="357">
        <v>4316875.4</v>
      </c>
      <c r="BX321" s="357">
        <v>0</v>
      </c>
      <c r="BY321" s="357">
        <v>0</v>
      </c>
      <c r="BZ321" s="357">
        <v>4316875.4</v>
      </c>
      <c r="CA321" s="357">
        <v>7570</v>
      </c>
      <c r="CB321" s="357">
        <v>0</v>
      </c>
      <c r="CC321" s="357">
        <v>0</v>
      </c>
      <c r="CD321" s="357">
        <v>7570</v>
      </c>
      <c r="CE321" s="357">
        <v>1368988.17</v>
      </c>
      <c r="CF321" s="357">
        <v>0</v>
      </c>
      <c r="CG321" s="357">
        <v>0</v>
      </c>
      <c r="CH321" s="357">
        <v>1368988.17</v>
      </c>
      <c r="CI321" s="357">
        <v>1376558.17</v>
      </c>
      <c r="CJ321" s="357">
        <v>0</v>
      </c>
      <c r="CK321" s="357">
        <v>0</v>
      </c>
      <c r="CL321" s="357">
        <v>0</v>
      </c>
      <c r="CM321" s="357">
        <v>0</v>
      </c>
      <c r="CN321" s="357">
        <v>0</v>
      </c>
      <c r="CO321" s="357">
        <v>1376558.17</v>
      </c>
      <c r="CP321" s="357">
        <v>0</v>
      </c>
      <c r="CQ321" s="357">
        <v>0</v>
      </c>
      <c r="CR321" s="357">
        <v>1376558.17</v>
      </c>
      <c r="CS321" s="357">
        <v>73929.89</v>
      </c>
      <c r="CT321" s="357">
        <v>0</v>
      </c>
      <c r="CU321" s="357">
        <v>0</v>
      </c>
      <c r="CV321" s="357">
        <v>73929.89</v>
      </c>
      <c r="CW321" s="357">
        <v>182376.75</v>
      </c>
      <c r="CX321" s="357">
        <v>0</v>
      </c>
      <c r="CY321" s="357">
        <v>0</v>
      </c>
      <c r="CZ321" s="357">
        <v>182376.75</v>
      </c>
      <c r="DA321" s="357">
        <v>3995.78</v>
      </c>
      <c r="DB321" s="357">
        <v>0</v>
      </c>
      <c r="DC321" s="357">
        <v>0</v>
      </c>
      <c r="DD321" s="357">
        <v>3995.78</v>
      </c>
      <c r="DE321" s="357">
        <v>8451.87</v>
      </c>
      <c r="DF321" s="357">
        <v>0</v>
      </c>
      <c r="DG321" s="357">
        <v>0</v>
      </c>
      <c r="DH321" s="357">
        <v>8451.87</v>
      </c>
      <c r="DI321" s="357">
        <v>11448.86</v>
      </c>
      <c r="DJ321" s="357">
        <v>0</v>
      </c>
      <c r="DK321" s="357">
        <v>0</v>
      </c>
      <c r="DL321" s="357">
        <v>11448.86</v>
      </c>
      <c r="DM321" s="357">
        <v>0</v>
      </c>
      <c r="DN321" s="357">
        <v>0</v>
      </c>
      <c r="DO321" s="357">
        <v>0</v>
      </c>
      <c r="DP321" s="357">
        <v>0</v>
      </c>
      <c r="DQ321" s="357">
        <v>280203.15</v>
      </c>
      <c r="DR321" s="357">
        <v>0</v>
      </c>
      <c r="DS321" s="357">
        <v>0</v>
      </c>
      <c r="DT321" s="357">
        <v>0</v>
      </c>
      <c r="DU321" s="357">
        <v>0</v>
      </c>
      <c r="DV321" s="357">
        <v>0</v>
      </c>
      <c r="DW321" s="357">
        <v>280203.15</v>
      </c>
      <c r="DX321" s="357">
        <v>0</v>
      </c>
      <c r="DY321" s="357">
        <v>0</v>
      </c>
      <c r="DZ321" s="357">
        <v>280203.15</v>
      </c>
      <c r="EA321" s="357">
        <v>0</v>
      </c>
      <c r="EB321" s="357">
        <v>0</v>
      </c>
      <c r="EC321" s="357">
        <v>78233</v>
      </c>
      <c r="ED321" s="357">
        <v>0</v>
      </c>
      <c r="EE321" s="357">
        <v>0</v>
      </c>
      <c r="EF321" s="357">
        <v>78233</v>
      </c>
      <c r="EG321" s="357">
        <v>80316.27</v>
      </c>
      <c r="EH321" s="357">
        <v>0</v>
      </c>
      <c r="EI321" s="357">
        <v>0</v>
      </c>
      <c r="EJ321" s="357">
        <v>80316.27</v>
      </c>
      <c r="EK321" s="357">
        <v>688675</v>
      </c>
      <c r="EL321" s="357">
        <v>0</v>
      </c>
      <c r="EM321" s="357">
        <v>0</v>
      </c>
      <c r="EN321" s="357">
        <v>688675</v>
      </c>
      <c r="EO321" s="357">
        <v>847224.27</v>
      </c>
      <c r="EP321" s="357">
        <v>0</v>
      </c>
      <c r="EQ321" s="357">
        <v>0</v>
      </c>
      <c r="ER321" s="357">
        <v>0</v>
      </c>
      <c r="ES321" s="357">
        <v>0</v>
      </c>
      <c r="ET321" s="357">
        <v>0</v>
      </c>
      <c r="EU321" s="357">
        <v>847224.27</v>
      </c>
      <c r="EV321" s="357">
        <v>0</v>
      </c>
      <c r="EW321" s="357">
        <v>0</v>
      </c>
      <c r="EX321" s="357">
        <v>847224.27</v>
      </c>
      <c r="EY321" s="357">
        <v>55750607.7</v>
      </c>
      <c r="EZ321" s="357">
        <v>0</v>
      </c>
      <c r="FA321" s="357">
        <v>0</v>
      </c>
      <c r="FB321" s="357">
        <v>55750607.7</v>
      </c>
      <c r="FC321" s="277">
        <v>0</v>
      </c>
      <c r="FD321" s="205"/>
    </row>
    <row r="322" spans="1:160" ht="12.75">
      <c r="A322" s="169">
        <v>315</v>
      </c>
      <c r="B322" s="172" t="s">
        <v>560</v>
      </c>
      <c r="C322" s="258" t="s">
        <v>561</v>
      </c>
      <c r="D322" s="235">
        <v>41547</v>
      </c>
      <c r="E322" s="357">
        <v>193376925</v>
      </c>
      <c r="F322" s="357">
        <v>0</v>
      </c>
      <c r="G322" s="357">
        <v>0</v>
      </c>
      <c r="H322" s="357">
        <v>193376925</v>
      </c>
      <c r="I322" s="357">
        <v>91080532</v>
      </c>
      <c r="J322" s="357">
        <v>0</v>
      </c>
      <c r="K322" s="357">
        <v>0</v>
      </c>
      <c r="L322" s="357">
        <v>-3000000</v>
      </c>
      <c r="M322" s="357">
        <v>0</v>
      </c>
      <c r="N322" s="357">
        <v>0</v>
      </c>
      <c r="O322" s="357">
        <v>88080532</v>
      </c>
      <c r="P322" s="357">
        <v>0</v>
      </c>
      <c r="Q322" s="357">
        <v>0</v>
      </c>
      <c r="R322" s="357">
        <v>88080532</v>
      </c>
      <c r="S322" s="357">
        <v>63694</v>
      </c>
      <c r="T322" s="357">
        <v>0</v>
      </c>
      <c r="U322" s="357">
        <v>0</v>
      </c>
      <c r="V322" s="357">
        <v>63694</v>
      </c>
      <c r="W322" s="357">
        <v>20419.69</v>
      </c>
      <c r="X322" s="357">
        <v>0</v>
      </c>
      <c r="Y322" s="357">
        <v>0</v>
      </c>
      <c r="Z322" s="357">
        <v>20419.69</v>
      </c>
      <c r="AA322" s="357">
        <v>43274.31</v>
      </c>
      <c r="AB322" s="357">
        <v>0</v>
      </c>
      <c r="AC322" s="357">
        <v>0</v>
      </c>
      <c r="AD322" s="357">
        <v>0</v>
      </c>
      <c r="AE322" s="357">
        <v>0</v>
      </c>
      <c r="AF322" s="357">
        <v>0</v>
      </c>
      <c r="AG322" s="357">
        <v>43274.31</v>
      </c>
      <c r="AH322" s="357">
        <v>0</v>
      </c>
      <c r="AI322" s="357">
        <v>0</v>
      </c>
      <c r="AJ322" s="357">
        <v>43274.31</v>
      </c>
      <c r="AK322" s="357">
        <v>43274.31</v>
      </c>
      <c r="AL322" s="357">
        <v>0</v>
      </c>
      <c r="AM322" s="357">
        <v>0</v>
      </c>
      <c r="AN322" s="357">
        <v>43274.31</v>
      </c>
      <c r="AO322" s="357">
        <v>1687974</v>
      </c>
      <c r="AP322" s="357">
        <v>0</v>
      </c>
      <c r="AQ322" s="357">
        <v>0</v>
      </c>
      <c r="AR322" s="357">
        <v>1687974</v>
      </c>
      <c r="AS322" s="357">
        <v>0</v>
      </c>
      <c r="AT322" s="357">
        <v>0</v>
      </c>
      <c r="AU322" s="357">
        <v>0</v>
      </c>
      <c r="AV322" s="357">
        <v>0</v>
      </c>
      <c r="AW322" s="357">
        <v>1925175</v>
      </c>
      <c r="AX322" s="357">
        <v>0</v>
      </c>
      <c r="AY322" s="357">
        <v>0</v>
      </c>
      <c r="AZ322" s="357">
        <v>1925175</v>
      </c>
      <c r="BA322" s="357">
        <v>-237201</v>
      </c>
      <c r="BB322" s="357">
        <v>0</v>
      </c>
      <c r="BC322" s="357">
        <v>0</v>
      </c>
      <c r="BD322" s="357">
        <v>-237201</v>
      </c>
      <c r="BE322" s="357">
        <v>5315294</v>
      </c>
      <c r="BF322" s="357">
        <v>0</v>
      </c>
      <c r="BG322" s="357">
        <v>0</v>
      </c>
      <c r="BH322" s="357">
        <v>5315294</v>
      </c>
      <c r="BI322" s="357">
        <v>100000</v>
      </c>
      <c r="BJ322" s="357">
        <v>0</v>
      </c>
      <c r="BK322" s="357">
        <v>0</v>
      </c>
      <c r="BL322" s="357">
        <v>100000</v>
      </c>
      <c r="BM322" s="357">
        <v>10000</v>
      </c>
      <c r="BN322" s="357">
        <v>0</v>
      </c>
      <c r="BO322" s="357">
        <v>0</v>
      </c>
      <c r="BP322" s="357">
        <v>10000</v>
      </c>
      <c r="BQ322" s="357">
        <v>5188093</v>
      </c>
      <c r="BR322" s="357">
        <v>0</v>
      </c>
      <c r="BS322" s="357">
        <v>0</v>
      </c>
      <c r="BT322" s="357">
        <v>0</v>
      </c>
      <c r="BU322" s="357">
        <v>0</v>
      </c>
      <c r="BV322" s="357">
        <v>0</v>
      </c>
      <c r="BW322" s="357">
        <v>5188093</v>
      </c>
      <c r="BX322" s="357">
        <v>0</v>
      </c>
      <c r="BY322" s="357">
        <v>0</v>
      </c>
      <c r="BZ322" s="357">
        <v>5188093</v>
      </c>
      <c r="CA322" s="357">
        <v>100000</v>
      </c>
      <c r="CB322" s="357">
        <v>0</v>
      </c>
      <c r="CC322" s="357">
        <v>0</v>
      </c>
      <c r="CD322" s="357">
        <v>100000</v>
      </c>
      <c r="CE322" s="357">
        <v>4367075.58</v>
      </c>
      <c r="CF322" s="357">
        <v>0</v>
      </c>
      <c r="CG322" s="357">
        <v>0</v>
      </c>
      <c r="CH322" s="357">
        <v>4367075.58</v>
      </c>
      <c r="CI322" s="357">
        <v>4467075.58</v>
      </c>
      <c r="CJ322" s="357">
        <v>0</v>
      </c>
      <c r="CK322" s="357">
        <v>0</v>
      </c>
      <c r="CL322" s="357">
        <v>500000</v>
      </c>
      <c r="CM322" s="357">
        <v>0</v>
      </c>
      <c r="CN322" s="357">
        <v>0</v>
      </c>
      <c r="CO322" s="357">
        <v>4967075.58</v>
      </c>
      <c r="CP322" s="357">
        <v>0</v>
      </c>
      <c r="CQ322" s="357">
        <v>0</v>
      </c>
      <c r="CR322" s="357">
        <v>4967075.58</v>
      </c>
      <c r="CS322" s="357">
        <v>201000</v>
      </c>
      <c r="CT322" s="357">
        <v>0</v>
      </c>
      <c r="CU322" s="357">
        <v>0</v>
      </c>
      <c r="CV322" s="357">
        <v>201000</v>
      </c>
      <c r="CW322" s="357">
        <v>165000</v>
      </c>
      <c r="CX322" s="357">
        <v>0</v>
      </c>
      <c r="CY322" s="357">
        <v>0</v>
      </c>
      <c r="CZ322" s="357">
        <v>165000</v>
      </c>
      <c r="DA322" s="357">
        <v>5000</v>
      </c>
      <c r="DB322" s="357">
        <v>0</v>
      </c>
      <c r="DC322" s="357">
        <v>0</v>
      </c>
      <c r="DD322" s="357">
        <v>5000</v>
      </c>
      <c r="DE322" s="357">
        <v>30000</v>
      </c>
      <c r="DF322" s="357">
        <v>0</v>
      </c>
      <c r="DG322" s="357">
        <v>0</v>
      </c>
      <c r="DH322" s="357">
        <v>30000</v>
      </c>
      <c r="DI322" s="357">
        <v>0</v>
      </c>
      <c r="DJ322" s="357">
        <v>0</v>
      </c>
      <c r="DK322" s="357">
        <v>0</v>
      </c>
      <c r="DL322" s="357">
        <v>0</v>
      </c>
      <c r="DM322" s="357">
        <v>24042.5</v>
      </c>
      <c r="DN322" s="357">
        <v>0</v>
      </c>
      <c r="DO322" s="357">
        <v>0</v>
      </c>
      <c r="DP322" s="357">
        <v>24042.5</v>
      </c>
      <c r="DQ322" s="357">
        <v>425042.5</v>
      </c>
      <c r="DR322" s="357">
        <v>0</v>
      </c>
      <c r="DS322" s="357">
        <v>0</v>
      </c>
      <c r="DT322" s="357">
        <v>0</v>
      </c>
      <c r="DU322" s="357">
        <v>0</v>
      </c>
      <c r="DV322" s="357">
        <v>0</v>
      </c>
      <c r="DW322" s="357">
        <v>425042.5</v>
      </c>
      <c r="DX322" s="357">
        <v>0</v>
      </c>
      <c r="DY322" s="357">
        <v>0</v>
      </c>
      <c r="DZ322" s="357">
        <v>425042.5</v>
      </c>
      <c r="EA322" s="357">
        <v>0</v>
      </c>
      <c r="EB322" s="357">
        <v>0</v>
      </c>
      <c r="EC322" s="357">
        <v>50000</v>
      </c>
      <c r="ED322" s="357">
        <v>0</v>
      </c>
      <c r="EE322" s="357">
        <v>0</v>
      </c>
      <c r="EF322" s="357">
        <v>50000</v>
      </c>
      <c r="EG322" s="357">
        <v>96170</v>
      </c>
      <c r="EH322" s="357">
        <v>0</v>
      </c>
      <c r="EI322" s="357">
        <v>0</v>
      </c>
      <c r="EJ322" s="357">
        <v>96170</v>
      </c>
      <c r="EK322" s="357">
        <v>1031853.24</v>
      </c>
      <c r="EL322" s="357">
        <v>0</v>
      </c>
      <c r="EM322" s="357">
        <v>0</v>
      </c>
      <c r="EN322" s="357">
        <v>1031853.24</v>
      </c>
      <c r="EO322" s="357">
        <v>1178023.24</v>
      </c>
      <c r="EP322" s="357">
        <v>0</v>
      </c>
      <c r="EQ322" s="357">
        <v>0</v>
      </c>
      <c r="ER322" s="357">
        <v>0</v>
      </c>
      <c r="ES322" s="357">
        <v>0</v>
      </c>
      <c r="ET322" s="357">
        <v>0</v>
      </c>
      <c r="EU322" s="357">
        <v>1178023.24</v>
      </c>
      <c r="EV322" s="357">
        <v>0</v>
      </c>
      <c r="EW322" s="357">
        <v>0</v>
      </c>
      <c r="EX322" s="357">
        <v>1178023.24</v>
      </c>
      <c r="EY322" s="357">
        <v>76279023.4</v>
      </c>
      <c r="EZ322" s="357">
        <v>0</v>
      </c>
      <c r="FA322" s="357">
        <v>0</v>
      </c>
      <c r="FB322" s="357">
        <v>76279023.4</v>
      </c>
      <c r="FC322" s="277">
        <v>0</v>
      </c>
      <c r="FD322" s="205"/>
    </row>
    <row r="323" spans="1:160" ht="12.75">
      <c r="A323" s="169">
        <v>316</v>
      </c>
      <c r="B323" s="172" t="s">
        <v>562</v>
      </c>
      <c r="C323" s="258" t="s">
        <v>563</v>
      </c>
      <c r="D323" s="235">
        <v>0</v>
      </c>
      <c r="E323" s="357">
        <v>180441092</v>
      </c>
      <c r="F323" s="357">
        <v>0</v>
      </c>
      <c r="G323" s="357">
        <v>0</v>
      </c>
      <c r="H323" s="357">
        <v>180441092</v>
      </c>
      <c r="I323" s="357">
        <v>84987757</v>
      </c>
      <c r="J323" s="357">
        <v>0</v>
      </c>
      <c r="K323" s="357">
        <v>0</v>
      </c>
      <c r="L323" s="357">
        <v>0</v>
      </c>
      <c r="M323" s="357">
        <v>0</v>
      </c>
      <c r="N323" s="357">
        <v>0</v>
      </c>
      <c r="O323" s="357">
        <v>84987757</v>
      </c>
      <c r="P323" s="357">
        <v>0</v>
      </c>
      <c r="Q323" s="357">
        <v>0</v>
      </c>
      <c r="R323" s="357">
        <v>84987757</v>
      </c>
      <c r="S323" s="357">
        <v>109821</v>
      </c>
      <c r="T323" s="357">
        <v>0</v>
      </c>
      <c r="U323" s="357">
        <v>0</v>
      </c>
      <c r="V323" s="357">
        <v>109821</v>
      </c>
      <c r="W323" s="357">
        <v>39459</v>
      </c>
      <c r="X323" s="357">
        <v>0</v>
      </c>
      <c r="Y323" s="357">
        <v>0</v>
      </c>
      <c r="Z323" s="357">
        <v>39459</v>
      </c>
      <c r="AA323" s="357">
        <v>70362</v>
      </c>
      <c r="AB323" s="357">
        <v>0</v>
      </c>
      <c r="AC323" s="357">
        <v>0</v>
      </c>
      <c r="AD323" s="357">
        <v>0</v>
      </c>
      <c r="AE323" s="357">
        <v>0</v>
      </c>
      <c r="AF323" s="357">
        <v>0</v>
      </c>
      <c r="AG323" s="357">
        <v>70362</v>
      </c>
      <c r="AH323" s="357">
        <v>0</v>
      </c>
      <c r="AI323" s="357">
        <v>0</v>
      </c>
      <c r="AJ323" s="357">
        <v>70362</v>
      </c>
      <c r="AK323" s="357">
        <v>70362</v>
      </c>
      <c r="AL323" s="357">
        <v>0</v>
      </c>
      <c r="AM323" s="357">
        <v>0</v>
      </c>
      <c r="AN323" s="357">
        <v>70362</v>
      </c>
      <c r="AO323" s="357">
        <v>5905215</v>
      </c>
      <c r="AP323" s="357">
        <v>0</v>
      </c>
      <c r="AQ323" s="357">
        <v>0</v>
      </c>
      <c r="AR323" s="357">
        <v>5905215</v>
      </c>
      <c r="AS323" s="357">
        <v>20000</v>
      </c>
      <c r="AT323" s="357">
        <v>0</v>
      </c>
      <c r="AU323" s="357">
        <v>0</v>
      </c>
      <c r="AV323" s="357">
        <v>20000</v>
      </c>
      <c r="AW323" s="357">
        <v>1647083</v>
      </c>
      <c r="AX323" s="357">
        <v>0</v>
      </c>
      <c r="AY323" s="357">
        <v>0</v>
      </c>
      <c r="AZ323" s="357">
        <v>1647083</v>
      </c>
      <c r="BA323" s="357">
        <v>4258132</v>
      </c>
      <c r="BB323" s="357">
        <v>0</v>
      </c>
      <c r="BC323" s="357">
        <v>0</v>
      </c>
      <c r="BD323" s="357">
        <v>4258132</v>
      </c>
      <c r="BE323" s="357">
        <v>4829277</v>
      </c>
      <c r="BF323" s="357">
        <v>0</v>
      </c>
      <c r="BG323" s="357">
        <v>0</v>
      </c>
      <c r="BH323" s="357">
        <v>4829277</v>
      </c>
      <c r="BI323" s="357">
        <v>31716</v>
      </c>
      <c r="BJ323" s="357">
        <v>0</v>
      </c>
      <c r="BK323" s="357">
        <v>0</v>
      </c>
      <c r="BL323" s="357">
        <v>31716</v>
      </c>
      <c r="BM323" s="357">
        <v>578</v>
      </c>
      <c r="BN323" s="357">
        <v>0</v>
      </c>
      <c r="BO323" s="357">
        <v>0</v>
      </c>
      <c r="BP323" s="357">
        <v>578</v>
      </c>
      <c r="BQ323" s="357">
        <v>9119703</v>
      </c>
      <c r="BR323" s="357">
        <v>0</v>
      </c>
      <c r="BS323" s="357">
        <v>0</v>
      </c>
      <c r="BT323" s="357">
        <v>100000</v>
      </c>
      <c r="BU323" s="357">
        <v>0</v>
      </c>
      <c r="BV323" s="357">
        <v>0</v>
      </c>
      <c r="BW323" s="357">
        <v>9219703</v>
      </c>
      <c r="BX323" s="357">
        <v>0</v>
      </c>
      <c r="BY323" s="357">
        <v>0</v>
      </c>
      <c r="BZ323" s="357">
        <v>9219703</v>
      </c>
      <c r="CA323" s="357">
        <v>150000</v>
      </c>
      <c r="CB323" s="357">
        <v>0</v>
      </c>
      <c r="CC323" s="357">
        <v>0</v>
      </c>
      <c r="CD323" s="357">
        <v>150000</v>
      </c>
      <c r="CE323" s="357">
        <v>2681760</v>
      </c>
      <c r="CF323" s="357">
        <v>0</v>
      </c>
      <c r="CG323" s="357">
        <v>0</v>
      </c>
      <c r="CH323" s="357">
        <v>2681760</v>
      </c>
      <c r="CI323" s="357">
        <v>2831760</v>
      </c>
      <c r="CJ323" s="357">
        <v>0</v>
      </c>
      <c r="CK323" s="357">
        <v>0</v>
      </c>
      <c r="CL323" s="357">
        <v>0</v>
      </c>
      <c r="CM323" s="357">
        <v>0</v>
      </c>
      <c r="CN323" s="357">
        <v>0</v>
      </c>
      <c r="CO323" s="357">
        <v>2831760</v>
      </c>
      <c r="CP323" s="357">
        <v>0</v>
      </c>
      <c r="CQ323" s="357">
        <v>0</v>
      </c>
      <c r="CR323" s="357">
        <v>2831760</v>
      </c>
      <c r="CS323" s="357">
        <v>300000</v>
      </c>
      <c r="CT323" s="357">
        <v>0</v>
      </c>
      <c r="CU323" s="357">
        <v>0</v>
      </c>
      <c r="CV323" s="357">
        <v>300000</v>
      </c>
      <c r="CW323" s="357">
        <v>20000</v>
      </c>
      <c r="CX323" s="357">
        <v>0</v>
      </c>
      <c r="CY323" s="357">
        <v>0</v>
      </c>
      <c r="CZ323" s="357">
        <v>20000</v>
      </c>
      <c r="DA323" s="357">
        <v>2000</v>
      </c>
      <c r="DB323" s="357">
        <v>0</v>
      </c>
      <c r="DC323" s="357">
        <v>0</v>
      </c>
      <c r="DD323" s="357">
        <v>2000</v>
      </c>
      <c r="DE323" s="357">
        <v>580</v>
      </c>
      <c r="DF323" s="357">
        <v>0</v>
      </c>
      <c r="DG323" s="357">
        <v>0</v>
      </c>
      <c r="DH323" s="357">
        <v>580</v>
      </c>
      <c r="DI323" s="357">
        <v>0</v>
      </c>
      <c r="DJ323" s="357">
        <v>0</v>
      </c>
      <c r="DK323" s="357">
        <v>0</v>
      </c>
      <c r="DL323" s="357">
        <v>0</v>
      </c>
      <c r="DM323" s="357">
        <v>0</v>
      </c>
      <c r="DN323" s="357">
        <v>0</v>
      </c>
      <c r="DO323" s="357">
        <v>0</v>
      </c>
      <c r="DP323" s="357">
        <v>0</v>
      </c>
      <c r="DQ323" s="357">
        <v>322580</v>
      </c>
      <c r="DR323" s="357">
        <v>0</v>
      </c>
      <c r="DS323" s="357">
        <v>0</v>
      </c>
      <c r="DT323" s="357">
        <v>20000</v>
      </c>
      <c r="DU323" s="357">
        <v>0</v>
      </c>
      <c r="DV323" s="357">
        <v>0</v>
      </c>
      <c r="DW323" s="357">
        <v>342580</v>
      </c>
      <c r="DX323" s="357">
        <v>0</v>
      </c>
      <c r="DY323" s="357">
        <v>0</v>
      </c>
      <c r="DZ323" s="357">
        <v>342580</v>
      </c>
      <c r="EA323" s="357">
        <v>0</v>
      </c>
      <c r="EB323" s="357">
        <v>0</v>
      </c>
      <c r="EC323" s="357">
        <v>50000</v>
      </c>
      <c r="ED323" s="357">
        <v>0</v>
      </c>
      <c r="EE323" s="357">
        <v>0</v>
      </c>
      <c r="EF323" s="357">
        <v>50000</v>
      </c>
      <c r="EG323" s="357">
        <v>90971</v>
      </c>
      <c r="EH323" s="357">
        <v>0</v>
      </c>
      <c r="EI323" s="357">
        <v>0</v>
      </c>
      <c r="EJ323" s="357">
        <v>90971</v>
      </c>
      <c r="EK323" s="357">
        <v>1315085</v>
      </c>
      <c r="EL323" s="357">
        <v>0</v>
      </c>
      <c r="EM323" s="357">
        <v>0</v>
      </c>
      <c r="EN323" s="357">
        <v>1315085</v>
      </c>
      <c r="EO323" s="357">
        <v>1456056</v>
      </c>
      <c r="EP323" s="357">
        <v>0</v>
      </c>
      <c r="EQ323" s="357">
        <v>0</v>
      </c>
      <c r="ER323" s="357">
        <v>0</v>
      </c>
      <c r="ES323" s="357">
        <v>0</v>
      </c>
      <c r="ET323" s="357">
        <v>0</v>
      </c>
      <c r="EU323" s="357">
        <v>1456056</v>
      </c>
      <c r="EV323" s="357">
        <v>0</v>
      </c>
      <c r="EW323" s="357">
        <v>0</v>
      </c>
      <c r="EX323" s="357">
        <v>1456056</v>
      </c>
      <c r="EY323" s="357">
        <v>71067296</v>
      </c>
      <c r="EZ323" s="357">
        <v>0</v>
      </c>
      <c r="FA323" s="357">
        <v>0</v>
      </c>
      <c r="FB323" s="357">
        <v>71067296</v>
      </c>
      <c r="FC323" s="277">
        <v>0</v>
      </c>
      <c r="FD323" s="205"/>
    </row>
    <row r="324" spans="1:160" ht="12.75">
      <c r="A324" s="169">
        <v>317</v>
      </c>
      <c r="B324" s="172" t="s">
        <v>564</v>
      </c>
      <c r="C324" s="258" t="s">
        <v>565</v>
      </c>
      <c r="D324" s="235">
        <v>41547</v>
      </c>
      <c r="E324" s="357">
        <v>106730986</v>
      </c>
      <c r="F324" s="357">
        <v>0</v>
      </c>
      <c r="G324" s="357">
        <v>0</v>
      </c>
      <c r="H324" s="357">
        <v>106730986</v>
      </c>
      <c r="I324" s="357">
        <v>50270294</v>
      </c>
      <c r="J324" s="357">
        <v>0</v>
      </c>
      <c r="K324" s="357">
        <v>0</v>
      </c>
      <c r="L324" s="357">
        <v>0</v>
      </c>
      <c r="M324" s="357">
        <v>0</v>
      </c>
      <c r="N324" s="357">
        <v>0</v>
      </c>
      <c r="O324" s="357">
        <v>50270294</v>
      </c>
      <c r="P324" s="357">
        <v>0</v>
      </c>
      <c r="Q324" s="357">
        <v>0</v>
      </c>
      <c r="R324" s="357">
        <v>50270294</v>
      </c>
      <c r="S324" s="357">
        <v>23279</v>
      </c>
      <c r="T324" s="357">
        <v>0</v>
      </c>
      <c r="U324" s="357">
        <v>0</v>
      </c>
      <c r="V324" s="357">
        <v>23279</v>
      </c>
      <c r="W324" s="357">
        <v>61223</v>
      </c>
      <c r="X324" s="357">
        <v>0</v>
      </c>
      <c r="Y324" s="357">
        <v>0</v>
      </c>
      <c r="Z324" s="357">
        <v>61223</v>
      </c>
      <c r="AA324" s="357">
        <v>-37944</v>
      </c>
      <c r="AB324" s="357">
        <v>0</v>
      </c>
      <c r="AC324" s="357">
        <v>0</v>
      </c>
      <c r="AD324" s="357">
        <v>0</v>
      </c>
      <c r="AE324" s="357">
        <v>0</v>
      </c>
      <c r="AF324" s="357">
        <v>0</v>
      </c>
      <c r="AG324" s="357">
        <v>-37944</v>
      </c>
      <c r="AH324" s="357">
        <v>0</v>
      </c>
      <c r="AI324" s="357">
        <v>0</v>
      </c>
      <c r="AJ324" s="357">
        <v>-37944</v>
      </c>
      <c r="AK324" s="357">
        <v>-37944</v>
      </c>
      <c r="AL324" s="357">
        <v>0</v>
      </c>
      <c r="AM324" s="357">
        <v>0</v>
      </c>
      <c r="AN324" s="357">
        <v>-37944</v>
      </c>
      <c r="AO324" s="357">
        <v>973712</v>
      </c>
      <c r="AP324" s="357">
        <v>0</v>
      </c>
      <c r="AQ324" s="357">
        <v>0</v>
      </c>
      <c r="AR324" s="357">
        <v>973712</v>
      </c>
      <c r="AS324" s="357">
        <v>0</v>
      </c>
      <c r="AT324" s="357">
        <v>0</v>
      </c>
      <c r="AU324" s="357">
        <v>0</v>
      </c>
      <c r="AV324" s="357">
        <v>0</v>
      </c>
      <c r="AW324" s="357">
        <v>1072912</v>
      </c>
      <c r="AX324" s="357">
        <v>0</v>
      </c>
      <c r="AY324" s="357">
        <v>0</v>
      </c>
      <c r="AZ324" s="357">
        <v>1072912</v>
      </c>
      <c r="BA324" s="357">
        <v>-99200</v>
      </c>
      <c r="BB324" s="357">
        <v>0</v>
      </c>
      <c r="BC324" s="357">
        <v>0</v>
      </c>
      <c r="BD324" s="357">
        <v>-99200</v>
      </c>
      <c r="BE324" s="357">
        <v>2259737</v>
      </c>
      <c r="BF324" s="357">
        <v>0</v>
      </c>
      <c r="BG324" s="357">
        <v>0</v>
      </c>
      <c r="BH324" s="357">
        <v>2259737</v>
      </c>
      <c r="BI324" s="357">
        <v>0</v>
      </c>
      <c r="BJ324" s="357">
        <v>0</v>
      </c>
      <c r="BK324" s="357">
        <v>0</v>
      </c>
      <c r="BL324" s="357">
        <v>0</v>
      </c>
      <c r="BM324" s="357">
        <v>699</v>
      </c>
      <c r="BN324" s="357">
        <v>0</v>
      </c>
      <c r="BO324" s="357">
        <v>0</v>
      </c>
      <c r="BP324" s="357">
        <v>699</v>
      </c>
      <c r="BQ324" s="357">
        <v>2161236</v>
      </c>
      <c r="BR324" s="357">
        <v>0</v>
      </c>
      <c r="BS324" s="357">
        <v>0</v>
      </c>
      <c r="BT324" s="357">
        <v>0</v>
      </c>
      <c r="BU324" s="357">
        <v>0</v>
      </c>
      <c r="BV324" s="357">
        <v>0</v>
      </c>
      <c r="BW324" s="357">
        <v>2161236</v>
      </c>
      <c r="BX324" s="357">
        <v>0</v>
      </c>
      <c r="BY324" s="357">
        <v>0</v>
      </c>
      <c r="BZ324" s="357">
        <v>2161236</v>
      </c>
      <c r="CA324" s="357">
        <v>0</v>
      </c>
      <c r="CB324" s="357">
        <v>0</v>
      </c>
      <c r="CC324" s="357">
        <v>0</v>
      </c>
      <c r="CD324" s="357">
        <v>0</v>
      </c>
      <c r="CE324" s="357">
        <v>1371674</v>
      </c>
      <c r="CF324" s="357">
        <v>0</v>
      </c>
      <c r="CG324" s="357">
        <v>0</v>
      </c>
      <c r="CH324" s="357">
        <v>1371674</v>
      </c>
      <c r="CI324" s="357">
        <v>1371674</v>
      </c>
      <c r="CJ324" s="357">
        <v>0</v>
      </c>
      <c r="CK324" s="357">
        <v>0</v>
      </c>
      <c r="CL324" s="357">
        <v>0</v>
      </c>
      <c r="CM324" s="357">
        <v>0</v>
      </c>
      <c r="CN324" s="357">
        <v>0</v>
      </c>
      <c r="CO324" s="357">
        <v>1371674</v>
      </c>
      <c r="CP324" s="357">
        <v>0</v>
      </c>
      <c r="CQ324" s="357">
        <v>0</v>
      </c>
      <c r="CR324" s="357">
        <v>1371674</v>
      </c>
      <c r="CS324" s="357">
        <v>312579</v>
      </c>
      <c r="CT324" s="357">
        <v>0</v>
      </c>
      <c r="CU324" s="357">
        <v>0</v>
      </c>
      <c r="CV324" s="357">
        <v>312579</v>
      </c>
      <c r="CW324" s="357">
        <v>49852</v>
      </c>
      <c r="CX324" s="357">
        <v>0</v>
      </c>
      <c r="CY324" s="357">
        <v>0</v>
      </c>
      <c r="CZ324" s="357">
        <v>49852</v>
      </c>
      <c r="DA324" s="357">
        <v>0</v>
      </c>
      <c r="DB324" s="357">
        <v>0</v>
      </c>
      <c r="DC324" s="357">
        <v>0</v>
      </c>
      <c r="DD324" s="357">
        <v>0</v>
      </c>
      <c r="DE324" s="357">
        <v>0</v>
      </c>
      <c r="DF324" s="357">
        <v>0</v>
      </c>
      <c r="DG324" s="357">
        <v>0</v>
      </c>
      <c r="DH324" s="357">
        <v>0</v>
      </c>
      <c r="DI324" s="357">
        <v>0</v>
      </c>
      <c r="DJ324" s="357">
        <v>0</v>
      </c>
      <c r="DK324" s="357">
        <v>0</v>
      </c>
      <c r="DL324" s="357">
        <v>0</v>
      </c>
      <c r="DM324" s="357">
        <v>314115</v>
      </c>
      <c r="DN324" s="357">
        <v>0</v>
      </c>
      <c r="DO324" s="357">
        <v>0</v>
      </c>
      <c r="DP324" s="357">
        <v>314115</v>
      </c>
      <c r="DQ324" s="357">
        <v>676546</v>
      </c>
      <c r="DR324" s="357">
        <v>0</v>
      </c>
      <c r="DS324" s="357">
        <v>0</v>
      </c>
      <c r="DT324" s="357">
        <v>0</v>
      </c>
      <c r="DU324" s="357">
        <v>0</v>
      </c>
      <c r="DV324" s="357">
        <v>0</v>
      </c>
      <c r="DW324" s="357">
        <v>676546</v>
      </c>
      <c r="DX324" s="357">
        <v>0</v>
      </c>
      <c r="DY324" s="357">
        <v>0</v>
      </c>
      <c r="DZ324" s="357">
        <v>676546</v>
      </c>
      <c r="EA324" s="357">
        <v>0</v>
      </c>
      <c r="EB324" s="357">
        <v>0</v>
      </c>
      <c r="EC324" s="357">
        <v>50000</v>
      </c>
      <c r="ED324" s="357">
        <v>0</v>
      </c>
      <c r="EE324" s="357">
        <v>0</v>
      </c>
      <c r="EF324" s="357">
        <v>50000</v>
      </c>
      <c r="EG324" s="357">
        <v>146210</v>
      </c>
      <c r="EH324" s="357">
        <v>0</v>
      </c>
      <c r="EI324" s="357">
        <v>0</v>
      </c>
      <c r="EJ324" s="357">
        <v>146210</v>
      </c>
      <c r="EK324" s="357">
        <v>456530</v>
      </c>
      <c r="EL324" s="357">
        <v>0</v>
      </c>
      <c r="EM324" s="357">
        <v>0</v>
      </c>
      <c r="EN324" s="357">
        <v>456530</v>
      </c>
      <c r="EO324" s="357">
        <v>652740</v>
      </c>
      <c r="EP324" s="357">
        <v>0</v>
      </c>
      <c r="EQ324" s="357">
        <v>0</v>
      </c>
      <c r="ER324" s="357">
        <v>0</v>
      </c>
      <c r="ES324" s="357">
        <v>0</v>
      </c>
      <c r="ET324" s="357">
        <v>0</v>
      </c>
      <c r="EU324" s="357">
        <v>652740</v>
      </c>
      <c r="EV324" s="357">
        <v>0</v>
      </c>
      <c r="EW324" s="357">
        <v>0</v>
      </c>
      <c r="EX324" s="357">
        <v>652740</v>
      </c>
      <c r="EY324" s="357">
        <v>45446042</v>
      </c>
      <c r="EZ324" s="357">
        <v>0</v>
      </c>
      <c r="FA324" s="357">
        <v>0</v>
      </c>
      <c r="FB324" s="357">
        <v>45446042</v>
      </c>
      <c r="FC324" s="277">
        <v>0</v>
      </c>
      <c r="FD324" s="205"/>
    </row>
    <row r="325" spans="1:160" ht="12.75">
      <c r="A325" s="169">
        <v>318</v>
      </c>
      <c r="B325" s="172" t="s">
        <v>566</v>
      </c>
      <c r="C325" s="258" t="s">
        <v>567</v>
      </c>
      <c r="D325" s="235">
        <v>311213</v>
      </c>
      <c r="E325" s="357">
        <v>137362112</v>
      </c>
      <c r="F325" s="357">
        <v>0</v>
      </c>
      <c r="G325" s="357">
        <v>0</v>
      </c>
      <c r="H325" s="357">
        <v>137362112</v>
      </c>
      <c r="I325" s="357">
        <v>64697555</v>
      </c>
      <c r="J325" s="357">
        <v>0</v>
      </c>
      <c r="K325" s="357">
        <v>0</v>
      </c>
      <c r="L325" s="357">
        <v>0</v>
      </c>
      <c r="M325" s="357">
        <v>0</v>
      </c>
      <c r="N325" s="357">
        <v>0</v>
      </c>
      <c r="O325" s="357">
        <v>64697555</v>
      </c>
      <c r="P325" s="357">
        <v>0</v>
      </c>
      <c r="Q325" s="357">
        <v>0</v>
      </c>
      <c r="R325" s="357">
        <v>64697555</v>
      </c>
      <c r="S325" s="357">
        <v>44374</v>
      </c>
      <c r="T325" s="357">
        <v>0</v>
      </c>
      <c r="U325" s="357">
        <v>0</v>
      </c>
      <c r="V325" s="357">
        <v>44374</v>
      </c>
      <c r="W325" s="357">
        <v>17377</v>
      </c>
      <c r="X325" s="357">
        <v>0</v>
      </c>
      <c r="Y325" s="357">
        <v>0</v>
      </c>
      <c r="Z325" s="357">
        <v>17377</v>
      </c>
      <c r="AA325" s="357">
        <v>26997</v>
      </c>
      <c r="AB325" s="357">
        <v>0</v>
      </c>
      <c r="AC325" s="357">
        <v>0</v>
      </c>
      <c r="AD325" s="357">
        <v>0</v>
      </c>
      <c r="AE325" s="357">
        <v>0</v>
      </c>
      <c r="AF325" s="357">
        <v>0</v>
      </c>
      <c r="AG325" s="357">
        <v>26997</v>
      </c>
      <c r="AH325" s="357">
        <v>0</v>
      </c>
      <c r="AI325" s="357">
        <v>0</v>
      </c>
      <c r="AJ325" s="357">
        <v>26997</v>
      </c>
      <c r="AK325" s="357">
        <v>26997</v>
      </c>
      <c r="AL325" s="357">
        <v>0</v>
      </c>
      <c r="AM325" s="357">
        <v>0</v>
      </c>
      <c r="AN325" s="357">
        <v>26997</v>
      </c>
      <c r="AO325" s="357">
        <v>1635806</v>
      </c>
      <c r="AP325" s="357">
        <v>0</v>
      </c>
      <c r="AQ325" s="357">
        <v>0</v>
      </c>
      <c r="AR325" s="357">
        <v>1635806</v>
      </c>
      <c r="AS325" s="357">
        <v>14000</v>
      </c>
      <c r="AT325" s="357">
        <v>0</v>
      </c>
      <c r="AU325" s="357">
        <v>0</v>
      </c>
      <c r="AV325" s="357">
        <v>14000</v>
      </c>
      <c r="AW325" s="357">
        <v>1357500</v>
      </c>
      <c r="AX325" s="357">
        <v>0</v>
      </c>
      <c r="AY325" s="357">
        <v>0</v>
      </c>
      <c r="AZ325" s="357">
        <v>1357500</v>
      </c>
      <c r="BA325" s="357">
        <v>278306</v>
      </c>
      <c r="BB325" s="357">
        <v>0</v>
      </c>
      <c r="BC325" s="357">
        <v>0</v>
      </c>
      <c r="BD325" s="357">
        <v>278306</v>
      </c>
      <c r="BE325" s="357">
        <v>5275016</v>
      </c>
      <c r="BF325" s="357">
        <v>0</v>
      </c>
      <c r="BG325" s="357">
        <v>0</v>
      </c>
      <c r="BH325" s="357">
        <v>5275016</v>
      </c>
      <c r="BI325" s="357">
        <v>54138</v>
      </c>
      <c r="BJ325" s="357">
        <v>0</v>
      </c>
      <c r="BK325" s="357">
        <v>0</v>
      </c>
      <c r="BL325" s="357">
        <v>54138</v>
      </c>
      <c r="BM325" s="357">
        <v>5159</v>
      </c>
      <c r="BN325" s="357">
        <v>0</v>
      </c>
      <c r="BO325" s="357">
        <v>0</v>
      </c>
      <c r="BP325" s="357">
        <v>5159</v>
      </c>
      <c r="BQ325" s="357">
        <v>5612619</v>
      </c>
      <c r="BR325" s="357">
        <v>0</v>
      </c>
      <c r="BS325" s="357">
        <v>0</v>
      </c>
      <c r="BT325" s="357">
        <v>-231360</v>
      </c>
      <c r="BU325" s="357">
        <v>0</v>
      </c>
      <c r="BV325" s="357">
        <v>0</v>
      </c>
      <c r="BW325" s="357">
        <v>5381259</v>
      </c>
      <c r="BX325" s="357">
        <v>0</v>
      </c>
      <c r="BY325" s="357">
        <v>0</v>
      </c>
      <c r="BZ325" s="357">
        <v>5381259</v>
      </c>
      <c r="CA325" s="357">
        <v>50000</v>
      </c>
      <c r="CB325" s="357">
        <v>0</v>
      </c>
      <c r="CC325" s="357">
        <v>0</v>
      </c>
      <c r="CD325" s="357">
        <v>50000</v>
      </c>
      <c r="CE325" s="357">
        <v>1418261</v>
      </c>
      <c r="CF325" s="357">
        <v>0</v>
      </c>
      <c r="CG325" s="357">
        <v>0</v>
      </c>
      <c r="CH325" s="357">
        <v>1418261</v>
      </c>
      <c r="CI325" s="357">
        <v>1468261</v>
      </c>
      <c r="CJ325" s="357">
        <v>0</v>
      </c>
      <c r="CK325" s="357">
        <v>0</v>
      </c>
      <c r="CL325" s="357">
        <v>700000</v>
      </c>
      <c r="CM325" s="357">
        <v>0</v>
      </c>
      <c r="CN325" s="357">
        <v>0</v>
      </c>
      <c r="CO325" s="357">
        <v>2168261</v>
      </c>
      <c r="CP325" s="357">
        <v>0</v>
      </c>
      <c r="CQ325" s="357">
        <v>0</v>
      </c>
      <c r="CR325" s="357">
        <v>2168261</v>
      </c>
      <c r="CS325" s="357">
        <v>8049</v>
      </c>
      <c r="CT325" s="357">
        <v>0</v>
      </c>
      <c r="CU325" s="357">
        <v>0</v>
      </c>
      <c r="CV325" s="357">
        <v>8049</v>
      </c>
      <c r="CW325" s="357">
        <v>11683</v>
      </c>
      <c r="CX325" s="357">
        <v>0</v>
      </c>
      <c r="CY325" s="357">
        <v>0</v>
      </c>
      <c r="CZ325" s="357">
        <v>11683</v>
      </c>
      <c r="DA325" s="357">
        <v>814</v>
      </c>
      <c r="DB325" s="357">
        <v>0</v>
      </c>
      <c r="DC325" s="357">
        <v>0</v>
      </c>
      <c r="DD325" s="357">
        <v>814</v>
      </c>
      <c r="DE325" s="357">
        <v>819</v>
      </c>
      <c r="DF325" s="357">
        <v>0</v>
      </c>
      <c r="DG325" s="357">
        <v>0</v>
      </c>
      <c r="DH325" s="357">
        <v>819</v>
      </c>
      <c r="DI325" s="357">
        <v>0</v>
      </c>
      <c r="DJ325" s="357">
        <v>0</v>
      </c>
      <c r="DK325" s="357">
        <v>0</v>
      </c>
      <c r="DL325" s="357">
        <v>0</v>
      </c>
      <c r="DM325" s="357">
        <v>50000</v>
      </c>
      <c r="DN325" s="357">
        <v>0</v>
      </c>
      <c r="DO325" s="357">
        <v>0</v>
      </c>
      <c r="DP325" s="357">
        <v>50000</v>
      </c>
      <c r="DQ325" s="357">
        <v>71365</v>
      </c>
      <c r="DR325" s="357">
        <v>0</v>
      </c>
      <c r="DS325" s="357">
        <v>0</v>
      </c>
      <c r="DT325" s="357">
        <v>0</v>
      </c>
      <c r="DU325" s="357">
        <v>0</v>
      </c>
      <c r="DV325" s="357">
        <v>0</v>
      </c>
      <c r="DW325" s="357">
        <v>71365</v>
      </c>
      <c r="DX325" s="357">
        <v>0</v>
      </c>
      <c r="DY325" s="357">
        <v>0</v>
      </c>
      <c r="DZ325" s="357">
        <v>71365</v>
      </c>
      <c r="EA325" s="357">
        <v>0</v>
      </c>
      <c r="EB325" s="357">
        <v>0</v>
      </c>
      <c r="EC325" s="357">
        <v>0</v>
      </c>
      <c r="ED325" s="357">
        <v>0</v>
      </c>
      <c r="EE325" s="357">
        <v>0</v>
      </c>
      <c r="EF325" s="357">
        <v>0</v>
      </c>
      <c r="EG325" s="357">
        <v>109694</v>
      </c>
      <c r="EH325" s="357">
        <v>0</v>
      </c>
      <c r="EI325" s="357">
        <v>0</v>
      </c>
      <c r="EJ325" s="357">
        <v>109694</v>
      </c>
      <c r="EK325" s="357">
        <v>528849</v>
      </c>
      <c r="EL325" s="357">
        <v>0</v>
      </c>
      <c r="EM325" s="357">
        <v>0</v>
      </c>
      <c r="EN325" s="357">
        <v>528849</v>
      </c>
      <c r="EO325" s="357">
        <v>638543</v>
      </c>
      <c r="EP325" s="357">
        <v>0</v>
      </c>
      <c r="EQ325" s="357">
        <v>0</v>
      </c>
      <c r="ER325" s="357">
        <v>0</v>
      </c>
      <c r="ES325" s="357">
        <v>0</v>
      </c>
      <c r="ET325" s="357">
        <v>0</v>
      </c>
      <c r="EU325" s="357">
        <v>638543</v>
      </c>
      <c r="EV325" s="357">
        <v>0</v>
      </c>
      <c r="EW325" s="357">
        <v>0</v>
      </c>
      <c r="EX325" s="357">
        <v>638543</v>
      </c>
      <c r="EY325" s="357">
        <v>56411130</v>
      </c>
      <c r="EZ325" s="357">
        <v>0</v>
      </c>
      <c r="FA325" s="357">
        <v>0</v>
      </c>
      <c r="FB325" s="357">
        <v>56411130</v>
      </c>
      <c r="FC325" s="277">
        <v>0</v>
      </c>
      <c r="FD325" s="205"/>
    </row>
    <row r="326" spans="1:160" ht="12.75">
      <c r="A326" s="169">
        <v>319</v>
      </c>
      <c r="B326" s="172" t="s">
        <v>568</v>
      </c>
      <c r="C326" s="258" t="s">
        <v>569</v>
      </c>
      <c r="D326" s="235">
        <v>41661</v>
      </c>
      <c r="E326" s="357">
        <v>190371500</v>
      </c>
      <c r="F326" s="357">
        <v>0</v>
      </c>
      <c r="G326" s="357">
        <v>181251</v>
      </c>
      <c r="H326" s="357">
        <v>190552751</v>
      </c>
      <c r="I326" s="357">
        <v>89664977</v>
      </c>
      <c r="J326" s="357">
        <v>0</v>
      </c>
      <c r="K326" s="357">
        <v>85369</v>
      </c>
      <c r="L326" s="357">
        <v>-1000000</v>
      </c>
      <c r="M326" s="357">
        <v>0</v>
      </c>
      <c r="N326" s="357">
        <v>0</v>
      </c>
      <c r="O326" s="357">
        <v>88664977</v>
      </c>
      <c r="P326" s="357">
        <v>0</v>
      </c>
      <c r="Q326" s="357">
        <v>85369</v>
      </c>
      <c r="R326" s="357">
        <v>88750346</v>
      </c>
      <c r="S326" s="357">
        <v>314987</v>
      </c>
      <c r="T326" s="357">
        <v>0</v>
      </c>
      <c r="U326" s="357">
        <v>0</v>
      </c>
      <c r="V326" s="357">
        <v>314987</v>
      </c>
      <c r="W326" s="357">
        <v>11398</v>
      </c>
      <c r="X326" s="357">
        <v>0</v>
      </c>
      <c r="Y326" s="357">
        <v>0</v>
      </c>
      <c r="Z326" s="357">
        <v>11398</v>
      </c>
      <c r="AA326" s="357">
        <v>303589</v>
      </c>
      <c r="AB326" s="357">
        <v>0</v>
      </c>
      <c r="AC326" s="357">
        <v>0</v>
      </c>
      <c r="AD326" s="357">
        <v>0</v>
      </c>
      <c r="AE326" s="357">
        <v>0</v>
      </c>
      <c r="AF326" s="357">
        <v>0</v>
      </c>
      <c r="AG326" s="357">
        <v>303589</v>
      </c>
      <c r="AH326" s="357">
        <v>0</v>
      </c>
      <c r="AI326" s="357">
        <v>0</v>
      </c>
      <c r="AJ326" s="357">
        <v>303589</v>
      </c>
      <c r="AK326" s="357">
        <v>303589</v>
      </c>
      <c r="AL326" s="357">
        <v>0</v>
      </c>
      <c r="AM326" s="357">
        <v>0</v>
      </c>
      <c r="AN326" s="357">
        <v>303589</v>
      </c>
      <c r="AO326" s="357">
        <v>4860412</v>
      </c>
      <c r="AP326" s="357">
        <v>0</v>
      </c>
      <c r="AQ326" s="357">
        <v>0</v>
      </c>
      <c r="AR326" s="357">
        <v>4860412</v>
      </c>
      <c r="AS326" s="357">
        <v>0</v>
      </c>
      <c r="AT326" s="357">
        <v>0</v>
      </c>
      <c r="AU326" s="357">
        <v>0</v>
      </c>
      <c r="AV326" s="357">
        <v>0</v>
      </c>
      <c r="AW326" s="357">
        <v>1738810</v>
      </c>
      <c r="AX326" s="357">
        <v>0</v>
      </c>
      <c r="AY326" s="357">
        <v>0</v>
      </c>
      <c r="AZ326" s="357">
        <v>1738810</v>
      </c>
      <c r="BA326" s="357">
        <v>3121602</v>
      </c>
      <c r="BB326" s="357">
        <v>0</v>
      </c>
      <c r="BC326" s="357">
        <v>0</v>
      </c>
      <c r="BD326" s="357">
        <v>3121602</v>
      </c>
      <c r="BE326" s="357">
        <v>3925839.7</v>
      </c>
      <c r="BF326" s="357">
        <v>0</v>
      </c>
      <c r="BG326" s="357">
        <v>0</v>
      </c>
      <c r="BH326" s="357">
        <v>3925839.7</v>
      </c>
      <c r="BI326" s="357">
        <v>13602.04</v>
      </c>
      <c r="BJ326" s="357">
        <v>0</v>
      </c>
      <c r="BK326" s="357">
        <v>0</v>
      </c>
      <c r="BL326" s="357">
        <v>13602.04</v>
      </c>
      <c r="BM326" s="357">
        <v>0</v>
      </c>
      <c r="BN326" s="357">
        <v>0</v>
      </c>
      <c r="BO326" s="357">
        <v>0</v>
      </c>
      <c r="BP326" s="357">
        <v>0</v>
      </c>
      <c r="BQ326" s="357">
        <v>7061043.74</v>
      </c>
      <c r="BR326" s="357">
        <v>0</v>
      </c>
      <c r="BS326" s="357">
        <v>0</v>
      </c>
      <c r="BT326" s="357">
        <v>0</v>
      </c>
      <c r="BU326" s="357">
        <v>0</v>
      </c>
      <c r="BV326" s="357">
        <v>0</v>
      </c>
      <c r="BW326" s="357">
        <v>7061043.74</v>
      </c>
      <c r="BX326" s="357">
        <v>0</v>
      </c>
      <c r="BY326" s="357">
        <v>0</v>
      </c>
      <c r="BZ326" s="357">
        <v>7061043.74</v>
      </c>
      <c r="CA326" s="357">
        <v>50000</v>
      </c>
      <c r="CB326" s="357">
        <v>0</v>
      </c>
      <c r="CC326" s="357">
        <v>0</v>
      </c>
      <c r="CD326" s="357">
        <v>50000</v>
      </c>
      <c r="CE326" s="357">
        <v>2014797</v>
      </c>
      <c r="CF326" s="357">
        <v>0</v>
      </c>
      <c r="CG326" s="357">
        <v>0</v>
      </c>
      <c r="CH326" s="357">
        <v>2014797</v>
      </c>
      <c r="CI326" s="357">
        <v>2064797</v>
      </c>
      <c r="CJ326" s="357">
        <v>0</v>
      </c>
      <c r="CK326" s="357">
        <v>0</v>
      </c>
      <c r="CL326" s="357">
        <v>0</v>
      </c>
      <c r="CM326" s="357">
        <v>0</v>
      </c>
      <c r="CN326" s="357">
        <v>0</v>
      </c>
      <c r="CO326" s="357">
        <v>2064797</v>
      </c>
      <c r="CP326" s="357">
        <v>0</v>
      </c>
      <c r="CQ326" s="357">
        <v>0</v>
      </c>
      <c r="CR326" s="357">
        <v>2064797</v>
      </c>
      <c r="CS326" s="357">
        <v>425518</v>
      </c>
      <c r="CT326" s="357">
        <v>0</v>
      </c>
      <c r="CU326" s="357">
        <v>0</v>
      </c>
      <c r="CV326" s="357">
        <v>425518</v>
      </c>
      <c r="CW326" s="357">
        <v>379959</v>
      </c>
      <c r="CX326" s="357">
        <v>0</v>
      </c>
      <c r="CY326" s="357">
        <v>0</v>
      </c>
      <c r="CZ326" s="357">
        <v>379959</v>
      </c>
      <c r="DA326" s="357">
        <v>1795</v>
      </c>
      <c r="DB326" s="357">
        <v>0</v>
      </c>
      <c r="DC326" s="357">
        <v>0</v>
      </c>
      <c r="DD326" s="357">
        <v>1795</v>
      </c>
      <c r="DE326" s="357">
        <v>0</v>
      </c>
      <c r="DF326" s="357">
        <v>0</v>
      </c>
      <c r="DG326" s="357">
        <v>0</v>
      </c>
      <c r="DH326" s="357">
        <v>0</v>
      </c>
      <c r="DI326" s="357">
        <v>0</v>
      </c>
      <c r="DJ326" s="357">
        <v>0</v>
      </c>
      <c r="DK326" s="357">
        <v>0</v>
      </c>
      <c r="DL326" s="357">
        <v>0</v>
      </c>
      <c r="DM326" s="357">
        <v>0</v>
      </c>
      <c r="DN326" s="357">
        <v>0</v>
      </c>
      <c r="DO326" s="357">
        <v>0</v>
      </c>
      <c r="DP326" s="357">
        <v>0</v>
      </c>
      <c r="DQ326" s="357">
        <v>807272</v>
      </c>
      <c r="DR326" s="357">
        <v>0</v>
      </c>
      <c r="DS326" s="357">
        <v>0</v>
      </c>
      <c r="DT326" s="357">
        <v>-154648</v>
      </c>
      <c r="DU326" s="357">
        <v>0</v>
      </c>
      <c r="DV326" s="357">
        <v>0</v>
      </c>
      <c r="DW326" s="357">
        <v>652624</v>
      </c>
      <c r="DX326" s="357">
        <v>0</v>
      </c>
      <c r="DY326" s="357">
        <v>0</v>
      </c>
      <c r="DZ326" s="357">
        <v>652624</v>
      </c>
      <c r="EA326" s="357">
        <v>0</v>
      </c>
      <c r="EB326" s="357">
        <v>0</v>
      </c>
      <c r="EC326" s="357">
        <v>0</v>
      </c>
      <c r="ED326" s="357">
        <v>0</v>
      </c>
      <c r="EE326" s="357">
        <v>0</v>
      </c>
      <c r="EF326" s="357">
        <v>0</v>
      </c>
      <c r="EG326" s="357">
        <v>10000</v>
      </c>
      <c r="EH326" s="357">
        <v>0</v>
      </c>
      <c r="EI326" s="357">
        <v>0</v>
      </c>
      <c r="EJ326" s="357">
        <v>10000</v>
      </c>
      <c r="EK326" s="357">
        <v>1000000</v>
      </c>
      <c r="EL326" s="357">
        <v>0</v>
      </c>
      <c r="EM326" s="357">
        <v>0</v>
      </c>
      <c r="EN326" s="357">
        <v>1000000</v>
      </c>
      <c r="EO326" s="357">
        <v>1010000</v>
      </c>
      <c r="EP326" s="357">
        <v>0</v>
      </c>
      <c r="EQ326" s="357">
        <v>0</v>
      </c>
      <c r="ER326" s="357">
        <v>0</v>
      </c>
      <c r="ES326" s="357">
        <v>0</v>
      </c>
      <c r="ET326" s="357">
        <v>0</v>
      </c>
      <c r="EU326" s="357">
        <v>1010000</v>
      </c>
      <c r="EV326" s="357">
        <v>0</v>
      </c>
      <c r="EW326" s="357">
        <v>0</v>
      </c>
      <c r="EX326" s="357">
        <v>1010000</v>
      </c>
      <c r="EY326" s="357">
        <v>77572923.3</v>
      </c>
      <c r="EZ326" s="357">
        <v>0</v>
      </c>
      <c r="FA326" s="357">
        <v>85369</v>
      </c>
      <c r="FB326" s="357">
        <v>77658292.3</v>
      </c>
      <c r="FC326" s="277">
        <v>0</v>
      </c>
      <c r="FD326" s="205"/>
    </row>
    <row r="327" spans="1:160" ht="12.75">
      <c r="A327" s="169">
        <v>320</v>
      </c>
      <c r="B327" s="172" t="s">
        <v>570</v>
      </c>
      <c r="C327" s="258" t="s">
        <v>571</v>
      </c>
      <c r="D327" s="235">
        <v>41598</v>
      </c>
      <c r="E327" s="357">
        <v>102160429</v>
      </c>
      <c r="F327" s="357">
        <v>0</v>
      </c>
      <c r="G327" s="357">
        <v>0</v>
      </c>
      <c r="H327" s="357">
        <v>102160429</v>
      </c>
      <c r="I327" s="357">
        <v>48117562</v>
      </c>
      <c r="J327" s="357">
        <v>0</v>
      </c>
      <c r="K327" s="357">
        <v>0</v>
      </c>
      <c r="L327" s="357">
        <v>0</v>
      </c>
      <c r="M327" s="357">
        <v>0</v>
      </c>
      <c r="N327" s="357">
        <v>0</v>
      </c>
      <c r="O327" s="357">
        <v>48117562</v>
      </c>
      <c r="P327" s="357">
        <v>0</v>
      </c>
      <c r="Q327" s="357">
        <v>0</v>
      </c>
      <c r="R327" s="357">
        <v>48117562</v>
      </c>
      <c r="S327" s="357">
        <v>41715</v>
      </c>
      <c r="T327" s="357">
        <v>0</v>
      </c>
      <c r="U327" s="357">
        <v>0</v>
      </c>
      <c r="V327" s="357">
        <v>41715</v>
      </c>
      <c r="W327" s="357">
        <v>12674</v>
      </c>
      <c r="X327" s="357">
        <v>0</v>
      </c>
      <c r="Y327" s="357">
        <v>0</v>
      </c>
      <c r="Z327" s="357">
        <v>12674</v>
      </c>
      <c r="AA327" s="357">
        <v>29041</v>
      </c>
      <c r="AB327" s="357">
        <v>0</v>
      </c>
      <c r="AC327" s="357">
        <v>0</v>
      </c>
      <c r="AD327" s="357">
        <v>0</v>
      </c>
      <c r="AE327" s="357">
        <v>0</v>
      </c>
      <c r="AF327" s="357">
        <v>0</v>
      </c>
      <c r="AG327" s="357">
        <v>29041</v>
      </c>
      <c r="AH327" s="357">
        <v>0</v>
      </c>
      <c r="AI327" s="357">
        <v>0</v>
      </c>
      <c r="AJ327" s="357">
        <v>29041</v>
      </c>
      <c r="AK327" s="357">
        <v>29041</v>
      </c>
      <c r="AL327" s="357">
        <v>0</v>
      </c>
      <c r="AM327" s="357">
        <v>0</v>
      </c>
      <c r="AN327" s="357">
        <v>29041</v>
      </c>
      <c r="AO327" s="357">
        <v>1692518</v>
      </c>
      <c r="AP327" s="357">
        <v>0</v>
      </c>
      <c r="AQ327" s="357">
        <v>0</v>
      </c>
      <c r="AR327" s="357">
        <v>1692518</v>
      </c>
      <c r="AS327" s="357">
        <v>0</v>
      </c>
      <c r="AT327" s="357">
        <v>0</v>
      </c>
      <c r="AU327" s="357">
        <v>0</v>
      </c>
      <c r="AV327" s="357">
        <v>0</v>
      </c>
      <c r="AW327" s="357">
        <v>994021</v>
      </c>
      <c r="AX327" s="357">
        <v>0</v>
      </c>
      <c r="AY327" s="357">
        <v>0</v>
      </c>
      <c r="AZ327" s="357">
        <v>994021</v>
      </c>
      <c r="BA327" s="357">
        <v>698497</v>
      </c>
      <c r="BB327" s="357">
        <v>0</v>
      </c>
      <c r="BC327" s="357">
        <v>0</v>
      </c>
      <c r="BD327" s="357">
        <v>698497</v>
      </c>
      <c r="BE327" s="357">
        <v>3368205</v>
      </c>
      <c r="BF327" s="357">
        <v>0</v>
      </c>
      <c r="BG327" s="357">
        <v>0</v>
      </c>
      <c r="BH327" s="357">
        <v>3368205</v>
      </c>
      <c r="BI327" s="357">
        <v>17641</v>
      </c>
      <c r="BJ327" s="357">
        <v>0</v>
      </c>
      <c r="BK327" s="357">
        <v>0</v>
      </c>
      <c r="BL327" s="357">
        <v>17641</v>
      </c>
      <c r="BM327" s="357">
        <v>0</v>
      </c>
      <c r="BN327" s="357">
        <v>0</v>
      </c>
      <c r="BO327" s="357">
        <v>0</v>
      </c>
      <c r="BP327" s="357">
        <v>0</v>
      </c>
      <c r="BQ327" s="357">
        <v>4084343</v>
      </c>
      <c r="BR327" s="357">
        <v>0</v>
      </c>
      <c r="BS327" s="357">
        <v>0</v>
      </c>
      <c r="BT327" s="357">
        <v>100000</v>
      </c>
      <c r="BU327" s="357">
        <v>0</v>
      </c>
      <c r="BV327" s="357">
        <v>0</v>
      </c>
      <c r="BW327" s="357">
        <v>4184343</v>
      </c>
      <c r="BX327" s="357">
        <v>0</v>
      </c>
      <c r="BY327" s="357">
        <v>0</v>
      </c>
      <c r="BZ327" s="357">
        <v>4184343</v>
      </c>
      <c r="CA327" s="357">
        <v>88340</v>
      </c>
      <c r="CB327" s="357">
        <v>0</v>
      </c>
      <c r="CC327" s="357">
        <v>0</v>
      </c>
      <c r="CD327" s="357">
        <v>88340</v>
      </c>
      <c r="CE327" s="357">
        <v>1112825</v>
      </c>
      <c r="CF327" s="357">
        <v>0</v>
      </c>
      <c r="CG327" s="357">
        <v>0</v>
      </c>
      <c r="CH327" s="357">
        <v>1112825</v>
      </c>
      <c r="CI327" s="357">
        <v>1201165</v>
      </c>
      <c r="CJ327" s="357">
        <v>0</v>
      </c>
      <c r="CK327" s="357">
        <v>0</v>
      </c>
      <c r="CL327" s="357">
        <v>600000</v>
      </c>
      <c r="CM327" s="357">
        <v>0</v>
      </c>
      <c r="CN327" s="357">
        <v>0</v>
      </c>
      <c r="CO327" s="357">
        <v>1801165</v>
      </c>
      <c r="CP327" s="357">
        <v>0</v>
      </c>
      <c r="CQ327" s="357">
        <v>0</v>
      </c>
      <c r="CR327" s="357">
        <v>1801165</v>
      </c>
      <c r="CS327" s="357">
        <v>203104</v>
      </c>
      <c r="CT327" s="357">
        <v>0</v>
      </c>
      <c r="CU327" s="357">
        <v>0</v>
      </c>
      <c r="CV327" s="357">
        <v>203104</v>
      </c>
      <c r="CW327" s="357">
        <v>21870</v>
      </c>
      <c r="CX327" s="357">
        <v>0</v>
      </c>
      <c r="CY327" s="357">
        <v>0</v>
      </c>
      <c r="CZ327" s="357">
        <v>21870</v>
      </c>
      <c r="DA327" s="357">
        <v>4410</v>
      </c>
      <c r="DB327" s="357">
        <v>0</v>
      </c>
      <c r="DC327" s="357">
        <v>0</v>
      </c>
      <c r="DD327" s="357">
        <v>4410</v>
      </c>
      <c r="DE327" s="357">
        <v>0</v>
      </c>
      <c r="DF327" s="357">
        <v>0</v>
      </c>
      <c r="DG327" s="357">
        <v>0</v>
      </c>
      <c r="DH327" s="357">
        <v>0</v>
      </c>
      <c r="DI327" s="357">
        <v>0</v>
      </c>
      <c r="DJ327" s="357">
        <v>0</v>
      </c>
      <c r="DK327" s="357">
        <v>0</v>
      </c>
      <c r="DL327" s="357">
        <v>0</v>
      </c>
      <c r="DM327" s="357">
        <v>0</v>
      </c>
      <c r="DN327" s="357">
        <v>0</v>
      </c>
      <c r="DO327" s="357">
        <v>0</v>
      </c>
      <c r="DP327" s="357">
        <v>0</v>
      </c>
      <c r="DQ327" s="357">
        <v>229384</v>
      </c>
      <c r="DR327" s="357">
        <v>0</v>
      </c>
      <c r="DS327" s="357">
        <v>0</v>
      </c>
      <c r="DT327" s="357">
        <v>0</v>
      </c>
      <c r="DU327" s="357">
        <v>0</v>
      </c>
      <c r="DV327" s="357">
        <v>0</v>
      </c>
      <c r="DW327" s="357">
        <v>229384</v>
      </c>
      <c r="DX327" s="357">
        <v>0</v>
      </c>
      <c r="DY327" s="357">
        <v>0</v>
      </c>
      <c r="DZ327" s="357">
        <v>229384</v>
      </c>
      <c r="EA327" s="357">
        <v>0</v>
      </c>
      <c r="EB327" s="357">
        <v>0</v>
      </c>
      <c r="EC327" s="357">
        <v>0</v>
      </c>
      <c r="ED327" s="357">
        <v>0</v>
      </c>
      <c r="EE327" s="357">
        <v>0</v>
      </c>
      <c r="EF327" s="357">
        <v>0</v>
      </c>
      <c r="EG327" s="357">
        <v>69512</v>
      </c>
      <c r="EH327" s="357">
        <v>0</v>
      </c>
      <c r="EI327" s="357">
        <v>0</v>
      </c>
      <c r="EJ327" s="357">
        <v>69512</v>
      </c>
      <c r="EK327" s="357">
        <v>527366</v>
      </c>
      <c r="EL327" s="357">
        <v>0</v>
      </c>
      <c r="EM327" s="357">
        <v>0</v>
      </c>
      <c r="EN327" s="357">
        <v>527366</v>
      </c>
      <c r="EO327" s="357">
        <v>596878</v>
      </c>
      <c r="EP327" s="357">
        <v>0</v>
      </c>
      <c r="EQ327" s="357">
        <v>0</v>
      </c>
      <c r="ER327" s="357">
        <v>0</v>
      </c>
      <c r="ES327" s="357">
        <v>0</v>
      </c>
      <c r="ET327" s="357">
        <v>0</v>
      </c>
      <c r="EU327" s="357">
        <v>596878</v>
      </c>
      <c r="EV327" s="357">
        <v>0</v>
      </c>
      <c r="EW327" s="357">
        <v>0</v>
      </c>
      <c r="EX327" s="357">
        <v>596878</v>
      </c>
      <c r="EY327" s="357">
        <v>41276751</v>
      </c>
      <c r="EZ327" s="357">
        <v>0</v>
      </c>
      <c r="FA327" s="357">
        <v>0</v>
      </c>
      <c r="FB327" s="357">
        <v>41276751</v>
      </c>
      <c r="FC327" s="277">
        <v>0</v>
      </c>
      <c r="FD327" s="205"/>
    </row>
    <row r="328" spans="1:160" ht="12.75">
      <c r="A328" s="169">
        <v>321</v>
      </c>
      <c r="B328" s="172" t="s">
        <v>572</v>
      </c>
      <c r="C328" s="258" t="s">
        <v>573</v>
      </c>
      <c r="D328" s="235">
        <v>41647</v>
      </c>
      <c r="E328" s="357">
        <v>78030243</v>
      </c>
      <c r="F328" s="357">
        <v>0</v>
      </c>
      <c r="G328" s="357">
        <v>0</v>
      </c>
      <c r="H328" s="357">
        <v>78030243</v>
      </c>
      <c r="I328" s="357">
        <v>36752244</v>
      </c>
      <c r="J328" s="357">
        <v>0</v>
      </c>
      <c r="K328" s="357">
        <v>0</v>
      </c>
      <c r="L328" s="357">
        <v>0</v>
      </c>
      <c r="M328" s="357">
        <v>0</v>
      </c>
      <c r="N328" s="357">
        <v>0</v>
      </c>
      <c r="O328" s="357">
        <v>36752244</v>
      </c>
      <c r="P328" s="357">
        <v>0</v>
      </c>
      <c r="Q328" s="357">
        <v>0</v>
      </c>
      <c r="R328" s="357">
        <v>36752244</v>
      </c>
      <c r="S328" s="357">
        <v>46040</v>
      </c>
      <c r="T328" s="357">
        <v>0</v>
      </c>
      <c r="U328" s="357">
        <v>0</v>
      </c>
      <c r="V328" s="357">
        <v>46040</v>
      </c>
      <c r="W328" s="357">
        <v>52101</v>
      </c>
      <c r="X328" s="357">
        <v>0</v>
      </c>
      <c r="Y328" s="357">
        <v>0</v>
      </c>
      <c r="Z328" s="357">
        <v>52101</v>
      </c>
      <c r="AA328" s="357">
        <v>-6061</v>
      </c>
      <c r="AB328" s="357">
        <v>0</v>
      </c>
      <c r="AC328" s="357">
        <v>0</v>
      </c>
      <c r="AD328" s="357">
        <v>0</v>
      </c>
      <c r="AE328" s="357">
        <v>0</v>
      </c>
      <c r="AF328" s="357">
        <v>0</v>
      </c>
      <c r="AG328" s="357">
        <v>-6061</v>
      </c>
      <c r="AH328" s="357">
        <v>0</v>
      </c>
      <c r="AI328" s="357">
        <v>0</v>
      </c>
      <c r="AJ328" s="357">
        <v>-6061</v>
      </c>
      <c r="AK328" s="357">
        <v>-6061</v>
      </c>
      <c r="AL328" s="357">
        <v>0</v>
      </c>
      <c r="AM328" s="357">
        <v>0</v>
      </c>
      <c r="AN328" s="357">
        <v>-6061</v>
      </c>
      <c r="AO328" s="357">
        <v>1963552</v>
      </c>
      <c r="AP328" s="357">
        <v>0</v>
      </c>
      <c r="AQ328" s="357">
        <v>0</v>
      </c>
      <c r="AR328" s="357">
        <v>1963552</v>
      </c>
      <c r="AS328" s="357">
        <v>0</v>
      </c>
      <c r="AT328" s="357">
        <v>0</v>
      </c>
      <c r="AU328" s="357">
        <v>0</v>
      </c>
      <c r="AV328" s="357">
        <v>0</v>
      </c>
      <c r="AW328" s="357">
        <v>605709</v>
      </c>
      <c r="AX328" s="357">
        <v>0</v>
      </c>
      <c r="AY328" s="357">
        <v>0</v>
      </c>
      <c r="AZ328" s="357">
        <v>605709</v>
      </c>
      <c r="BA328" s="357">
        <v>1357843</v>
      </c>
      <c r="BB328" s="357">
        <v>0</v>
      </c>
      <c r="BC328" s="357">
        <v>0</v>
      </c>
      <c r="BD328" s="357">
        <v>1357843</v>
      </c>
      <c r="BE328" s="357">
        <v>1681896</v>
      </c>
      <c r="BF328" s="357">
        <v>0</v>
      </c>
      <c r="BG328" s="357">
        <v>0</v>
      </c>
      <c r="BH328" s="357">
        <v>1681896</v>
      </c>
      <c r="BI328" s="357">
        <v>39344</v>
      </c>
      <c r="BJ328" s="357">
        <v>0</v>
      </c>
      <c r="BK328" s="357">
        <v>0</v>
      </c>
      <c r="BL328" s="357">
        <v>39344</v>
      </c>
      <c r="BM328" s="357">
        <v>0</v>
      </c>
      <c r="BN328" s="357">
        <v>0</v>
      </c>
      <c r="BO328" s="357">
        <v>0</v>
      </c>
      <c r="BP328" s="357">
        <v>0</v>
      </c>
      <c r="BQ328" s="357">
        <v>3079083</v>
      </c>
      <c r="BR328" s="357">
        <v>0</v>
      </c>
      <c r="BS328" s="357">
        <v>0</v>
      </c>
      <c r="BT328" s="357">
        <v>181600</v>
      </c>
      <c r="BU328" s="357">
        <v>0</v>
      </c>
      <c r="BV328" s="357">
        <v>0</v>
      </c>
      <c r="BW328" s="357">
        <v>3260683</v>
      </c>
      <c r="BX328" s="357">
        <v>0</v>
      </c>
      <c r="BY328" s="357">
        <v>0</v>
      </c>
      <c r="BZ328" s="357">
        <v>3260683</v>
      </c>
      <c r="CA328" s="357">
        <v>0</v>
      </c>
      <c r="CB328" s="357">
        <v>0</v>
      </c>
      <c r="CC328" s="357">
        <v>0</v>
      </c>
      <c r="CD328" s="357">
        <v>0</v>
      </c>
      <c r="CE328" s="357">
        <v>1051578</v>
      </c>
      <c r="CF328" s="357">
        <v>0</v>
      </c>
      <c r="CG328" s="357">
        <v>0</v>
      </c>
      <c r="CH328" s="357">
        <v>1051578</v>
      </c>
      <c r="CI328" s="357">
        <v>1051578</v>
      </c>
      <c r="CJ328" s="357">
        <v>0</v>
      </c>
      <c r="CK328" s="357">
        <v>0</v>
      </c>
      <c r="CL328" s="357">
        <v>0</v>
      </c>
      <c r="CM328" s="357">
        <v>0</v>
      </c>
      <c r="CN328" s="357">
        <v>0</v>
      </c>
      <c r="CO328" s="357">
        <v>1051578</v>
      </c>
      <c r="CP328" s="357">
        <v>0</v>
      </c>
      <c r="CQ328" s="357">
        <v>0</v>
      </c>
      <c r="CR328" s="357">
        <v>1051578</v>
      </c>
      <c r="CS328" s="357">
        <v>86278</v>
      </c>
      <c r="CT328" s="357">
        <v>0</v>
      </c>
      <c r="CU328" s="357">
        <v>0</v>
      </c>
      <c r="CV328" s="357">
        <v>86278</v>
      </c>
      <c r="CW328" s="357">
        <v>1754</v>
      </c>
      <c r="CX328" s="357">
        <v>0</v>
      </c>
      <c r="CY328" s="357">
        <v>0</v>
      </c>
      <c r="CZ328" s="357">
        <v>1754</v>
      </c>
      <c r="DA328" s="357">
        <v>0</v>
      </c>
      <c r="DB328" s="357">
        <v>0</v>
      </c>
      <c r="DC328" s="357">
        <v>0</v>
      </c>
      <c r="DD328" s="357">
        <v>0</v>
      </c>
      <c r="DE328" s="357">
        <v>0</v>
      </c>
      <c r="DF328" s="357">
        <v>0</v>
      </c>
      <c r="DG328" s="357">
        <v>0</v>
      </c>
      <c r="DH328" s="357">
        <v>0</v>
      </c>
      <c r="DI328" s="357">
        <v>0</v>
      </c>
      <c r="DJ328" s="357">
        <v>0</v>
      </c>
      <c r="DK328" s="357">
        <v>0</v>
      </c>
      <c r="DL328" s="357">
        <v>0</v>
      </c>
      <c r="DM328" s="357">
        <v>0</v>
      </c>
      <c r="DN328" s="357">
        <v>0</v>
      </c>
      <c r="DO328" s="357">
        <v>0</v>
      </c>
      <c r="DP328" s="357">
        <v>0</v>
      </c>
      <c r="DQ328" s="357">
        <v>88032</v>
      </c>
      <c r="DR328" s="357">
        <v>0</v>
      </c>
      <c r="DS328" s="357">
        <v>0</v>
      </c>
      <c r="DT328" s="357">
        <v>0</v>
      </c>
      <c r="DU328" s="357">
        <v>0</v>
      </c>
      <c r="DV328" s="357">
        <v>0</v>
      </c>
      <c r="DW328" s="357">
        <v>88032</v>
      </c>
      <c r="DX328" s="357">
        <v>0</v>
      </c>
      <c r="DY328" s="357">
        <v>0</v>
      </c>
      <c r="DZ328" s="357">
        <v>88032</v>
      </c>
      <c r="EA328" s="357">
        <v>0</v>
      </c>
      <c r="EB328" s="357">
        <v>0</v>
      </c>
      <c r="EC328" s="357">
        <v>24100</v>
      </c>
      <c r="ED328" s="357">
        <v>0</v>
      </c>
      <c r="EE328" s="357">
        <v>0</v>
      </c>
      <c r="EF328" s="357">
        <v>24100</v>
      </c>
      <c r="EG328" s="357">
        <v>0</v>
      </c>
      <c r="EH328" s="357">
        <v>0</v>
      </c>
      <c r="EI328" s="357">
        <v>0</v>
      </c>
      <c r="EJ328" s="357">
        <v>0</v>
      </c>
      <c r="EK328" s="357">
        <v>1185000</v>
      </c>
      <c r="EL328" s="357">
        <v>0</v>
      </c>
      <c r="EM328" s="357">
        <v>0</v>
      </c>
      <c r="EN328" s="357">
        <v>1185000</v>
      </c>
      <c r="EO328" s="357">
        <v>1209100</v>
      </c>
      <c r="EP328" s="357">
        <v>0</v>
      </c>
      <c r="EQ328" s="357">
        <v>0</v>
      </c>
      <c r="ER328" s="357">
        <v>0</v>
      </c>
      <c r="ES328" s="357">
        <v>0</v>
      </c>
      <c r="ET328" s="357">
        <v>0</v>
      </c>
      <c r="EU328" s="357">
        <v>1209100</v>
      </c>
      <c r="EV328" s="357">
        <v>0</v>
      </c>
      <c r="EW328" s="357">
        <v>0</v>
      </c>
      <c r="EX328" s="357">
        <v>1209100</v>
      </c>
      <c r="EY328" s="357">
        <v>31148912</v>
      </c>
      <c r="EZ328" s="357">
        <v>0</v>
      </c>
      <c r="FA328" s="357">
        <v>0</v>
      </c>
      <c r="FB328" s="357">
        <v>31148912</v>
      </c>
      <c r="FC328" s="277">
        <v>0</v>
      </c>
      <c r="FD328" s="205"/>
    </row>
    <row r="329" spans="1:160" ht="12.75">
      <c r="A329" s="169">
        <v>322</v>
      </c>
      <c r="B329" s="172" t="s">
        <v>574</v>
      </c>
      <c r="C329" s="258" t="s">
        <v>575</v>
      </c>
      <c r="D329" s="235">
        <v>41591</v>
      </c>
      <c r="E329" s="357">
        <v>98897587</v>
      </c>
      <c r="F329" s="357">
        <v>0</v>
      </c>
      <c r="G329" s="357">
        <v>0</v>
      </c>
      <c r="H329" s="357">
        <v>98897587</v>
      </c>
      <c r="I329" s="357">
        <v>46580763</v>
      </c>
      <c r="J329" s="357">
        <v>0</v>
      </c>
      <c r="K329" s="357">
        <v>0</v>
      </c>
      <c r="L329" s="357">
        <v>0</v>
      </c>
      <c r="M329" s="357">
        <v>0</v>
      </c>
      <c r="N329" s="357">
        <v>0</v>
      </c>
      <c r="O329" s="357">
        <v>46580763</v>
      </c>
      <c r="P329" s="357">
        <v>0</v>
      </c>
      <c r="Q329" s="357">
        <v>0</v>
      </c>
      <c r="R329" s="357">
        <v>46580763</v>
      </c>
      <c r="S329" s="357">
        <v>40540</v>
      </c>
      <c r="T329" s="357">
        <v>0</v>
      </c>
      <c r="U329" s="357">
        <v>0</v>
      </c>
      <c r="V329" s="357">
        <v>40540</v>
      </c>
      <c r="W329" s="357">
        <v>9224</v>
      </c>
      <c r="X329" s="357">
        <v>0</v>
      </c>
      <c r="Y329" s="357">
        <v>0</v>
      </c>
      <c r="Z329" s="357">
        <v>9224</v>
      </c>
      <c r="AA329" s="357">
        <v>31316</v>
      </c>
      <c r="AB329" s="357">
        <v>0</v>
      </c>
      <c r="AC329" s="357">
        <v>0</v>
      </c>
      <c r="AD329" s="357">
        <v>0</v>
      </c>
      <c r="AE329" s="357">
        <v>0</v>
      </c>
      <c r="AF329" s="357">
        <v>0</v>
      </c>
      <c r="AG329" s="357">
        <v>31316</v>
      </c>
      <c r="AH329" s="357">
        <v>0</v>
      </c>
      <c r="AI329" s="357">
        <v>0</v>
      </c>
      <c r="AJ329" s="357">
        <v>31316</v>
      </c>
      <c r="AK329" s="357">
        <v>31316</v>
      </c>
      <c r="AL329" s="357">
        <v>0</v>
      </c>
      <c r="AM329" s="357">
        <v>0</v>
      </c>
      <c r="AN329" s="357">
        <v>31316</v>
      </c>
      <c r="AO329" s="357">
        <v>2858530</v>
      </c>
      <c r="AP329" s="357">
        <v>0</v>
      </c>
      <c r="AQ329" s="357">
        <v>0</v>
      </c>
      <c r="AR329" s="357">
        <v>2858530</v>
      </c>
      <c r="AS329" s="357">
        <v>0</v>
      </c>
      <c r="AT329" s="357">
        <v>0</v>
      </c>
      <c r="AU329" s="357">
        <v>0</v>
      </c>
      <c r="AV329" s="357">
        <v>0</v>
      </c>
      <c r="AW329" s="357">
        <v>900908</v>
      </c>
      <c r="AX329" s="357">
        <v>0</v>
      </c>
      <c r="AY329" s="357">
        <v>0</v>
      </c>
      <c r="AZ329" s="357">
        <v>900908</v>
      </c>
      <c r="BA329" s="357">
        <v>1957622</v>
      </c>
      <c r="BB329" s="357">
        <v>0</v>
      </c>
      <c r="BC329" s="357">
        <v>0</v>
      </c>
      <c r="BD329" s="357">
        <v>1957622</v>
      </c>
      <c r="BE329" s="357">
        <v>1754176</v>
      </c>
      <c r="BF329" s="357">
        <v>0</v>
      </c>
      <c r="BG329" s="357">
        <v>0</v>
      </c>
      <c r="BH329" s="357">
        <v>1754176</v>
      </c>
      <c r="BI329" s="357">
        <v>33420</v>
      </c>
      <c r="BJ329" s="357">
        <v>0</v>
      </c>
      <c r="BK329" s="357">
        <v>0</v>
      </c>
      <c r="BL329" s="357">
        <v>33420</v>
      </c>
      <c r="BM329" s="357">
        <v>61922</v>
      </c>
      <c r="BN329" s="357">
        <v>0</v>
      </c>
      <c r="BO329" s="357">
        <v>0</v>
      </c>
      <c r="BP329" s="357">
        <v>61922</v>
      </c>
      <c r="BQ329" s="357">
        <v>3807140</v>
      </c>
      <c r="BR329" s="357">
        <v>0</v>
      </c>
      <c r="BS329" s="357">
        <v>0</v>
      </c>
      <c r="BT329" s="357">
        <v>200000</v>
      </c>
      <c r="BU329" s="357">
        <v>0</v>
      </c>
      <c r="BV329" s="357">
        <v>0</v>
      </c>
      <c r="BW329" s="357">
        <v>4007140</v>
      </c>
      <c r="BX329" s="357">
        <v>0</v>
      </c>
      <c r="BY329" s="357">
        <v>0</v>
      </c>
      <c r="BZ329" s="357">
        <v>4007140</v>
      </c>
      <c r="CA329" s="357">
        <v>220809</v>
      </c>
      <c r="CB329" s="357">
        <v>0</v>
      </c>
      <c r="CC329" s="357">
        <v>0</v>
      </c>
      <c r="CD329" s="357">
        <v>220809</v>
      </c>
      <c r="CE329" s="357">
        <v>819609</v>
      </c>
      <c r="CF329" s="357">
        <v>0</v>
      </c>
      <c r="CG329" s="357">
        <v>0</v>
      </c>
      <c r="CH329" s="357">
        <v>819609</v>
      </c>
      <c r="CI329" s="357">
        <v>1040418</v>
      </c>
      <c r="CJ329" s="357">
        <v>0</v>
      </c>
      <c r="CK329" s="357">
        <v>0</v>
      </c>
      <c r="CL329" s="357">
        <v>700000</v>
      </c>
      <c r="CM329" s="357">
        <v>0</v>
      </c>
      <c r="CN329" s="357">
        <v>0</v>
      </c>
      <c r="CO329" s="357">
        <v>1740418</v>
      </c>
      <c r="CP329" s="357">
        <v>0</v>
      </c>
      <c r="CQ329" s="357">
        <v>0</v>
      </c>
      <c r="CR329" s="357">
        <v>1740418</v>
      </c>
      <c r="CS329" s="357">
        <v>194327</v>
      </c>
      <c r="CT329" s="357">
        <v>0</v>
      </c>
      <c r="CU329" s="357">
        <v>0</v>
      </c>
      <c r="CV329" s="357">
        <v>194327</v>
      </c>
      <c r="CW329" s="357">
        <v>67670</v>
      </c>
      <c r="CX329" s="357">
        <v>0</v>
      </c>
      <c r="CY329" s="357">
        <v>0</v>
      </c>
      <c r="CZ329" s="357">
        <v>67670</v>
      </c>
      <c r="DA329" s="357">
        <v>7928</v>
      </c>
      <c r="DB329" s="357">
        <v>0</v>
      </c>
      <c r="DC329" s="357">
        <v>0</v>
      </c>
      <c r="DD329" s="357">
        <v>7928</v>
      </c>
      <c r="DE329" s="357">
        <v>42685</v>
      </c>
      <c r="DF329" s="357">
        <v>0</v>
      </c>
      <c r="DG329" s="357">
        <v>0</v>
      </c>
      <c r="DH329" s="357">
        <v>42685</v>
      </c>
      <c r="DI329" s="357">
        <v>27278</v>
      </c>
      <c r="DJ329" s="357">
        <v>0</v>
      </c>
      <c r="DK329" s="357">
        <v>0</v>
      </c>
      <c r="DL329" s="357">
        <v>27278</v>
      </c>
      <c r="DM329" s="357">
        <v>0</v>
      </c>
      <c r="DN329" s="357">
        <v>0</v>
      </c>
      <c r="DO329" s="357">
        <v>0</v>
      </c>
      <c r="DP329" s="357">
        <v>0</v>
      </c>
      <c r="DQ329" s="357">
        <v>339888</v>
      </c>
      <c r="DR329" s="357">
        <v>0</v>
      </c>
      <c r="DS329" s="357">
        <v>0</v>
      </c>
      <c r="DT329" s="357">
        <v>0</v>
      </c>
      <c r="DU329" s="357">
        <v>0</v>
      </c>
      <c r="DV329" s="357">
        <v>0</v>
      </c>
      <c r="DW329" s="357">
        <v>339888</v>
      </c>
      <c r="DX329" s="357">
        <v>0</v>
      </c>
      <c r="DY329" s="357">
        <v>0</v>
      </c>
      <c r="DZ329" s="357">
        <v>339888</v>
      </c>
      <c r="EA329" s="357">
        <v>0</v>
      </c>
      <c r="EB329" s="357">
        <v>0</v>
      </c>
      <c r="EC329" s="357">
        <v>0</v>
      </c>
      <c r="ED329" s="357">
        <v>0</v>
      </c>
      <c r="EE329" s="357">
        <v>0</v>
      </c>
      <c r="EF329" s="357">
        <v>0</v>
      </c>
      <c r="EG329" s="357">
        <v>49198</v>
      </c>
      <c r="EH329" s="357">
        <v>0</v>
      </c>
      <c r="EI329" s="357">
        <v>0</v>
      </c>
      <c r="EJ329" s="357">
        <v>49198</v>
      </c>
      <c r="EK329" s="357">
        <v>540742</v>
      </c>
      <c r="EL329" s="357">
        <v>0</v>
      </c>
      <c r="EM329" s="357">
        <v>0</v>
      </c>
      <c r="EN329" s="357">
        <v>540742</v>
      </c>
      <c r="EO329" s="357">
        <v>589940</v>
      </c>
      <c r="EP329" s="357">
        <v>0</v>
      </c>
      <c r="EQ329" s="357">
        <v>0</v>
      </c>
      <c r="ER329" s="357">
        <v>0</v>
      </c>
      <c r="ES329" s="357">
        <v>0</v>
      </c>
      <c r="ET329" s="357">
        <v>0</v>
      </c>
      <c r="EU329" s="357">
        <v>589940</v>
      </c>
      <c r="EV329" s="357">
        <v>0</v>
      </c>
      <c r="EW329" s="357">
        <v>0</v>
      </c>
      <c r="EX329" s="357">
        <v>589940</v>
      </c>
      <c r="EY329" s="357">
        <v>39872061</v>
      </c>
      <c r="EZ329" s="357">
        <v>0</v>
      </c>
      <c r="FA329" s="357">
        <v>0</v>
      </c>
      <c r="FB329" s="357">
        <v>39872061</v>
      </c>
      <c r="FC329" s="277">
        <v>0</v>
      </c>
      <c r="FD329" s="205"/>
    </row>
    <row r="330" spans="1:160" ht="12.75">
      <c r="A330" s="169">
        <v>323</v>
      </c>
      <c r="B330" s="172" t="s">
        <v>576</v>
      </c>
      <c r="C330" s="258" t="s">
        <v>577</v>
      </c>
      <c r="D330" s="235">
        <v>41666</v>
      </c>
      <c r="E330" s="357">
        <v>174039409</v>
      </c>
      <c r="F330" s="357">
        <v>0</v>
      </c>
      <c r="G330" s="357">
        <v>0</v>
      </c>
      <c r="H330" s="357">
        <v>174039409</v>
      </c>
      <c r="I330" s="357">
        <v>81972562</v>
      </c>
      <c r="J330" s="357">
        <v>0</v>
      </c>
      <c r="K330" s="357">
        <v>0</v>
      </c>
      <c r="L330" s="357">
        <v>0</v>
      </c>
      <c r="M330" s="357">
        <v>0</v>
      </c>
      <c r="N330" s="357">
        <v>0</v>
      </c>
      <c r="O330" s="357">
        <v>81972562</v>
      </c>
      <c r="P330" s="357">
        <v>0</v>
      </c>
      <c r="Q330" s="357">
        <v>0</v>
      </c>
      <c r="R330" s="357">
        <v>81972562</v>
      </c>
      <c r="S330" s="357">
        <v>16159.93</v>
      </c>
      <c r="T330" s="357">
        <v>0</v>
      </c>
      <c r="U330" s="357">
        <v>0</v>
      </c>
      <c r="V330" s="357">
        <v>16159.93</v>
      </c>
      <c r="W330" s="357">
        <v>52549.76</v>
      </c>
      <c r="X330" s="357">
        <v>0</v>
      </c>
      <c r="Y330" s="357">
        <v>0</v>
      </c>
      <c r="Z330" s="357">
        <v>52549.76</v>
      </c>
      <c r="AA330" s="357">
        <v>-36389.83</v>
      </c>
      <c r="AB330" s="357">
        <v>0</v>
      </c>
      <c r="AC330" s="357">
        <v>0</v>
      </c>
      <c r="AD330" s="357">
        <v>0</v>
      </c>
      <c r="AE330" s="357">
        <v>0</v>
      </c>
      <c r="AF330" s="357">
        <v>0</v>
      </c>
      <c r="AG330" s="357">
        <v>-36389.83</v>
      </c>
      <c r="AH330" s="357">
        <v>0</v>
      </c>
      <c r="AI330" s="357">
        <v>0</v>
      </c>
      <c r="AJ330" s="357">
        <v>-36389.83</v>
      </c>
      <c r="AK330" s="357">
        <v>-36389.83</v>
      </c>
      <c r="AL330" s="357">
        <v>0</v>
      </c>
      <c r="AM330" s="357">
        <v>0</v>
      </c>
      <c r="AN330" s="357">
        <v>-36389.83</v>
      </c>
      <c r="AO330" s="357">
        <v>2111969.75</v>
      </c>
      <c r="AP330" s="357">
        <v>0</v>
      </c>
      <c r="AQ330" s="357">
        <v>0</v>
      </c>
      <c r="AR330" s="357">
        <v>2111969.75</v>
      </c>
      <c r="AS330" s="357">
        <v>105598.5</v>
      </c>
      <c r="AT330" s="357">
        <v>0</v>
      </c>
      <c r="AU330" s="357">
        <v>0</v>
      </c>
      <c r="AV330" s="357">
        <v>105598.5</v>
      </c>
      <c r="AW330" s="357">
        <v>1695475.23</v>
      </c>
      <c r="AX330" s="357">
        <v>0</v>
      </c>
      <c r="AY330" s="357">
        <v>0</v>
      </c>
      <c r="AZ330" s="357">
        <v>1695475.23</v>
      </c>
      <c r="BA330" s="357">
        <v>416494.52</v>
      </c>
      <c r="BB330" s="357">
        <v>0</v>
      </c>
      <c r="BC330" s="357">
        <v>0</v>
      </c>
      <c r="BD330" s="357">
        <v>416494.52</v>
      </c>
      <c r="BE330" s="357">
        <v>3996364.07</v>
      </c>
      <c r="BF330" s="357">
        <v>0</v>
      </c>
      <c r="BG330" s="357">
        <v>0</v>
      </c>
      <c r="BH330" s="357">
        <v>3996364.07</v>
      </c>
      <c r="BI330" s="357">
        <v>33537.56</v>
      </c>
      <c r="BJ330" s="357">
        <v>0</v>
      </c>
      <c r="BK330" s="357">
        <v>0</v>
      </c>
      <c r="BL330" s="357">
        <v>33537.56</v>
      </c>
      <c r="BM330" s="357">
        <v>17219.45</v>
      </c>
      <c r="BN330" s="357">
        <v>0</v>
      </c>
      <c r="BO330" s="357">
        <v>0</v>
      </c>
      <c r="BP330" s="357">
        <v>17219.45</v>
      </c>
      <c r="BQ330" s="357">
        <v>4463615.6</v>
      </c>
      <c r="BR330" s="357">
        <v>0</v>
      </c>
      <c r="BS330" s="357">
        <v>0</v>
      </c>
      <c r="BT330" s="357">
        <v>0</v>
      </c>
      <c r="BU330" s="357">
        <v>0</v>
      </c>
      <c r="BV330" s="357">
        <v>0</v>
      </c>
      <c r="BW330" s="357">
        <v>4463615.6</v>
      </c>
      <c r="BX330" s="357">
        <v>0</v>
      </c>
      <c r="BY330" s="357">
        <v>0</v>
      </c>
      <c r="BZ330" s="357">
        <v>4463615.6</v>
      </c>
      <c r="CA330" s="357">
        <v>0</v>
      </c>
      <c r="CB330" s="357">
        <v>0</v>
      </c>
      <c r="CC330" s="357">
        <v>0</v>
      </c>
      <c r="CD330" s="357">
        <v>0</v>
      </c>
      <c r="CE330" s="357">
        <v>2264195.2</v>
      </c>
      <c r="CF330" s="357">
        <v>0</v>
      </c>
      <c r="CG330" s="357">
        <v>0</v>
      </c>
      <c r="CH330" s="357">
        <v>2264195.2</v>
      </c>
      <c r="CI330" s="357">
        <v>2264195.2</v>
      </c>
      <c r="CJ330" s="357">
        <v>0</v>
      </c>
      <c r="CK330" s="357">
        <v>0</v>
      </c>
      <c r="CL330" s="357">
        <v>0</v>
      </c>
      <c r="CM330" s="357">
        <v>0</v>
      </c>
      <c r="CN330" s="357">
        <v>0</v>
      </c>
      <c r="CO330" s="357">
        <v>2264195.2</v>
      </c>
      <c r="CP330" s="357">
        <v>0</v>
      </c>
      <c r="CQ330" s="357">
        <v>0</v>
      </c>
      <c r="CR330" s="357">
        <v>2264195.2</v>
      </c>
      <c r="CS330" s="357">
        <v>54862.56</v>
      </c>
      <c r="CT330" s="357">
        <v>0</v>
      </c>
      <c r="CU330" s="357">
        <v>0</v>
      </c>
      <c r="CV330" s="357">
        <v>54862.56</v>
      </c>
      <c r="CW330" s="357">
        <v>373312.49</v>
      </c>
      <c r="CX330" s="357">
        <v>0</v>
      </c>
      <c r="CY330" s="357">
        <v>0</v>
      </c>
      <c r="CZ330" s="357">
        <v>373312.49</v>
      </c>
      <c r="DA330" s="357">
        <v>3108.33</v>
      </c>
      <c r="DB330" s="357">
        <v>0</v>
      </c>
      <c r="DC330" s="357">
        <v>0</v>
      </c>
      <c r="DD330" s="357">
        <v>3108.33</v>
      </c>
      <c r="DE330" s="357">
        <v>14760.88</v>
      </c>
      <c r="DF330" s="357">
        <v>0</v>
      </c>
      <c r="DG330" s="357">
        <v>0</v>
      </c>
      <c r="DH330" s="357">
        <v>14760.88</v>
      </c>
      <c r="DI330" s="357">
        <v>23558.21</v>
      </c>
      <c r="DJ330" s="357">
        <v>0</v>
      </c>
      <c r="DK330" s="357">
        <v>0</v>
      </c>
      <c r="DL330" s="357">
        <v>23558.21</v>
      </c>
      <c r="DM330" s="357">
        <v>0</v>
      </c>
      <c r="DN330" s="357">
        <v>0</v>
      </c>
      <c r="DO330" s="357">
        <v>0</v>
      </c>
      <c r="DP330" s="357">
        <v>0</v>
      </c>
      <c r="DQ330" s="357">
        <v>469602.47</v>
      </c>
      <c r="DR330" s="357">
        <v>0</v>
      </c>
      <c r="DS330" s="357">
        <v>0</v>
      </c>
      <c r="DT330" s="357">
        <v>0</v>
      </c>
      <c r="DU330" s="357">
        <v>0</v>
      </c>
      <c r="DV330" s="357">
        <v>0</v>
      </c>
      <c r="DW330" s="357">
        <v>469602.47</v>
      </c>
      <c r="DX330" s="357">
        <v>0</v>
      </c>
      <c r="DY330" s="357">
        <v>0</v>
      </c>
      <c r="DZ330" s="357">
        <v>469602.47</v>
      </c>
      <c r="EA330" s="357">
        <v>0</v>
      </c>
      <c r="EB330" s="357">
        <v>0</v>
      </c>
      <c r="EC330" s="357">
        <v>50000</v>
      </c>
      <c r="ED330" s="357">
        <v>0</v>
      </c>
      <c r="EE330" s="357">
        <v>0</v>
      </c>
      <c r="EF330" s="357">
        <v>50000</v>
      </c>
      <c r="EG330" s="357">
        <v>767983.86</v>
      </c>
      <c r="EH330" s="357">
        <v>0</v>
      </c>
      <c r="EI330" s="357">
        <v>0</v>
      </c>
      <c r="EJ330" s="357">
        <v>767983.86</v>
      </c>
      <c r="EK330" s="357">
        <v>398300</v>
      </c>
      <c r="EL330" s="357">
        <v>0</v>
      </c>
      <c r="EM330" s="357">
        <v>0</v>
      </c>
      <c r="EN330" s="357">
        <v>398300</v>
      </c>
      <c r="EO330" s="357">
        <v>1216283.86</v>
      </c>
      <c r="EP330" s="357">
        <v>0</v>
      </c>
      <c r="EQ330" s="357">
        <v>0</v>
      </c>
      <c r="ER330" s="357">
        <v>0</v>
      </c>
      <c r="ES330" s="357">
        <v>0</v>
      </c>
      <c r="ET330" s="357">
        <v>0</v>
      </c>
      <c r="EU330" s="357">
        <v>1216283.86</v>
      </c>
      <c r="EV330" s="357">
        <v>0</v>
      </c>
      <c r="EW330" s="357">
        <v>0</v>
      </c>
      <c r="EX330" s="357">
        <v>1216283.86</v>
      </c>
      <c r="EY330" s="357">
        <v>73595254.7</v>
      </c>
      <c r="EZ330" s="357">
        <v>0</v>
      </c>
      <c r="FA330" s="357">
        <v>0</v>
      </c>
      <c r="FB330" s="357">
        <v>73595254.7</v>
      </c>
      <c r="FC330" s="277">
        <v>0</v>
      </c>
      <c r="FD330" s="205"/>
    </row>
    <row r="331" spans="1:160" ht="12.75">
      <c r="A331" s="169">
        <v>324</v>
      </c>
      <c r="B331" s="172" t="s">
        <v>578</v>
      </c>
      <c r="C331" s="258" t="s">
        <v>579</v>
      </c>
      <c r="D331" s="235">
        <v>41639</v>
      </c>
      <c r="E331" s="357">
        <v>69138931</v>
      </c>
      <c r="F331" s="357">
        <v>0</v>
      </c>
      <c r="G331" s="357">
        <v>0</v>
      </c>
      <c r="H331" s="357">
        <v>69138931</v>
      </c>
      <c r="I331" s="357">
        <v>32564437</v>
      </c>
      <c r="J331" s="357">
        <v>0</v>
      </c>
      <c r="K331" s="357">
        <v>0</v>
      </c>
      <c r="L331" s="357">
        <v>-619431.73</v>
      </c>
      <c r="M331" s="357">
        <v>0</v>
      </c>
      <c r="N331" s="357">
        <v>0</v>
      </c>
      <c r="O331" s="357">
        <v>31945005.3</v>
      </c>
      <c r="P331" s="357">
        <v>0</v>
      </c>
      <c r="Q331" s="357">
        <v>0</v>
      </c>
      <c r="R331" s="357">
        <v>31945005.3</v>
      </c>
      <c r="S331" s="357">
        <v>91167</v>
      </c>
      <c r="T331" s="357">
        <v>0</v>
      </c>
      <c r="U331" s="357">
        <v>0</v>
      </c>
      <c r="V331" s="357">
        <v>91167</v>
      </c>
      <c r="W331" s="357">
        <v>226</v>
      </c>
      <c r="X331" s="357">
        <v>0</v>
      </c>
      <c r="Y331" s="357">
        <v>0</v>
      </c>
      <c r="Z331" s="357">
        <v>226</v>
      </c>
      <c r="AA331" s="357">
        <v>90941</v>
      </c>
      <c r="AB331" s="357">
        <v>0</v>
      </c>
      <c r="AC331" s="357">
        <v>0</v>
      </c>
      <c r="AD331" s="357">
        <v>0</v>
      </c>
      <c r="AE331" s="357">
        <v>0</v>
      </c>
      <c r="AF331" s="357">
        <v>0</v>
      </c>
      <c r="AG331" s="357">
        <v>90941</v>
      </c>
      <c r="AH331" s="357">
        <v>0</v>
      </c>
      <c r="AI331" s="357">
        <v>0</v>
      </c>
      <c r="AJ331" s="357">
        <v>90941</v>
      </c>
      <c r="AK331" s="357">
        <v>90941</v>
      </c>
      <c r="AL331" s="357">
        <v>0</v>
      </c>
      <c r="AM331" s="357">
        <v>0</v>
      </c>
      <c r="AN331" s="357">
        <v>90941</v>
      </c>
      <c r="AO331" s="357">
        <v>2761987</v>
      </c>
      <c r="AP331" s="357">
        <v>0</v>
      </c>
      <c r="AQ331" s="357">
        <v>0</v>
      </c>
      <c r="AR331" s="357">
        <v>2761987</v>
      </c>
      <c r="AS331" s="357">
        <v>0</v>
      </c>
      <c r="AT331" s="357">
        <v>0</v>
      </c>
      <c r="AU331" s="357">
        <v>0</v>
      </c>
      <c r="AV331" s="357">
        <v>0</v>
      </c>
      <c r="AW331" s="357">
        <v>573773</v>
      </c>
      <c r="AX331" s="357">
        <v>0</v>
      </c>
      <c r="AY331" s="357">
        <v>0</v>
      </c>
      <c r="AZ331" s="357">
        <v>573773</v>
      </c>
      <c r="BA331" s="357">
        <v>2188214</v>
      </c>
      <c r="BB331" s="357">
        <v>0</v>
      </c>
      <c r="BC331" s="357">
        <v>0</v>
      </c>
      <c r="BD331" s="357">
        <v>2188214</v>
      </c>
      <c r="BE331" s="357">
        <v>1649569</v>
      </c>
      <c r="BF331" s="357">
        <v>0</v>
      </c>
      <c r="BG331" s="357">
        <v>0</v>
      </c>
      <c r="BH331" s="357">
        <v>1649569</v>
      </c>
      <c r="BI331" s="357">
        <v>20732</v>
      </c>
      <c r="BJ331" s="357">
        <v>0</v>
      </c>
      <c r="BK331" s="357">
        <v>0</v>
      </c>
      <c r="BL331" s="357">
        <v>20732</v>
      </c>
      <c r="BM331" s="357">
        <v>4689</v>
      </c>
      <c r="BN331" s="357">
        <v>0</v>
      </c>
      <c r="BO331" s="357">
        <v>0</v>
      </c>
      <c r="BP331" s="357">
        <v>4689</v>
      </c>
      <c r="BQ331" s="357">
        <v>3863204</v>
      </c>
      <c r="BR331" s="357">
        <v>0</v>
      </c>
      <c r="BS331" s="357">
        <v>0</v>
      </c>
      <c r="BT331" s="357">
        <v>0</v>
      </c>
      <c r="BU331" s="357">
        <v>0</v>
      </c>
      <c r="BV331" s="357">
        <v>0</v>
      </c>
      <c r="BW331" s="357">
        <v>3863204</v>
      </c>
      <c r="BX331" s="357">
        <v>0</v>
      </c>
      <c r="BY331" s="357">
        <v>0</v>
      </c>
      <c r="BZ331" s="357">
        <v>3863204</v>
      </c>
      <c r="CA331" s="357">
        <v>0</v>
      </c>
      <c r="CB331" s="357">
        <v>0</v>
      </c>
      <c r="CC331" s="357">
        <v>0</v>
      </c>
      <c r="CD331" s="357">
        <v>0</v>
      </c>
      <c r="CE331" s="357">
        <v>570253</v>
      </c>
      <c r="CF331" s="357">
        <v>0</v>
      </c>
      <c r="CG331" s="357">
        <v>0</v>
      </c>
      <c r="CH331" s="357">
        <v>570253</v>
      </c>
      <c r="CI331" s="357">
        <v>570253</v>
      </c>
      <c r="CJ331" s="357">
        <v>0</v>
      </c>
      <c r="CK331" s="357">
        <v>0</v>
      </c>
      <c r="CL331" s="357">
        <v>0</v>
      </c>
      <c r="CM331" s="357">
        <v>0</v>
      </c>
      <c r="CN331" s="357">
        <v>0</v>
      </c>
      <c r="CO331" s="357">
        <v>570253</v>
      </c>
      <c r="CP331" s="357">
        <v>0</v>
      </c>
      <c r="CQ331" s="357">
        <v>0</v>
      </c>
      <c r="CR331" s="357">
        <v>570253</v>
      </c>
      <c r="CS331" s="357">
        <v>3085</v>
      </c>
      <c r="CT331" s="357">
        <v>0</v>
      </c>
      <c r="CU331" s="357">
        <v>0</v>
      </c>
      <c r="CV331" s="357">
        <v>3085</v>
      </c>
      <c r="CW331" s="357">
        <v>82409</v>
      </c>
      <c r="CX331" s="357">
        <v>0</v>
      </c>
      <c r="CY331" s="357">
        <v>0</v>
      </c>
      <c r="CZ331" s="357">
        <v>82409</v>
      </c>
      <c r="DA331" s="357">
        <v>0</v>
      </c>
      <c r="DB331" s="357">
        <v>0</v>
      </c>
      <c r="DC331" s="357">
        <v>0</v>
      </c>
      <c r="DD331" s="357">
        <v>0</v>
      </c>
      <c r="DE331" s="357">
        <v>39</v>
      </c>
      <c r="DF331" s="357">
        <v>0</v>
      </c>
      <c r="DG331" s="357">
        <v>0</v>
      </c>
      <c r="DH331" s="357">
        <v>39</v>
      </c>
      <c r="DI331" s="357">
        <v>0</v>
      </c>
      <c r="DJ331" s="357">
        <v>0</v>
      </c>
      <c r="DK331" s="357">
        <v>0</v>
      </c>
      <c r="DL331" s="357">
        <v>0</v>
      </c>
      <c r="DM331" s="357">
        <v>0</v>
      </c>
      <c r="DN331" s="357">
        <v>0</v>
      </c>
      <c r="DO331" s="357">
        <v>0</v>
      </c>
      <c r="DP331" s="357">
        <v>0</v>
      </c>
      <c r="DQ331" s="357">
        <v>85533</v>
      </c>
      <c r="DR331" s="357">
        <v>0</v>
      </c>
      <c r="DS331" s="357">
        <v>0</v>
      </c>
      <c r="DT331" s="357">
        <v>0</v>
      </c>
      <c r="DU331" s="357">
        <v>0</v>
      </c>
      <c r="DV331" s="357">
        <v>0</v>
      </c>
      <c r="DW331" s="357">
        <v>85533</v>
      </c>
      <c r="DX331" s="357">
        <v>0</v>
      </c>
      <c r="DY331" s="357">
        <v>0</v>
      </c>
      <c r="DZ331" s="357">
        <v>85533</v>
      </c>
      <c r="EA331" s="357">
        <v>0</v>
      </c>
      <c r="EB331" s="357">
        <v>0</v>
      </c>
      <c r="EC331" s="357">
        <v>0</v>
      </c>
      <c r="ED331" s="357">
        <v>0</v>
      </c>
      <c r="EE331" s="357">
        <v>0</v>
      </c>
      <c r="EF331" s="357">
        <v>0</v>
      </c>
      <c r="EG331" s="357">
        <v>0</v>
      </c>
      <c r="EH331" s="357">
        <v>0</v>
      </c>
      <c r="EI331" s="357">
        <v>0</v>
      </c>
      <c r="EJ331" s="357">
        <v>0</v>
      </c>
      <c r="EK331" s="357">
        <v>734423</v>
      </c>
      <c r="EL331" s="357">
        <v>0</v>
      </c>
      <c r="EM331" s="357">
        <v>0</v>
      </c>
      <c r="EN331" s="357">
        <v>734423</v>
      </c>
      <c r="EO331" s="357">
        <v>734423</v>
      </c>
      <c r="EP331" s="357">
        <v>0</v>
      </c>
      <c r="EQ331" s="357">
        <v>0</v>
      </c>
      <c r="ER331" s="357">
        <v>0</v>
      </c>
      <c r="ES331" s="357">
        <v>0</v>
      </c>
      <c r="ET331" s="357">
        <v>0</v>
      </c>
      <c r="EU331" s="357">
        <v>734423</v>
      </c>
      <c r="EV331" s="357">
        <v>0</v>
      </c>
      <c r="EW331" s="357">
        <v>0</v>
      </c>
      <c r="EX331" s="357">
        <v>734423</v>
      </c>
      <c r="EY331" s="357">
        <v>26600651.3</v>
      </c>
      <c r="EZ331" s="357">
        <v>0</v>
      </c>
      <c r="FA331" s="357">
        <v>0</v>
      </c>
      <c r="FB331" s="357">
        <v>26600651.3</v>
      </c>
      <c r="FC331" s="277">
        <v>0</v>
      </c>
      <c r="FD331" s="205"/>
    </row>
    <row r="332" spans="1:160" ht="12.75">
      <c r="A332" s="169">
        <v>325</v>
      </c>
      <c r="B332" s="172" t="s">
        <v>580</v>
      </c>
      <c r="C332" s="258" t="s">
        <v>581</v>
      </c>
      <c r="D332" s="235">
        <v>41639</v>
      </c>
      <c r="E332" s="357">
        <v>73783832</v>
      </c>
      <c r="F332" s="357">
        <v>0</v>
      </c>
      <c r="G332" s="357">
        <v>0</v>
      </c>
      <c r="H332" s="357">
        <v>73783832</v>
      </c>
      <c r="I332" s="357">
        <v>34752185</v>
      </c>
      <c r="J332" s="357">
        <v>0</v>
      </c>
      <c r="K332" s="357">
        <v>0</v>
      </c>
      <c r="L332" s="357">
        <v>0</v>
      </c>
      <c r="M332" s="357">
        <v>0</v>
      </c>
      <c r="N332" s="357">
        <v>0</v>
      </c>
      <c r="O332" s="357">
        <v>34752185</v>
      </c>
      <c r="P332" s="357">
        <v>0</v>
      </c>
      <c r="Q332" s="357">
        <v>0</v>
      </c>
      <c r="R332" s="357">
        <v>34752185</v>
      </c>
      <c r="S332" s="357">
        <v>32266.34</v>
      </c>
      <c r="T332" s="357">
        <v>0</v>
      </c>
      <c r="U332" s="357">
        <v>0</v>
      </c>
      <c r="V332" s="357">
        <v>32266.34</v>
      </c>
      <c r="W332" s="357">
        <v>13888.41</v>
      </c>
      <c r="X332" s="357">
        <v>0</v>
      </c>
      <c r="Y332" s="357">
        <v>0</v>
      </c>
      <c r="Z332" s="357">
        <v>13888.41</v>
      </c>
      <c r="AA332" s="357">
        <v>18377.93</v>
      </c>
      <c r="AB332" s="357">
        <v>0</v>
      </c>
      <c r="AC332" s="357">
        <v>0</v>
      </c>
      <c r="AD332" s="357">
        <v>0</v>
      </c>
      <c r="AE332" s="357">
        <v>0</v>
      </c>
      <c r="AF332" s="357">
        <v>0</v>
      </c>
      <c r="AG332" s="357">
        <v>18377.93</v>
      </c>
      <c r="AH332" s="357">
        <v>0</v>
      </c>
      <c r="AI332" s="357">
        <v>0</v>
      </c>
      <c r="AJ332" s="357">
        <v>18377.93</v>
      </c>
      <c r="AK332" s="357">
        <v>18377.93</v>
      </c>
      <c r="AL332" s="357">
        <v>0</v>
      </c>
      <c r="AM332" s="357">
        <v>0</v>
      </c>
      <c r="AN332" s="357">
        <v>18377.93</v>
      </c>
      <c r="AO332" s="357">
        <v>2015512.85</v>
      </c>
      <c r="AP332" s="357">
        <v>0</v>
      </c>
      <c r="AQ332" s="357">
        <v>0</v>
      </c>
      <c r="AR332" s="357">
        <v>2015512.85</v>
      </c>
      <c r="AS332" s="357">
        <v>0</v>
      </c>
      <c r="AT332" s="357">
        <v>0</v>
      </c>
      <c r="AU332" s="357">
        <v>0</v>
      </c>
      <c r="AV332" s="357">
        <v>0</v>
      </c>
      <c r="AW332" s="357">
        <v>675805.75</v>
      </c>
      <c r="AX332" s="357">
        <v>0</v>
      </c>
      <c r="AY332" s="357">
        <v>0</v>
      </c>
      <c r="AZ332" s="357">
        <v>675805.75</v>
      </c>
      <c r="BA332" s="357">
        <v>1339707.1</v>
      </c>
      <c r="BB332" s="357">
        <v>0</v>
      </c>
      <c r="BC332" s="357">
        <v>0</v>
      </c>
      <c r="BD332" s="357">
        <v>1339707.1</v>
      </c>
      <c r="BE332" s="357">
        <v>1497058.54</v>
      </c>
      <c r="BF332" s="357">
        <v>0</v>
      </c>
      <c r="BG332" s="357">
        <v>0</v>
      </c>
      <c r="BH332" s="357">
        <v>1497058.54</v>
      </c>
      <c r="BI332" s="357">
        <v>47187.81</v>
      </c>
      <c r="BJ332" s="357">
        <v>0</v>
      </c>
      <c r="BK332" s="357">
        <v>0</v>
      </c>
      <c r="BL332" s="357">
        <v>47187.81</v>
      </c>
      <c r="BM332" s="357">
        <v>9953.3</v>
      </c>
      <c r="BN332" s="357">
        <v>0</v>
      </c>
      <c r="BO332" s="357">
        <v>0</v>
      </c>
      <c r="BP332" s="357">
        <v>9953.3</v>
      </c>
      <c r="BQ332" s="357">
        <v>2893906.75</v>
      </c>
      <c r="BR332" s="357">
        <v>0</v>
      </c>
      <c r="BS332" s="357">
        <v>0</v>
      </c>
      <c r="BT332" s="357">
        <v>0</v>
      </c>
      <c r="BU332" s="357">
        <v>0</v>
      </c>
      <c r="BV332" s="357">
        <v>0</v>
      </c>
      <c r="BW332" s="357">
        <v>2893906.75</v>
      </c>
      <c r="BX332" s="357">
        <v>0</v>
      </c>
      <c r="BY332" s="357">
        <v>0</v>
      </c>
      <c r="BZ332" s="357">
        <v>2893906.75</v>
      </c>
      <c r="CA332" s="357">
        <v>100000</v>
      </c>
      <c r="CB332" s="357">
        <v>0</v>
      </c>
      <c r="CC332" s="357">
        <v>0</v>
      </c>
      <c r="CD332" s="357">
        <v>100000</v>
      </c>
      <c r="CE332" s="357">
        <v>1204781.08</v>
      </c>
      <c r="CF332" s="357">
        <v>0</v>
      </c>
      <c r="CG332" s="357">
        <v>0</v>
      </c>
      <c r="CH332" s="357">
        <v>1204781.08</v>
      </c>
      <c r="CI332" s="357">
        <v>1304781.08</v>
      </c>
      <c r="CJ332" s="357">
        <v>0</v>
      </c>
      <c r="CK332" s="357">
        <v>0</v>
      </c>
      <c r="CL332" s="357">
        <v>0</v>
      </c>
      <c r="CM332" s="357">
        <v>0</v>
      </c>
      <c r="CN332" s="357">
        <v>0</v>
      </c>
      <c r="CO332" s="357">
        <v>1304781.08</v>
      </c>
      <c r="CP332" s="357">
        <v>0</v>
      </c>
      <c r="CQ332" s="357">
        <v>0</v>
      </c>
      <c r="CR332" s="357">
        <v>1304781.08</v>
      </c>
      <c r="CS332" s="357">
        <v>140883.96</v>
      </c>
      <c r="CT332" s="357">
        <v>0</v>
      </c>
      <c r="CU332" s="357">
        <v>0</v>
      </c>
      <c r="CV332" s="357">
        <v>140883.96</v>
      </c>
      <c r="CW332" s="357">
        <v>271583.9</v>
      </c>
      <c r="CX332" s="357">
        <v>0</v>
      </c>
      <c r="CY332" s="357">
        <v>0</v>
      </c>
      <c r="CZ332" s="357">
        <v>271583.9</v>
      </c>
      <c r="DA332" s="357">
        <v>0</v>
      </c>
      <c r="DB332" s="357">
        <v>0</v>
      </c>
      <c r="DC332" s="357">
        <v>0</v>
      </c>
      <c r="DD332" s="357">
        <v>0</v>
      </c>
      <c r="DE332" s="357">
        <v>6316.95</v>
      </c>
      <c r="DF332" s="357">
        <v>0</v>
      </c>
      <c r="DG332" s="357">
        <v>0</v>
      </c>
      <c r="DH332" s="357">
        <v>6316.95</v>
      </c>
      <c r="DI332" s="357">
        <v>0</v>
      </c>
      <c r="DJ332" s="357">
        <v>0</v>
      </c>
      <c r="DK332" s="357">
        <v>0</v>
      </c>
      <c r="DL332" s="357">
        <v>0</v>
      </c>
      <c r="DM332" s="357">
        <v>0</v>
      </c>
      <c r="DN332" s="357">
        <v>0</v>
      </c>
      <c r="DO332" s="357">
        <v>0</v>
      </c>
      <c r="DP332" s="357">
        <v>0</v>
      </c>
      <c r="DQ332" s="357">
        <v>418784.81</v>
      </c>
      <c r="DR332" s="357">
        <v>0</v>
      </c>
      <c r="DS332" s="357">
        <v>0</v>
      </c>
      <c r="DT332" s="357">
        <v>0</v>
      </c>
      <c r="DU332" s="357">
        <v>0</v>
      </c>
      <c r="DV332" s="357">
        <v>0</v>
      </c>
      <c r="DW332" s="357">
        <v>418784.81</v>
      </c>
      <c r="DX332" s="357">
        <v>0</v>
      </c>
      <c r="DY332" s="357">
        <v>0</v>
      </c>
      <c r="DZ332" s="357">
        <v>418784.81</v>
      </c>
      <c r="EA332" s="357">
        <v>0</v>
      </c>
      <c r="EB332" s="357">
        <v>0</v>
      </c>
      <c r="EC332" s="357">
        <v>0</v>
      </c>
      <c r="ED332" s="357">
        <v>0</v>
      </c>
      <c r="EE332" s="357">
        <v>0</v>
      </c>
      <c r="EF332" s="357">
        <v>0</v>
      </c>
      <c r="EG332" s="357">
        <v>77729</v>
      </c>
      <c r="EH332" s="357">
        <v>0</v>
      </c>
      <c r="EI332" s="357">
        <v>0</v>
      </c>
      <c r="EJ332" s="357">
        <v>77729</v>
      </c>
      <c r="EK332" s="357">
        <v>315000</v>
      </c>
      <c r="EL332" s="357">
        <v>0</v>
      </c>
      <c r="EM332" s="357">
        <v>0</v>
      </c>
      <c r="EN332" s="357">
        <v>315000</v>
      </c>
      <c r="EO332" s="357">
        <v>392729</v>
      </c>
      <c r="EP332" s="357">
        <v>0</v>
      </c>
      <c r="EQ332" s="357">
        <v>0</v>
      </c>
      <c r="ER332" s="357">
        <v>0</v>
      </c>
      <c r="ES332" s="357">
        <v>0</v>
      </c>
      <c r="ET332" s="357">
        <v>0</v>
      </c>
      <c r="EU332" s="357">
        <v>392729</v>
      </c>
      <c r="EV332" s="357">
        <v>0</v>
      </c>
      <c r="EW332" s="357">
        <v>0</v>
      </c>
      <c r="EX332" s="357">
        <v>392729</v>
      </c>
      <c r="EY332" s="357">
        <v>29723605.4</v>
      </c>
      <c r="EZ332" s="357">
        <v>0</v>
      </c>
      <c r="FA332" s="357">
        <v>0</v>
      </c>
      <c r="FB332" s="357">
        <v>29723605.4</v>
      </c>
      <c r="FC332" s="277">
        <v>0</v>
      </c>
      <c r="FD332" s="205"/>
    </row>
    <row r="333" spans="1:160" ht="13.5" thickBot="1">
      <c r="A333" s="170">
        <v>326</v>
      </c>
      <c r="B333" s="174" t="s">
        <v>582</v>
      </c>
      <c r="C333" s="260" t="s">
        <v>583</v>
      </c>
      <c r="D333" s="235">
        <v>41639</v>
      </c>
      <c r="E333" s="357">
        <v>239213565</v>
      </c>
      <c r="F333" s="357">
        <v>0</v>
      </c>
      <c r="G333" s="357">
        <v>0</v>
      </c>
      <c r="H333" s="357">
        <v>239213565</v>
      </c>
      <c r="I333" s="357">
        <v>112669589</v>
      </c>
      <c r="J333" s="357">
        <v>0</v>
      </c>
      <c r="K333" s="357">
        <v>0</v>
      </c>
      <c r="L333" s="357">
        <v>830000</v>
      </c>
      <c r="M333" s="357">
        <v>0</v>
      </c>
      <c r="N333" s="357">
        <v>0</v>
      </c>
      <c r="O333" s="357">
        <v>113499589</v>
      </c>
      <c r="P333" s="357">
        <v>0</v>
      </c>
      <c r="Q333" s="357">
        <v>0</v>
      </c>
      <c r="R333" s="357">
        <v>113499589</v>
      </c>
      <c r="S333" s="357">
        <v>110000</v>
      </c>
      <c r="T333" s="357">
        <v>0</v>
      </c>
      <c r="U333" s="357">
        <v>0</v>
      </c>
      <c r="V333" s="357">
        <v>110000</v>
      </c>
      <c r="W333" s="357">
        <v>9000</v>
      </c>
      <c r="X333" s="357">
        <v>0</v>
      </c>
      <c r="Y333" s="357">
        <v>0</v>
      </c>
      <c r="Z333" s="357">
        <v>9000</v>
      </c>
      <c r="AA333" s="357">
        <v>101000</v>
      </c>
      <c r="AB333" s="357">
        <v>0</v>
      </c>
      <c r="AC333" s="357">
        <v>0</v>
      </c>
      <c r="AD333" s="357">
        <v>0</v>
      </c>
      <c r="AE333" s="357">
        <v>0</v>
      </c>
      <c r="AF333" s="357">
        <v>0</v>
      </c>
      <c r="AG333" s="357">
        <v>101000</v>
      </c>
      <c r="AH333" s="357">
        <v>0</v>
      </c>
      <c r="AI333" s="357">
        <v>0</v>
      </c>
      <c r="AJ333" s="357">
        <v>101000</v>
      </c>
      <c r="AK333" s="357">
        <v>101000</v>
      </c>
      <c r="AL333" s="357">
        <v>0</v>
      </c>
      <c r="AM333" s="357">
        <v>0</v>
      </c>
      <c r="AN333" s="357">
        <v>101000</v>
      </c>
      <c r="AO333" s="357">
        <v>3100000</v>
      </c>
      <c r="AP333" s="357">
        <v>0</v>
      </c>
      <c r="AQ333" s="357">
        <v>0</v>
      </c>
      <c r="AR333" s="357">
        <v>3100000</v>
      </c>
      <c r="AS333" s="357">
        <v>100000</v>
      </c>
      <c r="AT333" s="357">
        <v>0</v>
      </c>
      <c r="AU333" s="357">
        <v>0</v>
      </c>
      <c r="AV333" s="357">
        <v>100000</v>
      </c>
      <c r="AW333" s="357">
        <v>2165000</v>
      </c>
      <c r="AX333" s="357">
        <v>0</v>
      </c>
      <c r="AY333" s="357">
        <v>0</v>
      </c>
      <c r="AZ333" s="357">
        <v>2165000</v>
      </c>
      <c r="BA333" s="357">
        <v>935000</v>
      </c>
      <c r="BB333" s="357">
        <v>0</v>
      </c>
      <c r="BC333" s="357">
        <v>0</v>
      </c>
      <c r="BD333" s="357">
        <v>935000</v>
      </c>
      <c r="BE333" s="357">
        <v>8300000</v>
      </c>
      <c r="BF333" s="357">
        <v>0</v>
      </c>
      <c r="BG333" s="357">
        <v>0</v>
      </c>
      <c r="BH333" s="357">
        <v>8300000</v>
      </c>
      <c r="BI333" s="357">
        <v>154000</v>
      </c>
      <c r="BJ333" s="357">
        <v>0</v>
      </c>
      <c r="BK333" s="357">
        <v>0</v>
      </c>
      <c r="BL333" s="357">
        <v>154000</v>
      </c>
      <c r="BM333" s="357">
        <v>10660</v>
      </c>
      <c r="BN333" s="357">
        <v>0</v>
      </c>
      <c r="BO333" s="357">
        <v>0</v>
      </c>
      <c r="BP333" s="357">
        <v>10660</v>
      </c>
      <c r="BQ333" s="357">
        <v>9399660</v>
      </c>
      <c r="BR333" s="357">
        <v>0</v>
      </c>
      <c r="BS333" s="357">
        <v>0</v>
      </c>
      <c r="BT333" s="357">
        <v>25000</v>
      </c>
      <c r="BU333" s="357">
        <v>0</v>
      </c>
      <c r="BV333" s="357">
        <v>0</v>
      </c>
      <c r="BW333" s="357">
        <v>9424660</v>
      </c>
      <c r="BX333" s="357">
        <v>0</v>
      </c>
      <c r="BY333" s="357">
        <v>0</v>
      </c>
      <c r="BZ333" s="357">
        <v>9424660</v>
      </c>
      <c r="CA333" s="357">
        <v>150000</v>
      </c>
      <c r="CB333" s="357">
        <v>0</v>
      </c>
      <c r="CC333" s="357">
        <v>0</v>
      </c>
      <c r="CD333" s="357">
        <v>150000</v>
      </c>
      <c r="CE333" s="357">
        <v>3900000</v>
      </c>
      <c r="CF333" s="357">
        <v>0</v>
      </c>
      <c r="CG333" s="357">
        <v>0</v>
      </c>
      <c r="CH333" s="357">
        <v>3900000</v>
      </c>
      <c r="CI333" s="357">
        <v>4050000</v>
      </c>
      <c r="CJ333" s="357">
        <v>0</v>
      </c>
      <c r="CK333" s="357">
        <v>0</v>
      </c>
      <c r="CL333" s="357">
        <v>25000</v>
      </c>
      <c r="CM333" s="357">
        <v>0</v>
      </c>
      <c r="CN333" s="357">
        <v>0</v>
      </c>
      <c r="CO333" s="357">
        <v>4075000</v>
      </c>
      <c r="CP333" s="357">
        <v>0</v>
      </c>
      <c r="CQ333" s="357">
        <v>0</v>
      </c>
      <c r="CR333" s="357">
        <v>4075000</v>
      </c>
      <c r="CS333" s="357">
        <v>120500</v>
      </c>
      <c r="CT333" s="357">
        <v>0</v>
      </c>
      <c r="CU333" s="357">
        <v>0</v>
      </c>
      <c r="CV333" s="357">
        <v>120500</v>
      </c>
      <c r="CW333" s="357">
        <v>7250</v>
      </c>
      <c r="CX333" s="357">
        <v>0</v>
      </c>
      <c r="CY333" s="357">
        <v>0</v>
      </c>
      <c r="CZ333" s="357">
        <v>7250</v>
      </c>
      <c r="DA333" s="357">
        <v>22100</v>
      </c>
      <c r="DB333" s="357">
        <v>0</v>
      </c>
      <c r="DC333" s="357">
        <v>0</v>
      </c>
      <c r="DD333" s="357">
        <v>22100</v>
      </c>
      <c r="DE333" s="357">
        <v>5550</v>
      </c>
      <c r="DF333" s="357">
        <v>0</v>
      </c>
      <c r="DG333" s="357">
        <v>0</v>
      </c>
      <c r="DH333" s="357">
        <v>5550</v>
      </c>
      <c r="DI333" s="357">
        <v>41000</v>
      </c>
      <c r="DJ333" s="357">
        <v>0</v>
      </c>
      <c r="DK333" s="357">
        <v>0</v>
      </c>
      <c r="DL333" s="357">
        <v>41000</v>
      </c>
      <c r="DM333" s="357">
        <v>0</v>
      </c>
      <c r="DN333" s="357">
        <v>0</v>
      </c>
      <c r="DO333" s="357">
        <v>0</v>
      </c>
      <c r="DP333" s="357">
        <v>0</v>
      </c>
      <c r="DQ333" s="357">
        <v>196400</v>
      </c>
      <c r="DR333" s="357">
        <v>0</v>
      </c>
      <c r="DS333" s="357">
        <v>0</v>
      </c>
      <c r="DT333" s="357">
        <v>5000</v>
      </c>
      <c r="DU333" s="357">
        <v>0</v>
      </c>
      <c r="DV333" s="357">
        <v>0</v>
      </c>
      <c r="DW333" s="357">
        <v>201400</v>
      </c>
      <c r="DX333" s="357">
        <v>0</v>
      </c>
      <c r="DY333" s="357">
        <v>0</v>
      </c>
      <c r="DZ333" s="357">
        <v>201400</v>
      </c>
      <c r="EA333" s="357">
        <v>0</v>
      </c>
      <c r="EB333" s="357">
        <v>0</v>
      </c>
      <c r="EC333" s="357">
        <v>250000</v>
      </c>
      <c r="ED333" s="357">
        <v>0</v>
      </c>
      <c r="EE333" s="357">
        <v>0</v>
      </c>
      <c r="EF333" s="357">
        <v>250000</v>
      </c>
      <c r="EG333" s="357">
        <v>300000</v>
      </c>
      <c r="EH333" s="357">
        <v>0</v>
      </c>
      <c r="EI333" s="357">
        <v>0</v>
      </c>
      <c r="EJ333" s="357">
        <v>300000</v>
      </c>
      <c r="EK333" s="357">
        <v>1260000</v>
      </c>
      <c r="EL333" s="357">
        <v>0</v>
      </c>
      <c r="EM333" s="357">
        <v>0</v>
      </c>
      <c r="EN333" s="357">
        <v>1260000</v>
      </c>
      <c r="EO333" s="357">
        <v>1810000</v>
      </c>
      <c r="EP333" s="357">
        <v>0</v>
      </c>
      <c r="EQ333" s="357">
        <v>0</v>
      </c>
      <c r="ER333" s="357">
        <v>0</v>
      </c>
      <c r="ES333" s="357">
        <v>0</v>
      </c>
      <c r="ET333" s="357">
        <v>0</v>
      </c>
      <c r="EU333" s="357">
        <v>1810000</v>
      </c>
      <c r="EV333" s="357">
        <v>0</v>
      </c>
      <c r="EW333" s="357">
        <v>0</v>
      </c>
      <c r="EX333" s="357">
        <v>1810000</v>
      </c>
      <c r="EY333" s="357">
        <v>97887529</v>
      </c>
      <c r="EZ333" s="357">
        <v>0</v>
      </c>
      <c r="FA333" s="357">
        <v>0</v>
      </c>
      <c r="FB333" s="357">
        <v>97887529</v>
      </c>
      <c r="FC333" s="277">
        <v>0</v>
      </c>
      <c r="FD333" s="205"/>
    </row>
    <row r="334" spans="1:159" ht="13.5" thickBot="1">
      <c r="A334" s="175">
        <v>327</v>
      </c>
      <c r="B334" s="252" t="s">
        <v>873</v>
      </c>
      <c r="C334" s="157" t="s">
        <v>584</v>
      </c>
      <c r="D334" s="300" t="s">
        <v>1057</v>
      </c>
      <c r="E334" s="203">
        <f>SUM(E8:E333)</f>
        <v>56806423579</v>
      </c>
      <c r="F334" s="203">
        <f aca="true" t="shared" si="0" ref="F334:BQ334">SUM(F8:F333)</f>
        <v>90319847</v>
      </c>
      <c r="G334" s="203">
        <f t="shared" si="0"/>
        <v>204077437</v>
      </c>
      <c r="H334" s="203">
        <f t="shared" si="0"/>
        <v>57100820863</v>
      </c>
      <c r="I334" s="203">
        <f t="shared" si="0"/>
        <v>26755825498</v>
      </c>
      <c r="J334" s="203">
        <f t="shared" si="0"/>
        <v>42540649</v>
      </c>
      <c r="K334" s="203">
        <f t="shared" si="0"/>
        <v>96120476</v>
      </c>
      <c r="L334" s="203">
        <f t="shared" si="0"/>
        <v>-112452663.84</v>
      </c>
      <c r="M334" s="203">
        <f t="shared" si="0"/>
        <v>592602</v>
      </c>
      <c r="N334" s="203">
        <f t="shared" si="0"/>
        <v>5056615</v>
      </c>
      <c r="O334" s="203">
        <f t="shared" si="0"/>
        <v>26643372835.100002</v>
      </c>
      <c r="P334" s="203">
        <f t="shared" si="0"/>
        <v>43133251</v>
      </c>
      <c r="Q334" s="203">
        <f t="shared" si="0"/>
        <v>101177091</v>
      </c>
      <c r="R334" s="203">
        <f t="shared" si="0"/>
        <v>26787683177.100002</v>
      </c>
      <c r="S334" s="203">
        <f t="shared" si="0"/>
        <v>91630551.42000003</v>
      </c>
      <c r="T334" s="203">
        <f t="shared" si="0"/>
        <v>10670</v>
      </c>
      <c r="U334" s="203">
        <f t="shared" si="0"/>
        <v>146395.66999999998</v>
      </c>
      <c r="V334" s="203">
        <f t="shared" si="0"/>
        <v>91787617.09000003</v>
      </c>
      <c r="W334" s="203">
        <f t="shared" si="0"/>
        <v>14879097.409999996</v>
      </c>
      <c r="X334" s="203">
        <f t="shared" si="0"/>
        <v>73005</v>
      </c>
      <c r="Y334" s="203">
        <f t="shared" si="0"/>
        <v>64276.89</v>
      </c>
      <c r="Z334" s="203">
        <f t="shared" si="0"/>
        <v>15016379.299999997</v>
      </c>
      <c r="AA334" s="203">
        <f t="shared" si="0"/>
        <v>76751453.97000001</v>
      </c>
      <c r="AB334" s="203">
        <f t="shared" si="0"/>
        <v>-62335</v>
      </c>
      <c r="AC334" s="203">
        <f t="shared" si="0"/>
        <v>82118.78</v>
      </c>
      <c r="AD334" s="203">
        <f t="shared" si="0"/>
        <v>-2889507.4299999997</v>
      </c>
      <c r="AE334" s="203">
        <f t="shared" si="0"/>
        <v>0</v>
      </c>
      <c r="AF334" s="203">
        <f t="shared" si="0"/>
        <v>-7000</v>
      </c>
      <c r="AG334" s="203">
        <f t="shared" si="0"/>
        <v>73861946.54</v>
      </c>
      <c r="AH334" s="203">
        <f t="shared" si="0"/>
        <v>-62335</v>
      </c>
      <c r="AI334" s="203">
        <f t="shared" si="0"/>
        <v>75118.78</v>
      </c>
      <c r="AJ334" s="203">
        <f t="shared" si="0"/>
        <v>73874730.32000001</v>
      </c>
      <c r="AK334" s="203">
        <f t="shared" si="0"/>
        <v>73861946.54</v>
      </c>
      <c r="AL334" s="203">
        <f t="shared" si="0"/>
        <v>-62335</v>
      </c>
      <c r="AM334" s="203">
        <f t="shared" si="0"/>
        <v>75118.78</v>
      </c>
      <c r="AN334" s="203">
        <f t="shared" si="0"/>
        <v>73874730.32000001</v>
      </c>
      <c r="AO334" s="203">
        <f t="shared" si="0"/>
        <v>990360219.5599998</v>
      </c>
      <c r="AP334" s="203">
        <f t="shared" si="0"/>
        <v>412823</v>
      </c>
      <c r="AQ334" s="203">
        <f t="shared" si="0"/>
        <v>833283.51</v>
      </c>
      <c r="AR334" s="203">
        <f t="shared" si="0"/>
        <v>991606326.0699998</v>
      </c>
      <c r="AS334" s="203">
        <f t="shared" si="0"/>
        <v>8068220.02</v>
      </c>
      <c r="AT334" s="203">
        <f t="shared" si="0"/>
        <v>5263</v>
      </c>
      <c r="AU334" s="203">
        <f t="shared" si="0"/>
        <v>25897</v>
      </c>
      <c r="AV334" s="203">
        <f t="shared" si="0"/>
        <v>8099380.02</v>
      </c>
      <c r="AW334" s="203">
        <f t="shared" si="0"/>
        <v>531992299.6299998</v>
      </c>
      <c r="AX334" s="203">
        <f t="shared" si="0"/>
        <v>882351</v>
      </c>
      <c r="AY334" s="203">
        <f t="shared" si="0"/>
        <v>1816317.71</v>
      </c>
      <c r="AZ334" s="203">
        <f t="shared" si="0"/>
        <v>534690968.3399999</v>
      </c>
      <c r="BA334" s="203">
        <f t="shared" si="0"/>
        <v>458367919.67</v>
      </c>
      <c r="BB334" s="203">
        <f t="shared" si="0"/>
        <v>-469528</v>
      </c>
      <c r="BC334" s="203">
        <f t="shared" si="0"/>
        <v>-983034.2</v>
      </c>
      <c r="BD334" s="203">
        <f t="shared" si="0"/>
        <v>456915357.4700001</v>
      </c>
      <c r="BE334" s="203">
        <f t="shared" si="0"/>
        <v>1417304662.99</v>
      </c>
      <c r="BF334" s="203">
        <f t="shared" si="0"/>
        <v>1678838</v>
      </c>
      <c r="BG334" s="203">
        <f t="shared" si="0"/>
        <v>571708.13</v>
      </c>
      <c r="BH334" s="203">
        <f t="shared" si="0"/>
        <v>1419555209.1200001</v>
      </c>
      <c r="BI334" s="203">
        <f t="shared" si="0"/>
        <v>18613993.62</v>
      </c>
      <c r="BJ334" s="203">
        <f t="shared" si="0"/>
        <v>0</v>
      </c>
      <c r="BK334" s="203">
        <f t="shared" si="0"/>
        <v>0</v>
      </c>
      <c r="BL334" s="203">
        <f t="shared" si="0"/>
        <v>18613993.62</v>
      </c>
      <c r="BM334" s="203">
        <f t="shared" si="0"/>
        <v>6065031.970000001</v>
      </c>
      <c r="BN334" s="203">
        <f t="shared" si="0"/>
        <v>0</v>
      </c>
      <c r="BO334" s="203">
        <f t="shared" si="0"/>
        <v>771.2</v>
      </c>
      <c r="BP334" s="203">
        <f t="shared" si="0"/>
        <v>6065803.170000001</v>
      </c>
      <c r="BQ334" s="203">
        <f t="shared" si="0"/>
        <v>1900351608.5800006</v>
      </c>
      <c r="BR334" s="203">
        <f aca="true" t="shared" si="1" ref="BR334:EC334">SUM(BR8:BR333)</f>
        <v>1209310</v>
      </c>
      <c r="BS334" s="203">
        <f t="shared" si="1"/>
        <v>-409363.87</v>
      </c>
      <c r="BT334" s="203">
        <f t="shared" si="1"/>
        <v>40831160.199999996</v>
      </c>
      <c r="BU334" s="203">
        <f t="shared" si="1"/>
        <v>36974</v>
      </c>
      <c r="BV334" s="203">
        <f t="shared" si="1"/>
        <v>49368</v>
      </c>
      <c r="BW334" s="203">
        <f t="shared" si="1"/>
        <v>1941182768.7800004</v>
      </c>
      <c r="BX334" s="203">
        <f t="shared" si="1"/>
        <v>1246284</v>
      </c>
      <c r="BY334" s="203">
        <f t="shared" si="1"/>
        <v>-359995.87</v>
      </c>
      <c r="BZ334" s="203">
        <f t="shared" si="1"/>
        <v>1942069056.9100003</v>
      </c>
      <c r="CA334" s="203">
        <f t="shared" si="1"/>
        <v>34310715.39</v>
      </c>
      <c r="CB334" s="203">
        <f t="shared" si="1"/>
        <v>169831</v>
      </c>
      <c r="CC334" s="203">
        <f t="shared" si="1"/>
        <v>191015</v>
      </c>
      <c r="CD334" s="203">
        <f t="shared" si="1"/>
        <v>34671561.39</v>
      </c>
      <c r="CE334" s="203">
        <f t="shared" si="1"/>
        <v>902338731.68</v>
      </c>
      <c r="CF334" s="203">
        <f t="shared" si="1"/>
        <v>4265974</v>
      </c>
      <c r="CG334" s="203">
        <f t="shared" si="1"/>
        <v>10675821.96</v>
      </c>
      <c r="CH334" s="203">
        <f t="shared" si="1"/>
        <v>917280527.6399999</v>
      </c>
      <c r="CI334" s="203">
        <f t="shared" si="1"/>
        <v>936649447.0700002</v>
      </c>
      <c r="CJ334" s="203">
        <f t="shared" si="1"/>
        <v>4435805</v>
      </c>
      <c r="CK334" s="203">
        <f t="shared" si="1"/>
        <v>10866836.96</v>
      </c>
      <c r="CL334" s="203">
        <f t="shared" si="1"/>
        <v>39446528.09</v>
      </c>
      <c r="CM334" s="203">
        <f t="shared" si="1"/>
        <v>-868533</v>
      </c>
      <c r="CN334" s="203">
        <f t="shared" si="1"/>
        <v>66102</v>
      </c>
      <c r="CO334" s="203">
        <f t="shared" si="1"/>
        <v>976095975.16</v>
      </c>
      <c r="CP334" s="203">
        <f t="shared" si="1"/>
        <v>3567272</v>
      </c>
      <c r="CQ334" s="203">
        <f t="shared" si="1"/>
        <v>10932938.96</v>
      </c>
      <c r="CR334" s="203">
        <f t="shared" si="1"/>
        <v>990596186.1199999</v>
      </c>
      <c r="CS334" s="203">
        <f t="shared" si="1"/>
        <v>43648482.95999999</v>
      </c>
      <c r="CT334" s="203">
        <f t="shared" si="1"/>
        <v>2313</v>
      </c>
      <c r="CU334" s="203">
        <f t="shared" si="1"/>
        <v>293031.18</v>
      </c>
      <c r="CV334" s="203">
        <f t="shared" si="1"/>
        <v>43943827.13999999</v>
      </c>
      <c r="CW334" s="203">
        <f t="shared" si="1"/>
        <v>35528670.85</v>
      </c>
      <c r="CX334" s="203">
        <f t="shared" si="1"/>
        <v>265681</v>
      </c>
      <c r="CY334" s="203">
        <f t="shared" si="1"/>
        <v>86363.56</v>
      </c>
      <c r="CZ334" s="203">
        <f t="shared" si="1"/>
        <v>35880715.410000004</v>
      </c>
      <c r="DA334" s="203">
        <f t="shared" si="1"/>
        <v>1147178.7500000002</v>
      </c>
      <c r="DB334" s="203">
        <f t="shared" si="1"/>
        <v>0</v>
      </c>
      <c r="DC334" s="203">
        <f t="shared" si="1"/>
        <v>0</v>
      </c>
      <c r="DD334" s="203">
        <f t="shared" si="1"/>
        <v>1147178.7500000002</v>
      </c>
      <c r="DE334" s="203">
        <f t="shared" si="1"/>
        <v>3186015.829999999</v>
      </c>
      <c r="DF334" s="203">
        <f t="shared" si="1"/>
        <v>0</v>
      </c>
      <c r="DG334" s="203">
        <f t="shared" si="1"/>
        <v>771.2</v>
      </c>
      <c r="DH334" s="203">
        <f t="shared" si="1"/>
        <v>3186787.029999999</v>
      </c>
      <c r="DI334" s="203">
        <f t="shared" si="1"/>
        <v>1624435.92</v>
      </c>
      <c r="DJ334" s="203">
        <f t="shared" si="1"/>
        <v>0</v>
      </c>
      <c r="DK334" s="203">
        <f t="shared" si="1"/>
        <v>0</v>
      </c>
      <c r="DL334" s="203">
        <f t="shared" si="1"/>
        <v>1624435.92</v>
      </c>
      <c r="DM334" s="203">
        <f t="shared" si="1"/>
        <v>3838108.55</v>
      </c>
      <c r="DN334" s="203">
        <f t="shared" si="1"/>
        <v>0</v>
      </c>
      <c r="DO334" s="203">
        <f t="shared" si="1"/>
        <v>3217414.0500000003</v>
      </c>
      <c r="DP334" s="203">
        <f t="shared" si="1"/>
        <v>7055522.600000001</v>
      </c>
      <c r="DQ334" s="203">
        <f t="shared" si="1"/>
        <v>88972892.85000002</v>
      </c>
      <c r="DR334" s="203">
        <f t="shared" si="1"/>
        <v>267994</v>
      </c>
      <c r="DS334" s="203">
        <f t="shared" si="1"/>
        <v>3597579.9899999998</v>
      </c>
      <c r="DT334" s="203">
        <f t="shared" si="1"/>
        <v>1405993.8900000001</v>
      </c>
      <c r="DU334" s="203">
        <f t="shared" si="1"/>
        <v>1743</v>
      </c>
      <c r="DV334" s="203">
        <f t="shared" si="1"/>
        <v>265853</v>
      </c>
      <c r="DW334" s="203">
        <f t="shared" si="1"/>
        <v>90378886.74000002</v>
      </c>
      <c r="DX334" s="203">
        <f t="shared" si="1"/>
        <v>269737</v>
      </c>
      <c r="DY334" s="203">
        <f t="shared" si="1"/>
        <v>3863432.9899999998</v>
      </c>
      <c r="DZ334" s="203">
        <f t="shared" si="1"/>
        <v>94512056.73000002</v>
      </c>
      <c r="EA334" s="203">
        <f t="shared" si="1"/>
        <v>5492354</v>
      </c>
      <c r="EB334" s="203">
        <f t="shared" si="1"/>
        <v>953610</v>
      </c>
      <c r="EC334" s="203">
        <f t="shared" si="1"/>
        <v>22373336.490000002</v>
      </c>
      <c r="ED334" s="203">
        <f aca="true" t="shared" si="2" ref="ED334:FC334">SUM(ED8:ED333)</f>
        <v>639275</v>
      </c>
      <c r="EE334" s="203">
        <f t="shared" si="2"/>
        <v>7500</v>
      </c>
      <c r="EF334" s="203">
        <f t="shared" si="2"/>
        <v>23020111.490000002</v>
      </c>
      <c r="EG334" s="203">
        <f t="shared" si="2"/>
        <v>51137487.70999999</v>
      </c>
      <c r="EH334" s="203">
        <f t="shared" si="2"/>
        <v>85883</v>
      </c>
      <c r="EI334" s="203">
        <f t="shared" si="2"/>
        <v>210362</v>
      </c>
      <c r="EJ334" s="203">
        <f t="shared" si="2"/>
        <v>51433732.70999999</v>
      </c>
      <c r="EK334" s="203">
        <f t="shared" si="2"/>
        <v>271698646.01</v>
      </c>
      <c r="EL334" s="203">
        <f t="shared" si="2"/>
        <v>154352</v>
      </c>
      <c r="EM334" s="203">
        <f t="shared" si="2"/>
        <v>245417</v>
      </c>
      <c r="EN334" s="203">
        <f t="shared" si="2"/>
        <v>272098415.01</v>
      </c>
      <c r="EO334" s="203">
        <f t="shared" si="2"/>
        <v>345209470.2099999</v>
      </c>
      <c r="EP334" s="203">
        <f t="shared" si="2"/>
        <v>879510</v>
      </c>
      <c r="EQ334" s="203">
        <f t="shared" si="2"/>
        <v>463279</v>
      </c>
      <c r="ER334" s="203">
        <f t="shared" si="2"/>
        <v>287865.39</v>
      </c>
      <c r="ES334" s="203">
        <f t="shared" si="2"/>
        <v>41281</v>
      </c>
      <c r="ET334" s="203">
        <f t="shared" si="2"/>
        <v>0</v>
      </c>
      <c r="EU334" s="203">
        <f t="shared" si="2"/>
        <v>345497335.5999999</v>
      </c>
      <c r="EV334" s="203">
        <f t="shared" si="2"/>
        <v>920791</v>
      </c>
      <c r="EW334" s="203">
        <f t="shared" si="2"/>
        <v>463279</v>
      </c>
      <c r="EX334" s="203">
        <f t="shared" si="2"/>
        <v>346881405.5999999</v>
      </c>
      <c r="EY334" s="203">
        <f t="shared" si="2"/>
        <v>23216355921.65</v>
      </c>
      <c r="EZ334" s="203">
        <f t="shared" si="2"/>
        <v>37191502</v>
      </c>
      <c r="FA334" s="203">
        <f t="shared" si="2"/>
        <v>86202317.14</v>
      </c>
      <c r="FB334" s="203">
        <f t="shared" si="2"/>
        <v>23339749740.249996</v>
      </c>
      <c r="FC334" s="203">
        <f t="shared" si="2"/>
        <v>0</v>
      </c>
    </row>
    <row r="335" spans="1:6" ht="12.75">
      <c r="A335" s="155"/>
      <c r="B335" s="155"/>
      <c r="C335" s="155"/>
      <c r="D335" s="233"/>
      <c r="E335" s="156"/>
      <c r="F335" s="156"/>
    </row>
  </sheetData>
  <sheetProtection/>
  <mergeCells count="41">
    <mergeCell ref="CA2:CD2"/>
    <mergeCell ref="CE2:CH2"/>
    <mergeCell ref="CI2:CK2"/>
    <mergeCell ref="CL2:CN2"/>
    <mergeCell ref="DE2:DH2"/>
    <mergeCell ref="CO2:CR2"/>
    <mergeCell ref="CS2:CV2"/>
    <mergeCell ref="CW2:CZ2"/>
    <mergeCell ref="DA2:DD2"/>
    <mergeCell ref="BE2:BH2"/>
    <mergeCell ref="BI2:BL2"/>
    <mergeCell ref="BM2:BP2"/>
    <mergeCell ref="BQ2:BS2"/>
    <mergeCell ref="BT2:BV2"/>
    <mergeCell ref="BW2:BZ2"/>
    <mergeCell ref="AG2:AJ2"/>
    <mergeCell ref="AK2:AN2"/>
    <mergeCell ref="AO2:AR2"/>
    <mergeCell ref="AS2:AV2"/>
    <mergeCell ref="AW2:AZ2"/>
    <mergeCell ref="BA2:BD2"/>
    <mergeCell ref="EG2:EJ2"/>
    <mergeCell ref="EK2:EN2"/>
    <mergeCell ref="E2:H2"/>
    <mergeCell ref="I2:K2"/>
    <mergeCell ref="L2:N2"/>
    <mergeCell ref="O2:R2"/>
    <mergeCell ref="S2:V2"/>
    <mergeCell ref="W2:Z2"/>
    <mergeCell ref="AA2:AC2"/>
    <mergeCell ref="AD2:AF2"/>
    <mergeCell ref="EO2:EQ2"/>
    <mergeCell ref="ER2:ET2"/>
    <mergeCell ref="EU2:EX2"/>
    <mergeCell ref="EY2:FB2"/>
    <mergeCell ref="DI2:DL2"/>
    <mergeCell ref="DM2:DP2"/>
    <mergeCell ref="DQ2:DS2"/>
    <mergeCell ref="DT2:DV2"/>
    <mergeCell ref="DW2:DZ2"/>
    <mergeCell ref="EC2:E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57421875" style="0" bestFit="1" customWidth="1"/>
    <col min="4" max="4" width="13.8515625" style="0" bestFit="1" customWidth="1"/>
    <col min="5" max="6" width="10.140625" style="0" bestFit="1" customWidth="1"/>
    <col min="7" max="7" width="13.8515625" style="0" bestFit="1" customWidth="1"/>
    <col min="8" max="8" width="11.140625" style="0" bestFit="1" customWidth="1"/>
    <col min="9" max="10" width="9.28125" style="0" customWidth="1"/>
    <col min="11" max="12" width="11.140625" style="0" bestFit="1" customWidth="1"/>
    <col min="13" max="14" width="9.28125" style="0" customWidth="1"/>
    <col min="15" max="15" width="11.140625" style="0" bestFit="1" customWidth="1"/>
    <col min="16" max="16" width="13.8515625" style="0" bestFit="1" customWidth="1"/>
    <col min="17" max="18" width="10.140625" style="0" bestFit="1" customWidth="1"/>
    <col min="19" max="19" width="13.8515625" style="0" bestFit="1" customWidth="1"/>
    <col min="20" max="20" width="9.28125" style="0" customWidth="1"/>
    <col min="26" max="28" width="10.140625" style="0" bestFit="1" customWidth="1"/>
  </cols>
  <sheetData>
    <row r="1" spans="1:20" ht="15.75" thickBot="1">
      <c r="A1" s="68"/>
      <c r="B1" s="69"/>
      <c r="C1" s="164"/>
      <c r="D1" s="232"/>
      <c r="E1" s="151"/>
      <c r="F1" s="151"/>
      <c r="T1" s="204"/>
    </row>
    <row r="2" spans="1:30" s="255" customFormat="1" ht="28.5" customHeight="1" thickBot="1" thickTop="1">
      <c r="A2" s="296"/>
      <c r="B2" s="297"/>
      <c r="C2" s="298"/>
      <c r="D2" s="439" t="s">
        <v>874</v>
      </c>
      <c r="E2" s="439"/>
      <c r="F2" s="439"/>
      <c r="G2" s="439"/>
      <c r="H2" s="439" t="s">
        <v>875</v>
      </c>
      <c r="I2" s="439"/>
      <c r="J2" s="439"/>
      <c r="K2" s="439"/>
      <c r="L2" s="439" t="s">
        <v>876</v>
      </c>
      <c r="M2" s="439"/>
      <c r="N2" s="439"/>
      <c r="O2" s="439"/>
      <c r="P2" s="439" t="s">
        <v>877</v>
      </c>
      <c r="Q2" s="439"/>
      <c r="R2" s="439"/>
      <c r="S2" s="439"/>
      <c r="T2" s="439" t="s">
        <v>878</v>
      </c>
      <c r="U2" s="439"/>
      <c r="V2" s="439"/>
      <c r="W2" s="439"/>
      <c r="X2" s="439" t="s">
        <v>879</v>
      </c>
      <c r="Y2" s="439"/>
      <c r="Z2" s="439" t="s">
        <v>880</v>
      </c>
      <c r="AA2" s="439"/>
      <c r="AB2" s="439" t="s">
        <v>881</v>
      </c>
      <c r="AC2" s="439"/>
      <c r="AD2" s="439"/>
    </row>
    <row r="3" spans="1:30" ht="14.25" thickBot="1" thickTop="1">
      <c r="A3" s="71">
        <v>1</v>
      </c>
      <c r="B3" s="72">
        <v>2</v>
      </c>
      <c r="C3" s="163">
        <v>3</v>
      </c>
      <c r="D3" s="249">
        <v>4</v>
      </c>
      <c r="E3" s="249">
        <v>5</v>
      </c>
      <c r="F3" s="249">
        <v>6</v>
      </c>
      <c r="G3" s="249">
        <v>7</v>
      </c>
      <c r="H3" s="249">
        <v>8</v>
      </c>
      <c r="I3" s="249">
        <v>9</v>
      </c>
      <c r="J3" s="249">
        <v>10</v>
      </c>
      <c r="K3" s="249">
        <v>11</v>
      </c>
      <c r="L3" s="249">
        <v>12</v>
      </c>
      <c r="M3" s="249">
        <v>13</v>
      </c>
      <c r="N3" s="249">
        <v>14</v>
      </c>
      <c r="O3" s="249">
        <v>15</v>
      </c>
      <c r="P3" s="249">
        <v>16</v>
      </c>
      <c r="Q3" s="249">
        <v>17</v>
      </c>
      <c r="R3" s="249">
        <v>18</v>
      </c>
      <c r="S3" s="249">
        <v>19</v>
      </c>
      <c r="T3" s="249">
        <v>20</v>
      </c>
      <c r="U3" s="249">
        <v>21</v>
      </c>
      <c r="V3" s="249">
        <v>22</v>
      </c>
      <c r="W3" s="249">
        <v>23</v>
      </c>
      <c r="X3" s="249">
        <v>24</v>
      </c>
      <c r="Y3" s="249">
        <v>25</v>
      </c>
      <c r="Z3" s="249">
        <v>26</v>
      </c>
      <c r="AA3" s="249">
        <v>27</v>
      </c>
      <c r="AB3" s="249">
        <v>28</v>
      </c>
      <c r="AC3" s="249">
        <v>29</v>
      </c>
      <c r="AD3" s="249">
        <v>30</v>
      </c>
    </row>
    <row r="4" spans="1:30" ht="13.5" thickBot="1">
      <c r="A4" s="73"/>
      <c r="B4" s="74"/>
      <c r="C4" s="165"/>
      <c r="D4" s="238"/>
      <c r="E4" s="239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s="250" customFormat="1" ht="12.75">
      <c r="A5" s="195" t="s">
        <v>703</v>
      </c>
      <c r="B5" s="236" t="s">
        <v>704</v>
      </c>
      <c r="C5" s="236" t="s">
        <v>705</v>
      </c>
      <c r="D5" s="261">
        <v>1</v>
      </c>
      <c r="E5" s="261">
        <v>1</v>
      </c>
      <c r="F5" s="261">
        <v>1</v>
      </c>
      <c r="G5" s="261">
        <v>1</v>
      </c>
      <c r="H5" s="261">
        <v>2</v>
      </c>
      <c r="I5" s="261">
        <v>2</v>
      </c>
      <c r="J5" s="261">
        <v>2</v>
      </c>
      <c r="K5" s="261">
        <v>2</v>
      </c>
      <c r="L5" s="261">
        <v>3</v>
      </c>
      <c r="M5" s="261">
        <v>3</v>
      </c>
      <c r="N5" s="261">
        <v>3</v>
      </c>
      <c r="O5" s="261">
        <v>3</v>
      </c>
      <c r="P5" s="261">
        <v>4</v>
      </c>
      <c r="Q5" s="261">
        <v>4</v>
      </c>
      <c r="R5" s="261">
        <v>4</v>
      </c>
      <c r="S5" s="261">
        <v>4</v>
      </c>
      <c r="T5" s="261">
        <v>5</v>
      </c>
      <c r="U5" s="261">
        <v>5</v>
      </c>
      <c r="V5" s="261">
        <v>5</v>
      </c>
      <c r="W5" s="261">
        <v>5</v>
      </c>
      <c r="X5" s="261">
        <v>6</v>
      </c>
      <c r="Y5" s="261">
        <v>6</v>
      </c>
      <c r="Z5" s="261">
        <v>7</v>
      </c>
      <c r="AA5" s="261">
        <v>7</v>
      </c>
      <c r="AB5" s="261">
        <v>8</v>
      </c>
      <c r="AC5" s="261">
        <v>8</v>
      </c>
      <c r="AD5" s="261">
        <v>8</v>
      </c>
    </row>
    <row r="6" spans="1:30" s="250" customFormat="1" ht="13.5" thickBot="1">
      <c r="A6" s="251"/>
      <c r="B6" s="237"/>
      <c r="C6" s="237"/>
      <c r="D6" s="262">
        <v>2</v>
      </c>
      <c r="E6" s="262">
        <v>3</v>
      </c>
      <c r="F6" s="262">
        <v>4</v>
      </c>
      <c r="G6" s="262">
        <v>5</v>
      </c>
      <c r="H6" s="262">
        <v>2</v>
      </c>
      <c r="I6" s="262">
        <v>3</v>
      </c>
      <c r="J6" s="262">
        <v>4</v>
      </c>
      <c r="K6" s="262">
        <v>5</v>
      </c>
      <c r="L6" s="262">
        <v>2</v>
      </c>
      <c r="M6" s="262">
        <v>3</v>
      </c>
      <c r="N6" s="262">
        <v>4</v>
      </c>
      <c r="O6" s="262">
        <v>5</v>
      </c>
      <c r="P6" s="262">
        <v>2</v>
      </c>
      <c r="Q6" s="262">
        <v>3</v>
      </c>
      <c r="R6" s="262">
        <v>4</v>
      </c>
      <c r="S6" s="262">
        <v>5</v>
      </c>
      <c r="T6" s="262">
        <v>2</v>
      </c>
      <c r="U6" s="262">
        <v>3</v>
      </c>
      <c r="V6" s="262">
        <v>4</v>
      </c>
      <c r="W6" s="262">
        <v>5</v>
      </c>
      <c r="X6" s="262">
        <v>3</v>
      </c>
      <c r="Y6" s="262">
        <v>4</v>
      </c>
      <c r="Z6" s="262">
        <v>3</v>
      </c>
      <c r="AA6" s="262">
        <v>4</v>
      </c>
      <c r="AB6" s="262">
        <v>3</v>
      </c>
      <c r="AC6" s="262">
        <v>4</v>
      </c>
      <c r="AD6" s="262">
        <v>5</v>
      </c>
    </row>
    <row r="7" spans="1:30" ht="13.5" thickBot="1">
      <c r="A7" s="153"/>
      <c r="B7" s="154"/>
      <c r="C7" s="162"/>
      <c r="D7" s="243"/>
      <c r="E7" s="244"/>
      <c r="F7" s="244"/>
      <c r="G7" s="245"/>
      <c r="H7" s="246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0" ht="12.75">
      <c r="A8" s="169">
        <v>1</v>
      </c>
      <c r="B8" s="171" t="s">
        <v>706</v>
      </c>
      <c r="C8" s="257" t="s">
        <v>707</v>
      </c>
      <c r="D8" s="205">
        <v>17412895.9</v>
      </c>
      <c r="E8" s="205">
        <v>0</v>
      </c>
      <c r="F8" s="205">
        <v>0</v>
      </c>
      <c r="G8" s="205">
        <v>17412895.9</v>
      </c>
      <c r="H8" s="205">
        <v>222700</v>
      </c>
      <c r="I8" s="205">
        <v>0</v>
      </c>
      <c r="J8" s="205">
        <v>0</v>
      </c>
      <c r="K8" s="205">
        <v>222700</v>
      </c>
      <c r="L8" s="205">
        <v>663500</v>
      </c>
      <c r="M8" s="205">
        <v>0</v>
      </c>
      <c r="N8" s="205">
        <v>0</v>
      </c>
      <c r="O8" s="205">
        <v>663500</v>
      </c>
      <c r="P8" s="205">
        <v>16526695.9</v>
      </c>
      <c r="Q8" s="205">
        <v>0</v>
      </c>
      <c r="R8" s="205">
        <v>0</v>
      </c>
      <c r="S8" s="205">
        <v>16526695.9</v>
      </c>
      <c r="T8" s="205">
        <v>0</v>
      </c>
      <c r="U8" s="205">
        <v>0</v>
      </c>
      <c r="V8" s="205">
        <v>0</v>
      </c>
      <c r="W8" s="205">
        <v>0</v>
      </c>
      <c r="X8" s="205">
        <v>0</v>
      </c>
      <c r="Y8" s="205">
        <v>0</v>
      </c>
      <c r="Z8" s="205">
        <v>0</v>
      </c>
      <c r="AA8" s="205">
        <v>0</v>
      </c>
      <c r="AB8" s="205">
        <v>0</v>
      </c>
      <c r="AC8" s="205">
        <v>0</v>
      </c>
      <c r="AD8" s="205">
        <v>0</v>
      </c>
    </row>
    <row r="9" spans="1:30" ht="12.75">
      <c r="A9" s="169">
        <v>2</v>
      </c>
      <c r="B9" s="172" t="s">
        <v>708</v>
      </c>
      <c r="C9" s="258" t="s">
        <v>709</v>
      </c>
      <c r="D9" s="205">
        <v>27246710</v>
      </c>
      <c r="E9" s="205">
        <v>0</v>
      </c>
      <c r="F9" s="205">
        <v>0</v>
      </c>
      <c r="G9" s="205">
        <v>27246710</v>
      </c>
      <c r="H9" s="205">
        <v>258059</v>
      </c>
      <c r="I9" s="205">
        <v>0</v>
      </c>
      <c r="J9" s="205">
        <v>0</v>
      </c>
      <c r="K9" s="205">
        <v>258059</v>
      </c>
      <c r="L9" s="205">
        <v>429140</v>
      </c>
      <c r="M9" s="205">
        <v>0</v>
      </c>
      <c r="N9" s="205">
        <v>0</v>
      </c>
      <c r="O9" s="205">
        <v>429140</v>
      </c>
      <c r="P9" s="205">
        <v>26559511</v>
      </c>
      <c r="Q9" s="205">
        <v>0</v>
      </c>
      <c r="R9" s="205">
        <v>0</v>
      </c>
      <c r="S9" s="205">
        <v>26559511</v>
      </c>
      <c r="T9" s="205">
        <v>165085</v>
      </c>
      <c r="U9" s="205">
        <v>0</v>
      </c>
      <c r="V9" s="205">
        <v>0</v>
      </c>
      <c r="W9" s="205">
        <v>165085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165085</v>
      </c>
    </row>
    <row r="10" spans="1:30" ht="12.75">
      <c r="A10" s="169">
        <v>3</v>
      </c>
      <c r="B10" s="172" t="s">
        <v>710</v>
      </c>
      <c r="C10" s="258" t="s">
        <v>711</v>
      </c>
      <c r="D10" s="205">
        <v>31394606</v>
      </c>
      <c r="E10" s="205">
        <v>0</v>
      </c>
      <c r="F10" s="205">
        <v>0</v>
      </c>
      <c r="G10" s="205">
        <v>31394606</v>
      </c>
      <c r="H10" s="205">
        <v>471354</v>
      </c>
      <c r="I10" s="205">
        <v>0</v>
      </c>
      <c r="J10" s="205">
        <v>0</v>
      </c>
      <c r="K10" s="205">
        <v>471354</v>
      </c>
      <c r="L10" s="205">
        <v>143000</v>
      </c>
      <c r="M10" s="205">
        <v>0</v>
      </c>
      <c r="N10" s="205">
        <v>0</v>
      </c>
      <c r="O10" s="205">
        <v>143000</v>
      </c>
      <c r="P10" s="205">
        <v>30780252</v>
      </c>
      <c r="Q10" s="205">
        <v>0</v>
      </c>
      <c r="R10" s="205">
        <v>0</v>
      </c>
      <c r="S10" s="205">
        <v>30780252</v>
      </c>
      <c r="T10" s="205">
        <v>0</v>
      </c>
      <c r="U10" s="205">
        <v>0</v>
      </c>
      <c r="V10" s="205">
        <v>0</v>
      </c>
      <c r="W10" s="205">
        <v>0</v>
      </c>
      <c r="X10" s="205">
        <v>0</v>
      </c>
      <c r="Y10" s="205">
        <v>0</v>
      </c>
      <c r="Z10" s="205">
        <v>0</v>
      </c>
      <c r="AA10" s="205">
        <v>0</v>
      </c>
      <c r="AB10" s="205">
        <v>0</v>
      </c>
      <c r="AC10" s="205">
        <v>0</v>
      </c>
      <c r="AD10" s="205">
        <v>0</v>
      </c>
    </row>
    <row r="11" spans="1:30" ht="12.75">
      <c r="A11" s="169">
        <v>4</v>
      </c>
      <c r="B11" s="172" t="s">
        <v>712</v>
      </c>
      <c r="C11" s="258" t="s">
        <v>713</v>
      </c>
      <c r="D11" s="205">
        <v>34394223.7</v>
      </c>
      <c r="E11" s="205">
        <v>0</v>
      </c>
      <c r="F11" s="205">
        <v>0</v>
      </c>
      <c r="G11" s="205">
        <v>34394223.7</v>
      </c>
      <c r="H11" s="205">
        <v>343942.24</v>
      </c>
      <c r="I11" s="205">
        <v>0</v>
      </c>
      <c r="J11" s="205">
        <v>0</v>
      </c>
      <c r="K11" s="205">
        <v>343942.24</v>
      </c>
      <c r="L11" s="205">
        <v>453926.67</v>
      </c>
      <c r="M11" s="205">
        <v>0</v>
      </c>
      <c r="N11" s="205">
        <v>0</v>
      </c>
      <c r="O11" s="205">
        <v>453926.67</v>
      </c>
      <c r="P11" s="205">
        <v>33596354.7</v>
      </c>
      <c r="Q11" s="205">
        <v>0</v>
      </c>
      <c r="R11" s="205">
        <v>0</v>
      </c>
      <c r="S11" s="205">
        <v>33596354.7</v>
      </c>
      <c r="T11" s="205">
        <v>0</v>
      </c>
      <c r="U11" s="205">
        <v>0</v>
      </c>
      <c r="V11" s="205">
        <v>0</v>
      </c>
      <c r="W11" s="205">
        <v>0</v>
      </c>
      <c r="X11" s="205">
        <v>0</v>
      </c>
      <c r="Y11" s="205">
        <v>0</v>
      </c>
      <c r="Z11" s="205">
        <v>0</v>
      </c>
      <c r="AA11" s="205">
        <v>0</v>
      </c>
      <c r="AB11" s="205">
        <v>0</v>
      </c>
      <c r="AC11" s="205">
        <v>0</v>
      </c>
      <c r="AD11" s="205">
        <v>0</v>
      </c>
    </row>
    <row r="12" spans="1:30" ht="12.75">
      <c r="A12" s="169">
        <v>5</v>
      </c>
      <c r="B12" s="172" t="s">
        <v>714</v>
      </c>
      <c r="C12" s="258" t="s">
        <v>715</v>
      </c>
      <c r="D12" s="205">
        <v>33534639</v>
      </c>
      <c r="E12" s="205">
        <v>0</v>
      </c>
      <c r="F12" s="205">
        <v>0</v>
      </c>
      <c r="G12" s="205">
        <v>33534639</v>
      </c>
      <c r="H12" s="205">
        <v>335346</v>
      </c>
      <c r="I12" s="205">
        <v>0</v>
      </c>
      <c r="J12" s="205">
        <v>0</v>
      </c>
      <c r="K12" s="205">
        <v>335346</v>
      </c>
      <c r="L12" s="205">
        <v>234000</v>
      </c>
      <c r="M12" s="205">
        <v>0</v>
      </c>
      <c r="N12" s="205">
        <v>0</v>
      </c>
      <c r="O12" s="205">
        <v>234000</v>
      </c>
      <c r="P12" s="205">
        <v>32965293</v>
      </c>
      <c r="Q12" s="205">
        <v>0</v>
      </c>
      <c r="R12" s="205">
        <v>0</v>
      </c>
      <c r="S12" s="205">
        <v>32965293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0</v>
      </c>
      <c r="AA12" s="205">
        <v>0</v>
      </c>
      <c r="AB12" s="205">
        <v>0</v>
      </c>
      <c r="AC12" s="205">
        <v>0</v>
      </c>
      <c r="AD12" s="205">
        <v>0</v>
      </c>
    </row>
    <row r="13" spans="1:30" ht="12.75">
      <c r="A13" s="169">
        <v>6</v>
      </c>
      <c r="B13" s="172" t="s">
        <v>716</v>
      </c>
      <c r="C13" s="258" t="s">
        <v>717</v>
      </c>
      <c r="D13" s="205">
        <v>46253291.9</v>
      </c>
      <c r="E13" s="205">
        <v>0</v>
      </c>
      <c r="F13" s="205">
        <v>0</v>
      </c>
      <c r="G13" s="205">
        <v>46253291.9</v>
      </c>
      <c r="H13" s="205">
        <v>550000</v>
      </c>
      <c r="I13" s="205">
        <v>0</v>
      </c>
      <c r="J13" s="205">
        <v>0</v>
      </c>
      <c r="K13" s="205">
        <v>550000</v>
      </c>
      <c r="L13" s="205">
        <v>538913.09</v>
      </c>
      <c r="M13" s="205">
        <v>0</v>
      </c>
      <c r="N13" s="205">
        <v>0</v>
      </c>
      <c r="O13" s="205">
        <v>538913.09</v>
      </c>
      <c r="P13" s="205">
        <v>45164378.9</v>
      </c>
      <c r="Q13" s="205">
        <v>0</v>
      </c>
      <c r="R13" s="205">
        <v>0</v>
      </c>
      <c r="S13" s="205">
        <v>45164378.9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5">
        <v>0</v>
      </c>
    </row>
    <row r="14" spans="1:30" ht="12.75">
      <c r="A14" s="169">
        <v>7</v>
      </c>
      <c r="B14" s="172" t="s">
        <v>718</v>
      </c>
      <c r="C14" s="258" t="s">
        <v>719</v>
      </c>
      <c r="D14" s="205">
        <v>47448027.9</v>
      </c>
      <c r="E14" s="205">
        <v>0</v>
      </c>
      <c r="F14" s="205">
        <v>0</v>
      </c>
      <c r="G14" s="205">
        <v>47448027.9</v>
      </c>
      <c r="H14" s="205">
        <v>79648</v>
      </c>
      <c r="I14" s="205">
        <v>0</v>
      </c>
      <c r="J14" s="205">
        <v>0</v>
      </c>
      <c r="K14" s="205">
        <v>79648</v>
      </c>
      <c r="L14" s="205">
        <v>0</v>
      </c>
      <c r="M14" s="205">
        <v>0</v>
      </c>
      <c r="N14" s="205">
        <v>0</v>
      </c>
      <c r="O14" s="205">
        <v>0</v>
      </c>
      <c r="P14" s="205">
        <v>47368379.9</v>
      </c>
      <c r="Q14" s="205">
        <v>0</v>
      </c>
      <c r="R14" s="205">
        <v>0</v>
      </c>
      <c r="S14" s="205">
        <v>47368379.9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0</v>
      </c>
    </row>
    <row r="15" spans="1:30" ht="12.75">
      <c r="A15" s="169">
        <v>8</v>
      </c>
      <c r="B15" s="172" t="s">
        <v>720</v>
      </c>
      <c r="C15" s="258" t="s">
        <v>721</v>
      </c>
      <c r="D15" s="205">
        <v>24074686.5</v>
      </c>
      <c r="E15" s="205">
        <v>0</v>
      </c>
      <c r="F15" s="205">
        <v>0</v>
      </c>
      <c r="G15" s="205">
        <v>24074686.5</v>
      </c>
      <c r="H15" s="205">
        <v>240746.87</v>
      </c>
      <c r="I15" s="205">
        <v>0</v>
      </c>
      <c r="J15" s="205">
        <v>0</v>
      </c>
      <c r="K15" s="205">
        <v>240746.87</v>
      </c>
      <c r="L15" s="205">
        <v>191175.05</v>
      </c>
      <c r="M15" s="205">
        <v>0</v>
      </c>
      <c r="N15" s="205">
        <v>0</v>
      </c>
      <c r="O15" s="205">
        <v>191175.05</v>
      </c>
      <c r="P15" s="205">
        <v>23642764.6</v>
      </c>
      <c r="Q15" s="205">
        <v>0</v>
      </c>
      <c r="R15" s="205">
        <v>0</v>
      </c>
      <c r="S15" s="205">
        <v>23642764.6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</row>
    <row r="16" spans="1:30" ht="12.75">
      <c r="A16" s="169">
        <v>9</v>
      </c>
      <c r="B16" s="172" t="s">
        <v>722</v>
      </c>
      <c r="C16" s="258" t="s">
        <v>723</v>
      </c>
      <c r="D16" s="205">
        <v>58449654.2</v>
      </c>
      <c r="E16" s="205">
        <v>0</v>
      </c>
      <c r="F16" s="205">
        <v>0</v>
      </c>
      <c r="G16" s="205">
        <v>58449654.2</v>
      </c>
      <c r="H16" s="205">
        <v>1080000</v>
      </c>
      <c r="I16" s="205">
        <v>0</v>
      </c>
      <c r="J16" s="205">
        <v>0</v>
      </c>
      <c r="K16" s="205">
        <v>1080000</v>
      </c>
      <c r="L16" s="205">
        <v>3227000</v>
      </c>
      <c r="M16" s="205">
        <v>0</v>
      </c>
      <c r="N16" s="205">
        <v>0</v>
      </c>
      <c r="O16" s="205">
        <v>3227000</v>
      </c>
      <c r="P16" s="205">
        <v>54142654.2</v>
      </c>
      <c r="Q16" s="205">
        <v>0</v>
      </c>
      <c r="R16" s="205">
        <v>0</v>
      </c>
      <c r="S16" s="205">
        <v>54142654.2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5">
        <v>0</v>
      </c>
    </row>
    <row r="17" spans="1:30" ht="12.75">
      <c r="A17" s="169">
        <v>10</v>
      </c>
      <c r="B17" s="172" t="s">
        <v>724</v>
      </c>
      <c r="C17" s="258" t="s">
        <v>725</v>
      </c>
      <c r="D17" s="205">
        <v>115441875</v>
      </c>
      <c r="E17" s="205">
        <v>0</v>
      </c>
      <c r="F17" s="205">
        <v>0</v>
      </c>
      <c r="G17" s="205">
        <v>115441875</v>
      </c>
      <c r="H17" s="205">
        <v>1500000</v>
      </c>
      <c r="I17" s="205">
        <v>0</v>
      </c>
      <c r="J17" s="205">
        <v>0</v>
      </c>
      <c r="K17" s="205">
        <v>1500000</v>
      </c>
      <c r="L17" s="205">
        <v>2600000</v>
      </c>
      <c r="M17" s="205">
        <v>0</v>
      </c>
      <c r="N17" s="205">
        <v>0</v>
      </c>
      <c r="O17" s="205">
        <v>2600000</v>
      </c>
      <c r="P17" s="205">
        <v>111341875</v>
      </c>
      <c r="Q17" s="205">
        <v>0</v>
      </c>
      <c r="R17" s="205">
        <v>0</v>
      </c>
      <c r="S17" s="205">
        <v>111341875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</row>
    <row r="18" spans="1:30" ht="12.75">
      <c r="A18" s="169">
        <v>11</v>
      </c>
      <c r="B18" s="172" t="s">
        <v>726</v>
      </c>
      <c r="C18" s="258" t="s">
        <v>727</v>
      </c>
      <c r="D18" s="205">
        <v>53323620.6</v>
      </c>
      <c r="E18" s="205">
        <v>0</v>
      </c>
      <c r="F18" s="205">
        <v>482022</v>
      </c>
      <c r="G18" s="205">
        <v>53805642.6</v>
      </c>
      <c r="H18" s="205">
        <v>1205800</v>
      </c>
      <c r="I18" s="205">
        <v>0</v>
      </c>
      <c r="J18" s="205">
        <v>0</v>
      </c>
      <c r="K18" s="205">
        <v>1205800</v>
      </c>
      <c r="L18" s="205">
        <v>2570255</v>
      </c>
      <c r="M18" s="205">
        <v>0</v>
      </c>
      <c r="N18" s="205">
        <v>0</v>
      </c>
      <c r="O18" s="205">
        <v>2570255</v>
      </c>
      <c r="P18" s="205">
        <v>49547565.6</v>
      </c>
      <c r="Q18" s="205">
        <v>0</v>
      </c>
      <c r="R18" s="205">
        <v>482022</v>
      </c>
      <c r="S18" s="205">
        <v>50029587.6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85760</v>
      </c>
      <c r="AB18" s="205">
        <v>0</v>
      </c>
      <c r="AC18" s="205">
        <v>396262</v>
      </c>
      <c r="AD18" s="205">
        <v>0</v>
      </c>
    </row>
    <row r="19" spans="1:30" ht="12.75">
      <c r="A19" s="169">
        <v>12</v>
      </c>
      <c r="B19" s="172" t="s">
        <v>728</v>
      </c>
      <c r="C19" s="258" t="s">
        <v>729</v>
      </c>
      <c r="D19" s="205">
        <v>24304613</v>
      </c>
      <c r="E19" s="205">
        <v>0</v>
      </c>
      <c r="F19" s="205">
        <v>0</v>
      </c>
      <c r="G19" s="205">
        <v>24304613</v>
      </c>
      <c r="H19" s="205">
        <v>172615</v>
      </c>
      <c r="I19" s="205">
        <v>0</v>
      </c>
      <c r="J19" s="205">
        <v>0</v>
      </c>
      <c r="K19" s="205">
        <v>172615</v>
      </c>
      <c r="L19" s="205">
        <v>666601</v>
      </c>
      <c r="M19" s="205">
        <v>0</v>
      </c>
      <c r="N19" s="205">
        <v>0</v>
      </c>
      <c r="O19" s="205">
        <v>666601</v>
      </c>
      <c r="P19" s="205">
        <v>23465397</v>
      </c>
      <c r="Q19" s="205">
        <v>0</v>
      </c>
      <c r="R19" s="205">
        <v>0</v>
      </c>
      <c r="S19" s="205">
        <v>23465397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</row>
    <row r="20" spans="1:30" ht="12.75">
      <c r="A20" s="169">
        <v>13</v>
      </c>
      <c r="B20" s="172" t="s">
        <v>730</v>
      </c>
      <c r="C20" s="258" t="s">
        <v>731</v>
      </c>
      <c r="D20" s="205">
        <v>78141121.2</v>
      </c>
      <c r="E20" s="205">
        <v>0</v>
      </c>
      <c r="F20" s="205">
        <v>0</v>
      </c>
      <c r="G20" s="205">
        <v>78141121.2</v>
      </c>
      <c r="H20" s="205">
        <v>1562822.42</v>
      </c>
      <c r="I20" s="205">
        <v>0</v>
      </c>
      <c r="J20" s="205">
        <v>0</v>
      </c>
      <c r="K20" s="205">
        <v>1562822.42</v>
      </c>
      <c r="L20" s="205">
        <v>0</v>
      </c>
      <c r="M20" s="205">
        <v>0</v>
      </c>
      <c r="N20" s="205">
        <v>0</v>
      </c>
      <c r="O20" s="205">
        <v>0</v>
      </c>
      <c r="P20" s="205">
        <v>76578298.7</v>
      </c>
      <c r="Q20" s="205">
        <v>0</v>
      </c>
      <c r="R20" s="205">
        <v>0</v>
      </c>
      <c r="S20" s="205">
        <v>76578298.7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</row>
    <row r="21" spans="1:30" ht="12.75">
      <c r="A21" s="169">
        <v>14</v>
      </c>
      <c r="B21" s="172" t="s">
        <v>732</v>
      </c>
      <c r="C21" s="258" t="s">
        <v>733</v>
      </c>
      <c r="D21" s="205">
        <v>75289842.1</v>
      </c>
      <c r="E21" s="205">
        <v>0</v>
      </c>
      <c r="F21" s="205">
        <v>0</v>
      </c>
      <c r="G21" s="205">
        <v>75289842.1</v>
      </c>
      <c r="H21" s="205">
        <v>550000</v>
      </c>
      <c r="I21" s="205">
        <v>0</v>
      </c>
      <c r="J21" s="205">
        <v>0</v>
      </c>
      <c r="K21" s="205">
        <v>550000</v>
      </c>
      <c r="L21" s="205">
        <v>1832000</v>
      </c>
      <c r="M21" s="205">
        <v>0</v>
      </c>
      <c r="N21" s="205">
        <v>0</v>
      </c>
      <c r="O21" s="205">
        <v>1832000</v>
      </c>
      <c r="P21" s="205">
        <v>72907842.1</v>
      </c>
      <c r="Q21" s="205">
        <v>0</v>
      </c>
      <c r="R21" s="205">
        <v>0</v>
      </c>
      <c r="S21" s="205">
        <v>72907842.1</v>
      </c>
      <c r="T21" s="205">
        <v>19076</v>
      </c>
      <c r="U21" s="205">
        <v>0</v>
      </c>
      <c r="V21" s="205">
        <v>0</v>
      </c>
      <c r="W21" s="205">
        <v>19076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19076</v>
      </c>
    </row>
    <row r="22" spans="1:30" ht="12.75">
      <c r="A22" s="169">
        <v>15</v>
      </c>
      <c r="B22" s="172" t="s">
        <v>734</v>
      </c>
      <c r="C22" s="258" t="s">
        <v>735</v>
      </c>
      <c r="D22" s="205">
        <v>44857135</v>
      </c>
      <c r="E22" s="205">
        <v>0</v>
      </c>
      <c r="F22" s="205">
        <v>0</v>
      </c>
      <c r="G22" s="205">
        <v>44857135</v>
      </c>
      <c r="H22" s="205">
        <v>448570</v>
      </c>
      <c r="I22" s="205">
        <v>0</v>
      </c>
      <c r="J22" s="205">
        <v>0</v>
      </c>
      <c r="K22" s="205">
        <v>448570</v>
      </c>
      <c r="L22" s="205">
        <v>500000</v>
      </c>
      <c r="M22" s="205">
        <v>0</v>
      </c>
      <c r="N22" s="205">
        <v>0</v>
      </c>
      <c r="O22" s="205">
        <v>500000</v>
      </c>
      <c r="P22" s="205">
        <v>43908565</v>
      </c>
      <c r="Q22" s="205">
        <v>0</v>
      </c>
      <c r="R22" s="205">
        <v>0</v>
      </c>
      <c r="S22" s="205">
        <v>43908565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</row>
    <row r="23" spans="1:30" ht="12.75">
      <c r="A23" s="169">
        <v>16</v>
      </c>
      <c r="B23" s="172" t="s">
        <v>736</v>
      </c>
      <c r="C23" s="258" t="s">
        <v>737</v>
      </c>
      <c r="D23" s="205">
        <v>59476029</v>
      </c>
      <c r="E23" s="205">
        <v>6000608</v>
      </c>
      <c r="F23" s="205">
        <v>0</v>
      </c>
      <c r="G23" s="205">
        <v>65476637</v>
      </c>
      <c r="H23" s="205">
        <v>491200</v>
      </c>
      <c r="I23" s="205">
        <v>49468</v>
      </c>
      <c r="J23" s="205">
        <v>0</v>
      </c>
      <c r="K23" s="205">
        <v>540668</v>
      </c>
      <c r="L23" s="205">
        <v>1231623</v>
      </c>
      <c r="M23" s="205">
        <v>263919</v>
      </c>
      <c r="N23" s="205">
        <v>0</v>
      </c>
      <c r="O23" s="205">
        <v>1495542</v>
      </c>
      <c r="P23" s="205">
        <v>57753206</v>
      </c>
      <c r="Q23" s="205">
        <v>5687221</v>
      </c>
      <c r="R23" s="205">
        <v>0</v>
      </c>
      <c r="S23" s="205">
        <v>63440427</v>
      </c>
      <c r="T23" s="205">
        <v>0</v>
      </c>
      <c r="U23" s="205">
        <v>0</v>
      </c>
      <c r="V23" s="205">
        <v>0</v>
      </c>
      <c r="W23" s="205">
        <v>0</v>
      </c>
      <c r="X23" s="205">
        <v>391</v>
      </c>
      <c r="Y23" s="205">
        <v>0</v>
      </c>
      <c r="Z23" s="205">
        <v>4794705</v>
      </c>
      <c r="AA23" s="205">
        <v>0</v>
      </c>
      <c r="AB23" s="205">
        <v>892907</v>
      </c>
      <c r="AC23" s="205">
        <v>0</v>
      </c>
      <c r="AD23" s="205">
        <v>0</v>
      </c>
    </row>
    <row r="24" spans="1:30" ht="12.75">
      <c r="A24" s="169">
        <v>17</v>
      </c>
      <c r="B24" s="172" t="s">
        <v>738</v>
      </c>
      <c r="C24" s="258" t="s">
        <v>739</v>
      </c>
      <c r="D24" s="205">
        <v>64982047</v>
      </c>
      <c r="E24" s="205">
        <v>0</v>
      </c>
      <c r="F24" s="205">
        <v>0</v>
      </c>
      <c r="G24" s="205">
        <v>64982047</v>
      </c>
      <c r="H24" s="205">
        <v>694000</v>
      </c>
      <c r="I24" s="205">
        <v>0</v>
      </c>
      <c r="J24" s="205">
        <v>0</v>
      </c>
      <c r="K24" s="205">
        <v>694000</v>
      </c>
      <c r="L24" s="205">
        <v>1000000</v>
      </c>
      <c r="M24" s="205">
        <v>0</v>
      </c>
      <c r="N24" s="205">
        <v>0</v>
      </c>
      <c r="O24" s="205">
        <v>1000000</v>
      </c>
      <c r="P24" s="205">
        <v>63288047</v>
      </c>
      <c r="Q24" s="205">
        <v>0</v>
      </c>
      <c r="R24" s="205">
        <v>0</v>
      </c>
      <c r="S24" s="205">
        <v>63288047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</row>
    <row r="25" spans="1:30" ht="12.75">
      <c r="A25" s="169">
        <v>18</v>
      </c>
      <c r="B25" s="172" t="s">
        <v>740</v>
      </c>
      <c r="C25" s="258" t="s">
        <v>741</v>
      </c>
      <c r="D25" s="205">
        <v>70174241.5</v>
      </c>
      <c r="E25" s="205">
        <v>0</v>
      </c>
      <c r="F25" s="205">
        <v>0</v>
      </c>
      <c r="G25" s="205">
        <v>70174241.5</v>
      </c>
      <c r="H25" s="205">
        <v>300000</v>
      </c>
      <c r="I25" s="205">
        <v>0</v>
      </c>
      <c r="J25" s="205">
        <v>0</v>
      </c>
      <c r="K25" s="205">
        <v>300000</v>
      </c>
      <c r="L25" s="205">
        <v>3817931</v>
      </c>
      <c r="M25" s="205">
        <v>0</v>
      </c>
      <c r="N25" s="205">
        <v>0</v>
      </c>
      <c r="O25" s="205">
        <v>3817931</v>
      </c>
      <c r="P25" s="205">
        <v>66056310.5</v>
      </c>
      <c r="Q25" s="205">
        <v>0</v>
      </c>
      <c r="R25" s="205">
        <v>0</v>
      </c>
      <c r="S25" s="205">
        <v>66056310.5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</row>
    <row r="26" spans="1:30" ht="12.75">
      <c r="A26" s="169">
        <v>19</v>
      </c>
      <c r="B26" s="172" t="s">
        <v>742</v>
      </c>
      <c r="C26" s="258" t="s">
        <v>743</v>
      </c>
      <c r="D26" s="205">
        <v>426511404</v>
      </c>
      <c r="E26" s="205">
        <v>0</v>
      </c>
      <c r="F26" s="205">
        <v>7887356</v>
      </c>
      <c r="G26" s="205">
        <v>434398760</v>
      </c>
      <c r="H26" s="205">
        <v>8518667</v>
      </c>
      <c r="I26" s="205">
        <v>0</v>
      </c>
      <c r="J26" s="205">
        <v>157759</v>
      </c>
      <c r="K26" s="205">
        <v>8676426</v>
      </c>
      <c r="L26" s="205">
        <v>19923365</v>
      </c>
      <c r="M26" s="205">
        <v>0</v>
      </c>
      <c r="N26" s="205">
        <v>205810</v>
      </c>
      <c r="O26" s="205">
        <v>20129175</v>
      </c>
      <c r="P26" s="205">
        <v>398069372</v>
      </c>
      <c r="Q26" s="205">
        <v>0</v>
      </c>
      <c r="R26" s="205">
        <v>7523787</v>
      </c>
      <c r="S26" s="205">
        <v>405593159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599</v>
      </c>
      <c r="Z26" s="205">
        <v>0</v>
      </c>
      <c r="AA26" s="205">
        <v>3948485</v>
      </c>
      <c r="AB26" s="205">
        <v>0</v>
      </c>
      <c r="AC26" s="205">
        <v>3575901</v>
      </c>
      <c r="AD26" s="205">
        <v>0</v>
      </c>
    </row>
    <row r="27" spans="1:30" ht="12.75">
      <c r="A27" s="169">
        <v>20</v>
      </c>
      <c r="B27" s="172" t="s">
        <v>744</v>
      </c>
      <c r="C27" s="258" t="s">
        <v>745</v>
      </c>
      <c r="D27" s="205">
        <v>42540955</v>
      </c>
      <c r="E27" s="205">
        <v>0</v>
      </c>
      <c r="F27" s="205">
        <v>0</v>
      </c>
      <c r="G27" s="205">
        <v>42540955</v>
      </c>
      <c r="H27" s="205">
        <v>122000</v>
      </c>
      <c r="I27" s="205">
        <v>0</v>
      </c>
      <c r="J27" s="205">
        <v>0</v>
      </c>
      <c r="K27" s="205">
        <v>122000</v>
      </c>
      <c r="L27" s="205">
        <v>753600</v>
      </c>
      <c r="M27" s="205">
        <v>0</v>
      </c>
      <c r="N27" s="205">
        <v>0</v>
      </c>
      <c r="O27" s="205">
        <v>753600</v>
      </c>
      <c r="P27" s="205">
        <v>41665355</v>
      </c>
      <c r="Q27" s="205">
        <v>0</v>
      </c>
      <c r="R27" s="205">
        <v>0</v>
      </c>
      <c r="S27" s="205">
        <v>41665355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</row>
    <row r="28" spans="1:30" ht="12.75">
      <c r="A28" s="169">
        <v>21</v>
      </c>
      <c r="B28" s="172" t="s">
        <v>746</v>
      </c>
      <c r="C28" s="258" t="s">
        <v>747</v>
      </c>
      <c r="D28" s="205">
        <v>48361700</v>
      </c>
      <c r="E28" s="205">
        <v>0</v>
      </c>
      <c r="F28" s="205">
        <v>0</v>
      </c>
      <c r="G28" s="205">
        <v>48361700</v>
      </c>
      <c r="H28" s="205">
        <v>600000</v>
      </c>
      <c r="I28" s="205">
        <v>0</v>
      </c>
      <c r="J28" s="205">
        <v>0</v>
      </c>
      <c r="K28" s="205">
        <v>600000</v>
      </c>
      <c r="L28" s="205">
        <v>2000000</v>
      </c>
      <c r="M28" s="205">
        <v>0</v>
      </c>
      <c r="N28" s="205">
        <v>0</v>
      </c>
      <c r="O28" s="205">
        <v>2000000</v>
      </c>
      <c r="P28" s="205">
        <v>45761700</v>
      </c>
      <c r="Q28" s="205">
        <v>0</v>
      </c>
      <c r="R28" s="205">
        <v>0</v>
      </c>
      <c r="S28" s="205">
        <v>45761700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</row>
    <row r="29" spans="1:30" ht="12.75">
      <c r="A29" s="169">
        <v>22</v>
      </c>
      <c r="B29" s="172" t="s">
        <v>748</v>
      </c>
      <c r="C29" s="258" t="s">
        <v>749</v>
      </c>
      <c r="D29" s="205">
        <v>50676280</v>
      </c>
      <c r="E29" s="205">
        <v>0</v>
      </c>
      <c r="F29" s="205">
        <v>0</v>
      </c>
      <c r="G29" s="205">
        <v>50676280</v>
      </c>
      <c r="H29" s="205">
        <v>1275000</v>
      </c>
      <c r="I29" s="205">
        <v>0</v>
      </c>
      <c r="J29" s="205">
        <v>0</v>
      </c>
      <c r="K29" s="205">
        <v>1275000</v>
      </c>
      <c r="L29" s="205">
        <v>950000</v>
      </c>
      <c r="M29" s="205">
        <v>0</v>
      </c>
      <c r="N29" s="205">
        <v>0</v>
      </c>
      <c r="O29" s="205">
        <v>950000</v>
      </c>
      <c r="P29" s="205">
        <v>48451280</v>
      </c>
      <c r="Q29" s="205">
        <v>0</v>
      </c>
      <c r="R29" s="205">
        <v>0</v>
      </c>
      <c r="S29" s="205">
        <v>48451280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</row>
    <row r="30" spans="1:30" ht="12.75">
      <c r="A30" s="169">
        <v>23</v>
      </c>
      <c r="B30" s="172" t="s">
        <v>750</v>
      </c>
      <c r="C30" s="258" t="s">
        <v>751</v>
      </c>
      <c r="D30" s="205">
        <v>22577406</v>
      </c>
      <c r="E30" s="205">
        <v>0</v>
      </c>
      <c r="F30" s="205">
        <v>0</v>
      </c>
      <c r="G30" s="205">
        <v>22577406</v>
      </c>
      <c r="H30" s="205">
        <v>225774</v>
      </c>
      <c r="I30" s="205">
        <v>0</v>
      </c>
      <c r="J30" s="205">
        <v>0</v>
      </c>
      <c r="K30" s="205">
        <v>225774</v>
      </c>
      <c r="L30" s="205">
        <v>209768</v>
      </c>
      <c r="M30" s="205">
        <v>0</v>
      </c>
      <c r="N30" s="205">
        <v>0</v>
      </c>
      <c r="O30" s="205">
        <v>209768</v>
      </c>
      <c r="P30" s="205">
        <v>22141864</v>
      </c>
      <c r="Q30" s="205">
        <v>0</v>
      </c>
      <c r="R30" s="205">
        <v>0</v>
      </c>
      <c r="S30" s="205">
        <v>22141864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</row>
    <row r="31" spans="1:30" ht="12.75">
      <c r="A31" s="169">
        <v>24</v>
      </c>
      <c r="B31" s="172" t="s">
        <v>752</v>
      </c>
      <c r="C31" s="258" t="s">
        <v>753</v>
      </c>
      <c r="D31" s="205">
        <v>89560535</v>
      </c>
      <c r="E31" s="205">
        <v>0</v>
      </c>
      <c r="F31" s="205">
        <v>0</v>
      </c>
      <c r="G31" s="205">
        <v>89560535</v>
      </c>
      <c r="H31" s="205">
        <v>1250000</v>
      </c>
      <c r="I31" s="205">
        <v>0</v>
      </c>
      <c r="J31" s="205">
        <v>0</v>
      </c>
      <c r="K31" s="205">
        <v>1250000</v>
      </c>
      <c r="L31" s="205">
        <v>3000000</v>
      </c>
      <c r="M31" s="205">
        <v>0</v>
      </c>
      <c r="N31" s="205">
        <v>0</v>
      </c>
      <c r="O31" s="205">
        <v>3000000</v>
      </c>
      <c r="P31" s="205">
        <v>85310535</v>
      </c>
      <c r="Q31" s="205">
        <v>0</v>
      </c>
      <c r="R31" s="205">
        <v>0</v>
      </c>
      <c r="S31" s="205">
        <v>85310535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</row>
    <row r="32" spans="1:30" ht="12.75">
      <c r="A32" s="169">
        <v>25</v>
      </c>
      <c r="B32" s="172" t="s">
        <v>754</v>
      </c>
      <c r="C32" s="258" t="s">
        <v>755</v>
      </c>
      <c r="D32" s="205">
        <v>19292249</v>
      </c>
      <c r="E32" s="205">
        <v>0</v>
      </c>
      <c r="F32" s="205">
        <v>0</v>
      </c>
      <c r="G32" s="205">
        <v>19292249</v>
      </c>
      <c r="H32" s="205">
        <v>390845</v>
      </c>
      <c r="I32" s="205">
        <v>0</v>
      </c>
      <c r="J32" s="205">
        <v>0</v>
      </c>
      <c r="K32" s="205">
        <v>390845</v>
      </c>
      <c r="L32" s="205">
        <v>350000</v>
      </c>
      <c r="M32" s="205">
        <v>0</v>
      </c>
      <c r="N32" s="205">
        <v>0</v>
      </c>
      <c r="O32" s="205">
        <v>350000</v>
      </c>
      <c r="P32" s="205">
        <v>18551404</v>
      </c>
      <c r="Q32" s="205">
        <v>0</v>
      </c>
      <c r="R32" s="205">
        <v>0</v>
      </c>
      <c r="S32" s="205">
        <v>18551404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</row>
    <row r="33" spans="1:30" ht="12.75">
      <c r="A33" s="169">
        <v>26</v>
      </c>
      <c r="B33" s="172" t="s">
        <v>756</v>
      </c>
      <c r="C33" s="258" t="s">
        <v>757</v>
      </c>
      <c r="D33" s="205">
        <v>67688460.3</v>
      </c>
      <c r="E33" s="205">
        <v>0</v>
      </c>
      <c r="F33" s="205">
        <v>0</v>
      </c>
      <c r="G33" s="205">
        <v>67688460.3</v>
      </c>
      <c r="H33" s="205">
        <v>651445</v>
      </c>
      <c r="I33" s="205">
        <v>0</v>
      </c>
      <c r="J33" s="205">
        <v>0</v>
      </c>
      <c r="K33" s="205">
        <v>651445</v>
      </c>
      <c r="L33" s="205">
        <v>989100</v>
      </c>
      <c r="M33" s="205">
        <v>0</v>
      </c>
      <c r="N33" s="205">
        <v>0</v>
      </c>
      <c r="O33" s="205">
        <v>989100</v>
      </c>
      <c r="P33" s="205">
        <v>66047915.3</v>
      </c>
      <c r="Q33" s="205">
        <v>0</v>
      </c>
      <c r="R33" s="205">
        <v>0</v>
      </c>
      <c r="S33" s="205">
        <v>66047915.3</v>
      </c>
      <c r="T33" s="205">
        <v>111</v>
      </c>
      <c r="U33" s="205">
        <v>0</v>
      </c>
      <c r="V33" s="205">
        <v>0</v>
      </c>
      <c r="W33" s="205">
        <v>111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111</v>
      </c>
    </row>
    <row r="34" spans="1:30" ht="12.75">
      <c r="A34" s="169">
        <v>27</v>
      </c>
      <c r="B34" s="172" t="s">
        <v>758</v>
      </c>
      <c r="C34" s="258" t="s">
        <v>759</v>
      </c>
      <c r="D34" s="205">
        <v>73629749</v>
      </c>
      <c r="E34" s="205">
        <v>0</v>
      </c>
      <c r="F34" s="205">
        <v>0</v>
      </c>
      <c r="G34" s="205">
        <v>73629749</v>
      </c>
      <c r="H34" s="205">
        <v>1500000</v>
      </c>
      <c r="I34" s="205">
        <v>0</v>
      </c>
      <c r="J34" s="205">
        <v>0</v>
      </c>
      <c r="K34" s="205">
        <v>1500000</v>
      </c>
      <c r="L34" s="205">
        <v>1777000</v>
      </c>
      <c r="M34" s="205">
        <v>0</v>
      </c>
      <c r="N34" s="205">
        <v>0</v>
      </c>
      <c r="O34" s="205">
        <v>1777000</v>
      </c>
      <c r="P34" s="205">
        <v>70352749</v>
      </c>
      <c r="Q34" s="205">
        <v>0</v>
      </c>
      <c r="R34" s="205">
        <v>0</v>
      </c>
      <c r="S34" s="205">
        <v>70352749</v>
      </c>
      <c r="T34" s="205">
        <v>803</v>
      </c>
      <c r="U34" s="205">
        <v>0</v>
      </c>
      <c r="V34" s="205">
        <v>0</v>
      </c>
      <c r="W34" s="205">
        <v>803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803</v>
      </c>
    </row>
    <row r="35" spans="1:30" ht="12.75">
      <c r="A35" s="169">
        <v>28</v>
      </c>
      <c r="B35" s="172" t="s">
        <v>760</v>
      </c>
      <c r="C35" s="258" t="s">
        <v>761</v>
      </c>
      <c r="D35" s="205">
        <v>142786802</v>
      </c>
      <c r="E35" s="205">
        <v>0</v>
      </c>
      <c r="F35" s="205">
        <v>0</v>
      </c>
      <c r="G35" s="205">
        <v>142786802</v>
      </c>
      <c r="H35" s="205">
        <v>2556293</v>
      </c>
      <c r="I35" s="205">
        <v>0</v>
      </c>
      <c r="J35" s="205">
        <v>0</v>
      </c>
      <c r="K35" s="205">
        <v>2556293</v>
      </c>
      <c r="L35" s="205">
        <v>3498117</v>
      </c>
      <c r="M35" s="205">
        <v>0</v>
      </c>
      <c r="N35" s="205">
        <v>0</v>
      </c>
      <c r="O35" s="205">
        <v>3498117</v>
      </c>
      <c r="P35" s="205">
        <v>136732392</v>
      </c>
      <c r="Q35" s="205">
        <v>0</v>
      </c>
      <c r="R35" s="205">
        <v>0</v>
      </c>
      <c r="S35" s="205">
        <v>136732392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</row>
    <row r="36" spans="1:30" ht="12.75">
      <c r="A36" s="169">
        <v>29</v>
      </c>
      <c r="B36" s="172" t="s">
        <v>762</v>
      </c>
      <c r="C36" s="258" t="s">
        <v>763</v>
      </c>
      <c r="D36" s="205">
        <v>41010868</v>
      </c>
      <c r="E36" s="205">
        <v>0</v>
      </c>
      <c r="F36" s="205">
        <v>0</v>
      </c>
      <c r="G36" s="205">
        <v>41010868</v>
      </c>
      <c r="H36" s="205">
        <v>651070</v>
      </c>
      <c r="I36" s="205">
        <v>0</v>
      </c>
      <c r="J36" s="205">
        <v>0</v>
      </c>
      <c r="K36" s="205">
        <v>651070</v>
      </c>
      <c r="L36" s="205">
        <v>332000</v>
      </c>
      <c r="M36" s="205">
        <v>0</v>
      </c>
      <c r="N36" s="205">
        <v>0</v>
      </c>
      <c r="O36" s="205">
        <v>332000</v>
      </c>
      <c r="P36" s="205">
        <v>40027798</v>
      </c>
      <c r="Q36" s="205">
        <v>0</v>
      </c>
      <c r="R36" s="205">
        <v>0</v>
      </c>
      <c r="S36" s="205">
        <v>40027798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</row>
    <row r="37" spans="1:30" ht="12.75">
      <c r="A37" s="169">
        <v>30</v>
      </c>
      <c r="B37" s="172" t="s">
        <v>764</v>
      </c>
      <c r="C37" s="258" t="s">
        <v>765</v>
      </c>
      <c r="D37" s="205">
        <v>29823211</v>
      </c>
      <c r="E37" s="205">
        <v>0</v>
      </c>
      <c r="F37" s="205">
        <v>0</v>
      </c>
      <c r="G37" s="205">
        <v>29823211</v>
      </c>
      <c r="H37" s="205">
        <v>200000</v>
      </c>
      <c r="I37" s="205">
        <v>0</v>
      </c>
      <c r="J37" s="205">
        <v>0</v>
      </c>
      <c r="K37" s="205">
        <v>200000</v>
      </c>
      <c r="L37" s="205">
        <v>715473</v>
      </c>
      <c r="M37" s="205">
        <v>0</v>
      </c>
      <c r="N37" s="205">
        <v>0</v>
      </c>
      <c r="O37" s="205">
        <v>715473</v>
      </c>
      <c r="P37" s="205">
        <v>28907738</v>
      </c>
      <c r="Q37" s="205">
        <v>0</v>
      </c>
      <c r="R37" s="205">
        <v>0</v>
      </c>
      <c r="S37" s="205">
        <v>28907738</v>
      </c>
      <c r="T37" s="205">
        <v>75172</v>
      </c>
      <c r="U37" s="205">
        <v>0</v>
      </c>
      <c r="V37" s="205">
        <v>0</v>
      </c>
      <c r="W37" s="205">
        <v>75172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75172</v>
      </c>
    </row>
    <row r="38" spans="1:30" ht="12.75">
      <c r="A38" s="169">
        <v>31</v>
      </c>
      <c r="B38" s="172" t="s">
        <v>766</v>
      </c>
      <c r="C38" s="258" t="s">
        <v>767</v>
      </c>
      <c r="D38" s="205">
        <v>115519042</v>
      </c>
      <c r="E38" s="205">
        <v>0</v>
      </c>
      <c r="F38" s="205">
        <v>0</v>
      </c>
      <c r="G38" s="205">
        <v>115519042</v>
      </c>
      <c r="H38" s="205">
        <v>2050000</v>
      </c>
      <c r="I38" s="205">
        <v>0</v>
      </c>
      <c r="J38" s="205">
        <v>0</v>
      </c>
      <c r="K38" s="205">
        <v>2050000</v>
      </c>
      <c r="L38" s="205">
        <v>2400000</v>
      </c>
      <c r="M38" s="205">
        <v>0</v>
      </c>
      <c r="N38" s="205">
        <v>0</v>
      </c>
      <c r="O38" s="205">
        <v>2400000</v>
      </c>
      <c r="P38" s="205">
        <v>111069042</v>
      </c>
      <c r="Q38" s="205">
        <v>0</v>
      </c>
      <c r="R38" s="205">
        <v>0</v>
      </c>
      <c r="S38" s="205">
        <v>111069042</v>
      </c>
      <c r="T38" s="205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</row>
    <row r="39" spans="1:30" ht="12.75">
      <c r="A39" s="169">
        <v>32</v>
      </c>
      <c r="B39" s="172" t="s">
        <v>768</v>
      </c>
      <c r="C39" s="258" t="s">
        <v>769</v>
      </c>
      <c r="D39" s="205">
        <v>29502472.7</v>
      </c>
      <c r="E39" s="205">
        <v>0</v>
      </c>
      <c r="F39" s="205">
        <v>0</v>
      </c>
      <c r="G39" s="205">
        <v>29502472.7</v>
      </c>
      <c r="H39" s="205">
        <v>711873.86</v>
      </c>
      <c r="I39" s="205">
        <v>0</v>
      </c>
      <c r="J39" s="205">
        <v>0</v>
      </c>
      <c r="K39" s="205">
        <v>711873.86</v>
      </c>
      <c r="L39" s="205">
        <v>464631</v>
      </c>
      <c r="M39" s="205">
        <v>0</v>
      </c>
      <c r="N39" s="205">
        <v>0</v>
      </c>
      <c r="O39" s="205">
        <v>464631</v>
      </c>
      <c r="P39" s="205">
        <v>28325967.8</v>
      </c>
      <c r="Q39" s="205">
        <v>0</v>
      </c>
      <c r="R39" s="205">
        <v>0</v>
      </c>
      <c r="S39" s="205">
        <v>28325967.8</v>
      </c>
      <c r="T39" s="205">
        <v>0</v>
      </c>
      <c r="U39" s="205">
        <v>0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</row>
    <row r="40" spans="1:30" ht="12.75">
      <c r="A40" s="169">
        <v>33</v>
      </c>
      <c r="B40" s="172" t="s">
        <v>770</v>
      </c>
      <c r="C40" s="258" t="s">
        <v>771</v>
      </c>
      <c r="D40" s="205">
        <v>109063993</v>
      </c>
      <c r="E40" s="205">
        <v>0</v>
      </c>
      <c r="F40" s="205">
        <v>0</v>
      </c>
      <c r="G40" s="205">
        <v>109063993</v>
      </c>
      <c r="H40" s="205">
        <v>763448</v>
      </c>
      <c r="I40" s="205">
        <v>0</v>
      </c>
      <c r="J40" s="205">
        <v>0</v>
      </c>
      <c r="K40" s="205">
        <v>763448</v>
      </c>
      <c r="L40" s="205">
        <v>2700000</v>
      </c>
      <c r="M40" s="205">
        <v>0</v>
      </c>
      <c r="N40" s="205">
        <v>0</v>
      </c>
      <c r="O40" s="205">
        <v>2700000</v>
      </c>
      <c r="P40" s="205">
        <v>105600545</v>
      </c>
      <c r="Q40" s="205">
        <v>0</v>
      </c>
      <c r="R40" s="205">
        <v>0</v>
      </c>
      <c r="S40" s="205">
        <v>105600545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</row>
    <row r="41" spans="1:30" ht="12.75">
      <c r="A41" s="169">
        <v>34</v>
      </c>
      <c r="B41" s="172" t="s">
        <v>772</v>
      </c>
      <c r="C41" s="258" t="s">
        <v>773</v>
      </c>
      <c r="D41" s="205">
        <v>190708316</v>
      </c>
      <c r="E41" s="205">
        <v>11154058</v>
      </c>
      <c r="F41" s="205">
        <v>13249495</v>
      </c>
      <c r="G41" s="205">
        <v>215111869</v>
      </c>
      <c r="H41" s="205">
        <v>3820000</v>
      </c>
      <c r="I41" s="205">
        <v>215000</v>
      </c>
      <c r="J41" s="205">
        <v>265000</v>
      </c>
      <c r="K41" s="205">
        <v>4300000</v>
      </c>
      <c r="L41" s="205">
        <v>1750000</v>
      </c>
      <c r="M41" s="205">
        <v>100000</v>
      </c>
      <c r="N41" s="205">
        <v>110000</v>
      </c>
      <c r="O41" s="205">
        <v>1960000</v>
      </c>
      <c r="P41" s="205">
        <v>185138316</v>
      </c>
      <c r="Q41" s="205">
        <v>10839058</v>
      </c>
      <c r="R41" s="205">
        <v>12874495</v>
      </c>
      <c r="S41" s="205">
        <v>208851869</v>
      </c>
      <c r="T41" s="205">
        <v>258</v>
      </c>
      <c r="U41" s="205">
        <v>0</v>
      </c>
      <c r="V41" s="205">
        <v>0</v>
      </c>
      <c r="W41" s="205">
        <v>258</v>
      </c>
      <c r="X41" s="205">
        <v>175</v>
      </c>
      <c r="Y41" s="205">
        <v>35126</v>
      </c>
      <c r="Z41" s="205">
        <v>6460675</v>
      </c>
      <c r="AA41" s="205">
        <v>12992674</v>
      </c>
      <c r="AB41" s="205">
        <v>4378558</v>
      </c>
      <c r="AC41" s="205">
        <v>0</v>
      </c>
      <c r="AD41" s="205">
        <v>258</v>
      </c>
    </row>
    <row r="42" spans="1:30" ht="12.75">
      <c r="A42" s="169">
        <v>35</v>
      </c>
      <c r="B42" s="172" t="s">
        <v>774</v>
      </c>
      <c r="C42" s="258" t="s">
        <v>775</v>
      </c>
      <c r="D42" s="205">
        <v>29887281.5</v>
      </c>
      <c r="E42" s="205">
        <v>0</v>
      </c>
      <c r="F42" s="205">
        <v>0</v>
      </c>
      <c r="G42" s="205">
        <v>29887281.5</v>
      </c>
      <c r="H42" s="205">
        <v>85000</v>
      </c>
      <c r="I42" s="205">
        <v>0</v>
      </c>
      <c r="J42" s="205">
        <v>0</v>
      </c>
      <c r="K42" s="205">
        <v>85000</v>
      </c>
      <c r="L42" s="205">
        <v>102188</v>
      </c>
      <c r="M42" s="205">
        <v>0</v>
      </c>
      <c r="N42" s="205">
        <v>0</v>
      </c>
      <c r="O42" s="205">
        <v>102188</v>
      </c>
      <c r="P42" s="205">
        <v>29700093.5</v>
      </c>
      <c r="Q42" s="205">
        <v>0</v>
      </c>
      <c r="R42" s="205">
        <v>0</v>
      </c>
      <c r="S42" s="205">
        <v>29700093.5</v>
      </c>
      <c r="T42" s="205">
        <v>5000</v>
      </c>
      <c r="U42" s="205">
        <v>0</v>
      </c>
      <c r="V42" s="205">
        <v>0</v>
      </c>
      <c r="W42" s="205">
        <v>5000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5000</v>
      </c>
    </row>
    <row r="43" spans="1:30" ht="12.75">
      <c r="A43" s="169">
        <v>36</v>
      </c>
      <c r="B43" s="172" t="s">
        <v>776</v>
      </c>
      <c r="C43" s="258" t="s">
        <v>777</v>
      </c>
      <c r="D43" s="205">
        <v>85272291</v>
      </c>
      <c r="E43" s="205">
        <v>0</v>
      </c>
      <c r="F43" s="205">
        <v>0</v>
      </c>
      <c r="G43" s="205">
        <v>85272291</v>
      </c>
      <c r="H43" s="205">
        <v>1169880</v>
      </c>
      <c r="I43" s="205">
        <v>0</v>
      </c>
      <c r="J43" s="205">
        <v>0</v>
      </c>
      <c r="K43" s="205">
        <v>1169880</v>
      </c>
      <c r="L43" s="205">
        <v>2225000</v>
      </c>
      <c r="M43" s="205">
        <v>0</v>
      </c>
      <c r="N43" s="205">
        <v>0</v>
      </c>
      <c r="O43" s="205">
        <v>2225000</v>
      </c>
      <c r="P43" s="205">
        <v>81877411</v>
      </c>
      <c r="Q43" s="205">
        <v>0</v>
      </c>
      <c r="R43" s="205">
        <v>0</v>
      </c>
      <c r="S43" s="205">
        <v>81877411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</row>
    <row r="44" spans="1:30" ht="12.75">
      <c r="A44" s="169">
        <v>37</v>
      </c>
      <c r="B44" s="172" t="s">
        <v>778</v>
      </c>
      <c r="C44" s="258" t="s">
        <v>779</v>
      </c>
      <c r="D44" s="205">
        <v>27055929</v>
      </c>
      <c r="E44" s="205">
        <v>0</v>
      </c>
      <c r="F44" s="205">
        <v>0</v>
      </c>
      <c r="G44" s="205">
        <v>27055929</v>
      </c>
      <c r="H44" s="205">
        <v>300000</v>
      </c>
      <c r="I44" s="205">
        <v>0</v>
      </c>
      <c r="J44" s="205">
        <v>0</v>
      </c>
      <c r="K44" s="205">
        <v>300000</v>
      </c>
      <c r="L44" s="205">
        <v>263000</v>
      </c>
      <c r="M44" s="205">
        <v>0</v>
      </c>
      <c r="N44" s="205">
        <v>0</v>
      </c>
      <c r="O44" s="205">
        <v>263000</v>
      </c>
      <c r="P44" s="205">
        <v>26492929</v>
      </c>
      <c r="Q44" s="205">
        <v>0</v>
      </c>
      <c r="R44" s="205">
        <v>0</v>
      </c>
      <c r="S44" s="205">
        <v>26492929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</row>
    <row r="45" spans="1:30" ht="12.75">
      <c r="A45" s="169">
        <v>38</v>
      </c>
      <c r="B45" s="172" t="s">
        <v>780</v>
      </c>
      <c r="C45" s="258" t="s">
        <v>781</v>
      </c>
      <c r="D45" s="205">
        <v>41606722</v>
      </c>
      <c r="E45" s="205">
        <v>0</v>
      </c>
      <c r="F45" s="205">
        <v>0</v>
      </c>
      <c r="G45" s="205">
        <v>41606722</v>
      </c>
      <c r="H45" s="205">
        <v>750000</v>
      </c>
      <c r="I45" s="205">
        <v>0</v>
      </c>
      <c r="J45" s="205">
        <v>0</v>
      </c>
      <c r="K45" s="205">
        <v>750000</v>
      </c>
      <c r="L45" s="205">
        <v>800000</v>
      </c>
      <c r="M45" s="205">
        <v>0</v>
      </c>
      <c r="N45" s="205">
        <v>0</v>
      </c>
      <c r="O45" s="205">
        <v>800000</v>
      </c>
      <c r="P45" s="205">
        <v>40056722</v>
      </c>
      <c r="Q45" s="205">
        <v>0</v>
      </c>
      <c r="R45" s="205">
        <v>0</v>
      </c>
      <c r="S45" s="205">
        <v>40056722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</row>
    <row r="46" spans="1:30" ht="12.75">
      <c r="A46" s="169">
        <v>39</v>
      </c>
      <c r="B46" s="172" t="s">
        <v>782</v>
      </c>
      <c r="C46" s="258" t="s">
        <v>783</v>
      </c>
      <c r="D46" s="205">
        <v>24833582.8</v>
      </c>
      <c r="E46" s="205">
        <v>0</v>
      </c>
      <c r="F46" s="205">
        <v>642262.34</v>
      </c>
      <c r="G46" s="205">
        <v>25475845.1</v>
      </c>
      <c r="H46" s="205">
        <v>369947</v>
      </c>
      <c r="I46" s="205">
        <v>0</v>
      </c>
      <c r="J46" s="205">
        <v>6889</v>
      </c>
      <c r="K46" s="205">
        <v>376836</v>
      </c>
      <c r="L46" s="205">
        <v>493263</v>
      </c>
      <c r="M46" s="205">
        <v>0</v>
      </c>
      <c r="N46" s="205">
        <v>9186</v>
      </c>
      <c r="O46" s="205">
        <v>502449</v>
      </c>
      <c r="P46" s="205">
        <v>23970372.8</v>
      </c>
      <c r="Q46" s="205">
        <v>0</v>
      </c>
      <c r="R46" s="205">
        <v>626187.34</v>
      </c>
      <c r="S46" s="205">
        <v>24596560.1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-102.34</v>
      </c>
      <c r="Z46" s="205">
        <v>0</v>
      </c>
      <c r="AA46" s="205">
        <v>1108861</v>
      </c>
      <c r="AB46" s="205">
        <v>0</v>
      </c>
      <c r="AC46" s="205">
        <v>0</v>
      </c>
      <c r="AD46" s="205">
        <v>0</v>
      </c>
    </row>
    <row r="47" spans="1:30" ht="12.75">
      <c r="A47" s="169">
        <v>40</v>
      </c>
      <c r="B47" s="172" t="s">
        <v>784</v>
      </c>
      <c r="C47" s="258" t="s">
        <v>785</v>
      </c>
      <c r="D47" s="205">
        <v>28313849</v>
      </c>
      <c r="E47" s="205">
        <v>0</v>
      </c>
      <c r="F47" s="205">
        <v>0</v>
      </c>
      <c r="G47" s="205">
        <v>28313849</v>
      </c>
      <c r="H47" s="205">
        <v>283320</v>
      </c>
      <c r="I47" s="205">
        <v>0</v>
      </c>
      <c r="J47" s="205">
        <v>0</v>
      </c>
      <c r="K47" s="205">
        <v>283320</v>
      </c>
      <c r="L47" s="205">
        <v>1112027</v>
      </c>
      <c r="M47" s="205">
        <v>0</v>
      </c>
      <c r="N47" s="205">
        <v>0</v>
      </c>
      <c r="O47" s="205">
        <v>1112027</v>
      </c>
      <c r="P47" s="205">
        <v>26918502</v>
      </c>
      <c r="Q47" s="205">
        <v>0</v>
      </c>
      <c r="R47" s="205">
        <v>0</v>
      </c>
      <c r="S47" s="205">
        <v>26918502</v>
      </c>
      <c r="T47" s="205">
        <v>23859</v>
      </c>
      <c r="U47" s="205">
        <v>0</v>
      </c>
      <c r="V47" s="205">
        <v>0</v>
      </c>
      <c r="W47" s="205">
        <v>23859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23859</v>
      </c>
    </row>
    <row r="48" spans="1:30" ht="12.75">
      <c r="A48" s="169">
        <v>41</v>
      </c>
      <c r="B48" s="172" t="s">
        <v>786</v>
      </c>
      <c r="C48" s="258" t="s">
        <v>787</v>
      </c>
      <c r="D48" s="205">
        <v>52397120.3</v>
      </c>
      <c r="E48" s="205">
        <v>0</v>
      </c>
      <c r="F48" s="205">
        <v>0</v>
      </c>
      <c r="G48" s="205">
        <v>52397120.3</v>
      </c>
      <c r="H48" s="205">
        <v>743250</v>
      </c>
      <c r="I48" s="205">
        <v>0</v>
      </c>
      <c r="J48" s="205">
        <v>0</v>
      </c>
      <c r="K48" s="205">
        <v>743250</v>
      </c>
      <c r="L48" s="205">
        <v>2607894</v>
      </c>
      <c r="M48" s="205">
        <v>0</v>
      </c>
      <c r="N48" s="205">
        <v>0</v>
      </c>
      <c r="O48" s="205">
        <v>2607894</v>
      </c>
      <c r="P48" s="205">
        <v>49045976.3</v>
      </c>
      <c r="Q48" s="205">
        <v>0</v>
      </c>
      <c r="R48" s="205">
        <v>0</v>
      </c>
      <c r="S48" s="205">
        <v>49045976.3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</row>
    <row r="49" spans="1:30" ht="12.75">
      <c r="A49" s="169">
        <v>42</v>
      </c>
      <c r="B49" s="172" t="s">
        <v>788</v>
      </c>
      <c r="C49" s="258" t="s">
        <v>789</v>
      </c>
      <c r="D49" s="205">
        <v>60399394</v>
      </c>
      <c r="E49" s="205">
        <v>0</v>
      </c>
      <c r="F49" s="205">
        <v>0</v>
      </c>
      <c r="G49" s="205">
        <v>60399394</v>
      </c>
      <c r="H49" s="205">
        <v>917980</v>
      </c>
      <c r="I49" s="205">
        <v>0</v>
      </c>
      <c r="J49" s="205">
        <v>0</v>
      </c>
      <c r="K49" s="205">
        <v>917980</v>
      </c>
      <c r="L49" s="205">
        <v>670653</v>
      </c>
      <c r="M49" s="205">
        <v>0</v>
      </c>
      <c r="N49" s="205">
        <v>0</v>
      </c>
      <c r="O49" s="205">
        <v>670653</v>
      </c>
      <c r="P49" s="205">
        <v>58810761</v>
      </c>
      <c r="Q49" s="205">
        <v>0</v>
      </c>
      <c r="R49" s="205">
        <v>0</v>
      </c>
      <c r="S49" s="205">
        <v>58810761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</row>
    <row r="50" spans="1:30" ht="12.75">
      <c r="A50" s="169">
        <v>43</v>
      </c>
      <c r="B50" s="172" t="s">
        <v>790</v>
      </c>
      <c r="C50" s="258" t="s">
        <v>791</v>
      </c>
      <c r="D50" s="205">
        <v>98985302</v>
      </c>
      <c r="E50" s="205">
        <v>0</v>
      </c>
      <c r="F50" s="205">
        <v>0</v>
      </c>
      <c r="G50" s="205">
        <v>98985302</v>
      </c>
      <c r="H50" s="205">
        <v>500000</v>
      </c>
      <c r="I50" s="205">
        <v>0</v>
      </c>
      <c r="J50" s="205">
        <v>0</v>
      </c>
      <c r="K50" s="205">
        <v>500000</v>
      </c>
      <c r="L50" s="205">
        <v>1548930</v>
      </c>
      <c r="M50" s="205">
        <v>0</v>
      </c>
      <c r="N50" s="205">
        <v>0</v>
      </c>
      <c r="O50" s="205">
        <v>1548930</v>
      </c>
      <c r="P50" s="205">
        <v>96936372</v>
      </c>
      <c r="Q50" s="205">
        <v>0</v>
      </c>
      <c r="R50" s="205">
        <v>0</v>
      </c>
      <c r="S50" s="205">
        <v>96936372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</row>
    <row r="51" spans="1:30" ht="12.75">
      <c r="A51" s="169">
        <v>44</v>
      </c>
      <c r="B51" s="172" t="s">
        <v>792</v>
      </c>
      <c r="C51" s="258" t="s">
        <v>793</v>
      </c>
      <c r="D51" s="205">
        <v>507310790</v>
      </c>
      <c r="E51" s="205">
        <v>0</v>
      </c>
      <c r="F51" s="205">
        <v>0</v>
      </c>
      <c r="G51" s="205">
        <v>507310790</v>
      </c>
      <c r="H51" s="205">
        <v>3004818</v>
      </c>
      <c r="I51" s="205">
        <v>0</v>
      </c>
      <c r="J51" s="205">
        <v>0</v>
      </c>
      <c r="K51" s="205">
        <v>3004818</v>
      </c>
      <c r="L51" s="205">
        <v>4773038</v>
      </c>
      <c r="M51" s="205">
        <v>0</v>
      </c>
      <c r="N51" s="205">
        <v>0</v>
      </c>
      <c r="O51" s="205">
        <v>4773038</v>
      </c>
      <c r="P51" s="205">
        <v>499532934</v>
      </c>
      <c r="Q51" s="205">
        <v>0</v>
      </c>
      <c r="R51" s="205">
        <v>0</v>
      </c>
      <c r="S51" s="205">
        <v>499532934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205">
        <v>0</v>
      </c>
      <c r="Z51" s="205">
        <v>0</v>
      </c>
      <c r="AA51" s="205">
        <v>0</v>
      </c>
      <c r="AB51" s="205">
        <v>0</v>
      </c>
      <c r="AC51" s="205">
        <v>0</v>
      </c>
      <c r="AD51" s="205">
        <v>0</v>
      </c>
    </row>
    <row r="52" spans="1:30" ht="12.75">
      <c r="A52" s="169">
        <v>45</v>
      </c>
      <c r="B52" s="172" t="s">
        <v>794</v>
      </c>
      <c r="C52" s="258" t="s">
        <v>795</v>
      </c>
      <c r="D52" s="205">
        <v>36417234.5</v>
      </c>
      <c r="E52" s="205">
        <v>0</v>
      </c>
      <c r="F52" s="205">
        <v>0</v>
      </c>
      <c r="G52" s="205">
        <v>36417234.5</v>
      </c>
      <c r="H52" s="205">
        <v>250000</v>
      </c>
      <c r="I52" s="205">
        <v>0</v>
      </c>
      <c r="J52" s="205">
        <v>0</v>
      </c>
      <c r="K52" s="205">
        <v>250000</v>
      </c>
      <c r="L52" s="205">
        <v>1119619</v>
      </c>
      <c r="M52" s="205">
        <v>0</v>
      </c>
      <c r="N52" s="205">
        <v>0</v>
      </c>
      <c r="O52" s="205">
        <v>1119619</v>
      </c>
      <c r="P52" s="205">
        <v>35047615.5</v>
      </c>
      <c r="Q52" s="205">
        <v>0</v>
      </c>
      <c r="R52" s="205">
        <v>0</v>
      </c>
      <c r="S52" s="205">
        <v>35047615.5</v>
      </c>
      <c r="T52" s="205">
        <v>0</v>
      </c>
      <c r="U52" s="205">
        <v>0</v>
      </c>
      <c r="V52" s="205">
        <v>0</v>
      </c>
      <c r="W52" s="205">
        <v>0</v>
      </c>
      <c r="X52" s="205">
        <v>0</v>
      </c>
      <c r="Y52" s="205">
        <v>0</v>
      </c>
      <c r="Z52" s="205">
        <v>0</v>
      </c>
      <c r="AA52" s="205">
        <v>0</v>
      </c>
      <c r="AB52" s="205">
        <v>0</v>
      </c>
      <c r="AC52" s="205">
        <v>0</v>
      </c>
      <c r="AD52" s="205">
        <v>0</v>
      </c>
    </row>
    <row r="53" spans="1:30" ht="12.75">
      <c r="A53" s="169">
        <v>46</v>
      </c>
      <c r="B53" s="172" t="s">
        <v>796</v>
      </c>
      <c r="C53" s="258" t="s">
        <v>797</v>
      </c>
      <c r="D53" s="205">
        <v>52649138.4</v>
      </c>
      <c r="E53" s="205">
        <v>0</v>
      </c>
      <c r="F53" s="205">
        <v>0</v>
      </c>
      <c r="G53" s="205">
        <v>52649138.4</v>
      </c>
      <c r="H53" s="205">
        <v>480000</v>
      </c>
      <c r="I53" s="205">
        <v>0</v>
      </c>
      <c r="J53" s="205">
        <v>0</v>
      </c>
      <c r="K53" s="205">
        <v>480000</v>
      </c>
      <c r="L53" s="205">
        <v>1000000</v>
      </c>
      <c r="M53" s="205">
        <v>0</v>
      </c>
      <c r="N53" s="205">
        <v>0</v>
      </c>
      <c r="O53" s="205">
        <v>1000000</v>
      </c>
      <c r="P53" s="205">
        <v>51169138.4</v>
      </c>
      <c r="Q53" s="205">
        <v>0</v>
      </c>
      <c r="R53" s="205">
        <v>0</v>
      </c>
      <c r="S53" s="205">
        <v>51169138.4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05">
        <v>0</v>
      </c>
      <c r="Z53" s="205">
        <v>0</v>
      </c>
      <c r="AA53" s="205">
        <v>0</v>
      </c>
      <c r="AB53" s="205">
        <v>0</v>
      </c>
      <c r="AC53" s="205">
        <v>0</v>
      </c>
      <c r="AD53" s="205">
        <v>0</v>
      </c>
    </row>
    <row r="54" spans="1:30" ht="12.75">
      <c r="A54" s="169">
        <v>47</v>
      </c>
      <c r="B54" s="172" t="s">
        <v>798</v>
      </c>
      <c r="C54" s="258" t="s">
        <v>799</v>
      </c>
      <c r="D54" s="205">
        <v>42574779</v>
      </c>
      <c r="E54" s="205">
        <v>0</v>
      </c>
      <c r="F54" s="205">
        <v>0</v>
      </c>
      <c r="G54" s="205">
        <v>42574779</v>
      </c>
      <c r="H54" s="205">
        <v>425748</v>
      </c>
      <c r="I54" s="205">
        <v>0</v>
      </c>
      <c r="J54" s="205">
        <v>0</v>
      </c>
      <c r="K54" s="205">
        <v>425748</v>
      </c>
      <c r="L54" s="205">
        <v>601517</v>
      </c>
      <c r="M54" s="205">
        <v>0</v>
      </c>
      <c r="N54" s="205">
        <v>0</v>
      </c>
      <c r="O54" s="205">
        <v>601517</v>
      </c>
      <c r="P54" s="205">
        <v>41547514</v>
      </c>
      <c r="Q54" s="205">
        <v>0</v>
      </c>
      <c r="R54" s="205">
        <v>0</v>
      </c>
      <c r="S54" s="205">
        <v>41547514</v>
      </c>
      <c r="T54" s="205">
        <v>0</v>
      </c>
      <c r="U54" s="205">
        <v>0</v>
      </c>
      <c r="V54" s="205">
        <v>0</v>
      </c>
      <c r="W54" s="205">
        <v>0</v>
      </c>
      <c r="X54" s="205">
        <v>0</v>
      </c>
      <c r="Y54" s="205">
        <v>0</v>
      </c>
      <c r="Z54" s="205">
        <v>0</v>
      </c>
      <c r="AA54" s="205">
        <v>0</v>
      </c>
      <c r="AB54" s="205">
        <v>0</v>
      </c>
      <c r="AC54" s="205">
        <v>0</v>
      </c>
      <c r="AD54" s="205">
        <v>0</v>
      </c>
    </row>
    <row r="55" spans="1:30" ht="12.75">
      <c r="A55" s="169">
        <v>48</v>
      </c>
      <c r="B55" s="172" t="s">
        <v>800</v>
      </c>
      <c r="C55" s="258" t="s">
        <v>801</v>
      </c>
      <c r="D55" s="205">
        <v>15210341</v>
      </c>
      <c r="E55" s="205">
        <v>0</v>
      </c>
      <c r="F55" s="205">
        <v>0</v>
      </c>
      <c r="G55" s="205">
        <v>15210341</v>
      </c>
      <c r="H55" s="205">
        <v>152000</v>
      </c>
      <c r="I55" s="205">
        <v>0</v>
      </c>
      <c r="J55" s="205">
        <v>0</v>
      </c>
      <c r="K55" s="205">
        <v>152000</v>
      </c>
      <c r="L55" s="205">
        <v>138600</v>
      </c>
      <c r="M55" s="205">
        <v>0</v>
      </c>
      <c r="N55" s="205">
        <v>0</v>
      </c>
      <c r="O55" s="205">
        <v>138600</v>
      </c>
      <c r="P55" s="205">
        <v>14919741</v>
      </c>
      <c r="Q55" s="205">
        <v>0</v>
      </c>
      <c r="R55" s="205">
        <v>0</v>
      </c>
      <c r="S55" s="205">
        <v>14919741</v>
      </c>
      <c r="T55" s="205">
        <v>0</v>
      </c>
      <c r="U55" s="205">
        <v>0</v>
      </c>
      <c r="V55" s="205">
        <v>0</v>
      </c>
      <c r="W55" s="205">
        <v>0</v>
      </c>
      <c r="X55" s="205">
        <v>0</v>
      </c>
      <c r="Y55" s="205">
        <v>0</v>
      </c>
      <c r="Z55" s="205">
        <v>0</v>
      </c>
      <c r="AA55" s="205">
        <v>0</v>
      </c>
      <c r="AB55" s="205">
        <v>0</v>
      </c>
      <c r="AC55" s="205">
        <v>0</v>
      </c>
      <c r="AD55" s="205">
        <v>0</v>
      </c>
    </row>
    <row r="56" spans="1:30" ht="12.75">
      <c r="A56" s="169">
        <v>49</v>
      </c>
      <c r="B56" s="173" t="s">
        <v>802</v>
      </c>
      <c r="C56" s="259" t="s">
        <v>803</v>
      </c>
      <c r="D56" s="205">
        <v>78188073</v>
      </c>
      <c r="E56" s="205">
        <v>0</v>
      </c>
      <c r="F56" s="205">
        <v>0</v>
      </c>
      <c r="G56" s="205">
        <v>78188073</v>
      </c>
      <c r="H56" s="205">
        <v>1136633</v>
      </c>
      <c r="I56" s="205">
        <v>0</v>
      </c>
      <c r="J56" s="205">
        <v>0</v>
      </c>
      <c r="K56" s="205">
        <v>1136633</v>
      </c>
      <c r="L56" s="205">
        <v>325000</v>
      </c>
      <c r="M56" s="205">
        <v>0</v>
      </c>
      <c r="N56" s="205">
        <v>0</v>
      </c>
      <c r="O56" s="205">
        <v>325000</v>
      </c>
      <c r="P56" s="205">
        <v>76726440</v>
      </c>
      <c r="Q56" s="205">
        <v>0</v>
      </c>
      <c r="R56" s="205">
        <v>0</v>
      </c>
      <c r="S56" s="205">
        <v>76726440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0</v>
      </c>
      <c r="Z56" s="205">
        <v>0</v>
      </c>
      <c r="AA56" s="205">
        <v>0</v>
      </c>
      <c r="AB56" s="205">
        <v>0</v>
      </c>
      <c r="AC56" s="205">
        <v>0</v>
      </c>
      <c r="AD56" s="205">
        <v>0</v>
      </c>
    </row>
    <row r="57" spans="1:30" ht="12.75">
      <c r="A57" s="169">
        <v>50</v>
      </c>
      <c r="B57" s="172" t="s">
        <v>804</v>
      </c>
      <c r="C57" s="258" t="s">
        <v>805</v>
      </c>
      <c r="D57" s="205">
        <v>40424266.7</v>
      </c>
      <c r="E57" s="205">
        <v>0</v>
      </c>
      <c r="F57" s="205">
        <v>0</v>
      </c>
      <c r="G57" s="205">
        <v>40424266.7</v>
      </c>
      <c r="H57" s="205">
        <v>410142</v>
      </c>
      <c r="I57" s="205">
        <v>0</v>
      </c>
      <c r="J57" s="205">
        <v>0</v>
      </c>
      <c r="K57" s="205">
        <v>410142</v>
      </c>
      <c r="L57" s="205">
        <v>0</v>
      </c>
      <c r="M57" s="205">
        <v>0</v>
      </c>
      <c r="N57" s="205">
        <v>0</v>
      </c>
      <c r="O57" s="205">
        <v>0</v>
      </c>
      <c r="P57" s="205">
        <v>40014124.7</v>
      </c>
      <c r="Q57" s="205">
        <v>0</v>
      </c>
      <c r="R57" s="205">
        <v>0</v>
      </c>
      <c r="S57" s="205">
        <v>40014124.7</v>
      </c>
      <c r="T57" s="205">
        <v>130140</v>
      </c>
      <c r="U57" s="205">
        <v>0</v>
      </c>
      <c r="V57" s="205">
        <v>0</v>
      </c>
      <c r="W57" s="205">
        <v>130140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5">
        <v>130140</v>
      </c>
    </row>
    <row r="58" spans="1:30" ht="12.75">
      <c r="A58" s="169">
        <v>51</v>
      </c>
      <c r="B58" s="172" t="s">
        <v>806</v>
      </c>
      <c r="C58" s="258" t="s">
        <v>807</v>
      </c>
      <c r="D58" s="205">
        <v>79014493</v>
      </c>
      <c r="E58" s="205">
        <v>0</v>
      </c>
      <c r="F58" s="205">
        <v>0</v>
      </c>
      <c r="G58" s="205">
        <v>79014493</v>
      </c>
      <c r="H58" s="205">
        <v>1148000</v>
      </c>
      <c r="I58" s="205">
        <v>0</v>
      </c>
      <c r="J58" s="205">
        <v>0</v>
      </c>
      <c r="K58" s="205">
        <v>1148000</v>
      </c>
      <c r="L58" s="205">
        <v>100000</v>
      </c>
      <c r="M58" s="205">
        <v>0</v>
      </c>
      <c r="N58" s="205">
        <v>0</v>
      </c>
      <c r="O58" s="205">
        <v>100000</v>
      </c>
      <c r="P58" s="205">
        <v>77766493</v>
      </c>
      <c r="Q58" s="205">
        <v>0</v>
      </c>
      <c r="R58" s="205">
        <v>0</v>
      </c>
      <c r="S58" s="205">
        <v>77766493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205">
        <v>0</v>
      </c>
      <c r="AB58" s="205">
        <v>0</v>
      </c>
      <c r="AC58" s="205">
        <v>0</v>
      </c>
      <c r="AD58" s="205">
        <v>0</v>
      </c>
    </row>
    <row r="59" spans="1:30" ht="12.75">
      <c r="A59" s="169">
        <v>52</v>
      </c>
      <c r="B59" s="172" t="s">
        <v>808</v>
      </c>
      <c r="C59" s="258" t="s">
        <v>809</v>
      </c>
      <c r="D59" s="205">
        <v>55328770</v>
      </c>
      <c r="E59" s="205">
        <v>0</v>
      </c>
      <c r="F59" s="205">
        <v>0</v>
      </c>
      <c r="G59" s="205">
        <v>55328770</v>
      </c>
      <c r="H59" s="205">
        <v>450000</v>
      </c>
      <c r="I59" s="205">
        <v>0</v>
      </c>
      <c r="J59" s="205">
        <v>0</v>
      </c>
      <c r="K59" s="205">
        <v>450000</v>
      </c>
      <c r="L59" s="205">
        <v>660000</v>
      </c>
      <c r="M59" s="205">
        <v>0</v>
      </c>
      <c r="N59" s="205">
        <v>0</v>
      </c>
      <c r="O59" s="205">
        <v>660000</v>
      </c>
      <c r="P59" s="205">
        <v>54218770</v>
      </c>
      <c r="Q59" s="205">
        <v>0</v>
      </c>
      <c r="R59" s="205">
        <v>0</v>
      </c>
      <c r="S59" s="205">
        <v>54218770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  <c r="AA59" s="205">
        <v>0</v>
      </c>
      <c r="AB59" s="205">
        <v>0</v>
      </c>
      <c r="AC59" s="205">
        <v>0</v>
      </c>
      <c r="AD59" s="205">
        <v>0</v>
      </c>
    </row>
    <row r="60" spans="1:30" ht="12.75">
      <c r="A60" s="169">
        <v>53</v>
      </c>
      <c r="B60" s="172" t="s">
        <v>810</v>
      </c>
      <c r="C60" s="258" t="s">
        <v>811</v>
      </c>
      <c r="D60" s="205">
        <v>72561573</v>
      </c>
      <c r="E60" s="205">
        <v>0</v>
      </c>
      <c r="F60" s="205">
        <v>0</v>
      </c>
      <c r="G60" s="205">
        <v>72561573</v>
      </c>
      <c r="H60" s="205">
        <v>400000</v>
      </c>
      <c r="I60" s="205">
        <v>0</v>
      </c>
      <c r="J60" s="205">
        <v>0</v>
      </c>
      <c r="K60" s="205">
        <v>400000</v>
      </c>
      <c r="L60" s="205">
        <v>1460326</v>
      </c>
      <c r="M60" s="205">
        <v>0</v>
      </c>
      <c r="N60" s="205">
        <v>0</v>
      </c>
      <c r="O60" s="205">
        <v>1460326</v>
      </c>
      <c r="P60" s="205">
        <v>70701247</v>
      </c>
      <c r="Q60" s="205">
        <v>0</v>
      </c>
      <c r="R60" s="205">
        <v>0</v>
      </c>
      <c r="S60" s="205">
        <v>70701247</v>
      </c>
      <c r="T60" s="205">
        <v>434966</v>
      </c>
      <c r="U60" s="205">
        <v>0</v>
      </c>
      <c r="V60" s="205">
        <v>0</v>
      </c>
      <c r="W60" s="205">
        <v>434966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0</v>
      </c>
      <c r="AD60" s="205">
        <v>434966</v>
      </c>
    </row>
    <row r="61" spans="1:30" ht="12.75">
      <c r="A61" s="169">
        <v>54</v>
      </c>
      <c r="B61" s="172" t="s">
        <v>812</v>
      </c>
      <c r="C61" s="258" t="s">
        <v>813</v>
      </c>
      <c r="D61" s="205">
        <v>139030059</v>
      </c>
      <c r="E61" s="205">
        <v>0</v>
      </c>
      <c r="F61" s="205">
        <v>0</v>
      </c>
      <c r="G61" s="205">
        <v>139030059</v>
      </c>
      <c r="H61" s="205">
        <v>1500000</v>
      </c>
      <c r="I61" s="205">
        <v>0</v>
      </c>
      <c r="J61" s="205">
        <v>0</v>
      </c>
      <c r="K61" s="205">
        <v>1500000</v>
      </c>
      <c r="L61" s="205">
        <v>1878302</v>
      </c>
      <c r="M61" s="205">
        <v>0</v>
      </c>
      <c r="N61" s="205">
        <v>0</v>
      </c>
      <c r="O61" s="205">
        <v>1878302</v>
      </c>
      <c r="P61" s="205">
        <v>135651757</v>
      </c>
      <c r="Q61" s="205">
        <v>0</v>
      </c>
      <c r="R61" s="205">
        <v>0</v>
      </c>
      <c r="S61" s="205">
        <v>135651757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</row>
    <row r="62" spans="1:30" ht="12.75">
      <c r="A62" s="169">
        <v>55</v>
      </c>
      <c r="B62" s="172" t="s">
        <v>814</v>
      </c>
      <c r="C62" s="258" t="s">
        <v>815</v>
      </c>
      <c r="D62" s="205">
        <v>156976727</v>
      </c>
      <c r="E62" s="205">
        <v>0</v>
      </c>
      <c r="F62" s="205">
        <v>0</v>
      </c>
      <c r="G62" s="205">
        <v>156976727</v>
      </c>
      <c r="H62" s="205">
        <v>2000000</v>
      </c>
      <c r="I62" s="205">
        <v>0</v>
      </c>
      <c r="J62" s="205">
        <v>0</v>
      </c>
      <c r="K62" s="205">
        <v>2000000</v>
      </c>
      <c r="L62" s="205">
        <v>5000000</v>
      </c>
      <c r="M62" s="205">
        <v>0</v>
      </c>
      <c r="N62" s="205">
        <v>0</v>
      </c>
      <c r="O62" s="205">
        <v>5000000</v>
      </c>
      <c r="P62" s="205">
        <v>149976727</v>
      </c>
      <c r="Q62" s="205">
        <v>0</v>
      </c>
      <c r="R62" s="205">
        <v>0</v>
      </c>
      <c r="S62" s="205">
        <v>149976727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</row>
    <row r="63" spans="1:30" ht="12.75">
      <c r="A63" s="169">
        <v>56</v>
      </c>
      <c r="B63" s="172" t="s">
        <v>816</v>
      </c>
      <c r="C63" s="258" t="s">
        <v>817</v>
      </c>
      <c r="D63" s="205">
        <v>36743101</v>
      </c>
      <c r="E63" s="205">
        <v>0</v>
      </c>
      <c r="F63" s="205">
        <v>0</v>
      </c>
      <c r="G63" s="205">
        <v>36743101</v>
      </c>
      <c r="H63" s="205">
        <v>367431</v>
      </c>
      <c r="I63" s="205">
        <v>0</v>
      </c>
      <c r="J63" s="205">
        <v>0</v>
      </c>
      <c r="K63" s="205">
        <v>367431</v>
      </c>
      <c r="L63" s="205">
        <v>414611</v>
      </c>
      <c r="M63" s="205">
        <v>0</v>
      </c>
      <c r="N63" s="205">
        <v>0</v>
      </c>
      <c r="O63" s="205">
        <v>414611</v>
      </c>
      <c r="P63" s="205">
        <v>35961059</v>
      </c>
      <c r="Q63" s="205">
        <v>0</v>
      </c>
      <c r="R63" s="205">
        <v>0</v>
      </c>
      <c r="S63" s="205">
        <v>35961059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</row>
    <row r="64" spans="1:30" ht="12.75">
      <c r="A64" s="169">
        <v>57</v>
      </c>
      <c r="B64" s="172" t="s">
        <v>818</v>
      </c>
      <c r="C64" s="258" t="s">
        <v>819</v>
      </c>
      <c r="D64" s="205">
        <v>43564409.2</v>
      </c>
      <c r="E64" s="205">
        <v>0</v>
      </c>
      <c r="F64" s="205">
        <v>0</v>
      </c>
      <c r="G64" s="205">
        <v>43564409.2</v>
      </c>
      <c r="H64" s="205">
        <v>115000</v>
      </c>
      <c r="I64" s="205">
        <v>0</v>
      </c>
      <c r="J64" s="205">
        <v>0</v>
      </c>
      <c r="K64" s="205">
        <v>115000</v>
      </c>
      <c r="L64" s="205">
        <v>500000</v>
      </c>
      <c r="M64" s="205">
        <v>0</v>
      </c>
      <c r="N64" s="205">
        <v>0</v>
      </c>
      <c r="O64" s="205">
        <v>500000</v>
      </c>
      <c r="P64" s="205">
        <v>42949409.2</v>
      </c>
      <c r="Q64" s="205">
        <v>0</v>
      </c>
      <c r="R64" s="205">
        <v>0</v>
      </c>
      <c r="S64" s="205">
        <v>42949409.2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</row>
    <row r="65" spans="1:30" ht="12.75">
      <c r="A65" s="169">
        <v>58</v>
      </c>
      <c r="B65" s="172" t="s">
        <v>820</v>
      </c>
      <c r="C65" s="258" t="s">
        <v>821</v>
      </c>
      <c r="D65" s="205">
        <v>21145901.9</v>
      </c>
      <c r="E65" s="205">
        <v>0</v>
      </c>
      <c r="F65" s="205">
        <v>0</v>
      </c>
      <c r="G65" s="205">
        <v>21145901.9</v>
      </c>
      <c r="H65" s="205">
        <v>211459</v>
      </c>
      <c r="I65" s="205">
        <v>0</v>
      </c>
      <c r="J65" s="205">
        <v>0</v>
      </c>
      <c r="K65" s="205">
        <v>211459</v>
      </c>
      <c r="L65" s="205">
        <v>48422</v>
      </c>
      <c r="M65" s="205">
        <v>0</v>
      </c>
      <c r="N65" s="205">
        <v>0</v>
      </c>
      <c r="O65" s="205">
        <v>48422</v>
      </c>
      <c r="P65" s="205">
        <v>20886020.9</v>
      </c>
      <c r="Q65" s="205">
        <v>0</v>
      </c>
      <c r="R65" s="205">
        <v>0</v>
      </c>
      <c r="S65" s="205">
        <v>20886020.9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0</v>
      </c>
      <c r="AB65" s="205">
        <v>0</v>
      </c>
      <c r="AC65" s="205">
        <v>0</v>
      </c>
      <c r="AD65" s="205">
        <v>0</v>
      </c>
    </row>
    <row r="66" spans="1:30" ht="12.75">
      <c r="A66" s="169">
        <v>59</v>
      </c>
      <c r="B66" s="172" t="s">
        <v>822</v>
      </c>
      <c r="C66" s="258" t="s">
        <v>823</v>
      </c>
      <c r="D66" s="205">
        <v>27812903</v>
      </c>
      <c r="E66" s="205">
        <v>0</v>
      </c>
      <c r="F66" s="205">
        <v>0</v>
      </c>
      <c r="G66" s="205">
        <v>27812903</v>
      </c>
      <c r="H66" s="205">
        <v>417200</v>
      </c>
      <c r="I66" s="205">
        <v>0</v>
      </c>
      <c r="J66" s="205">
        <v>0</v>
      </c>
      <c r="K66" s="205">
        <v>417200</v>
      </c>
      <c r="L66" s="205">
        <v>325000</v>
      </c>
      <c r="M66" s="205">
        <v>0</v>
      </c>
      <c r="N66" s="205">
        <v>0</v>
      </c>
      <c r="O66" s="205">
        <v>325000</v>
      </c>
      <c r="P66" s="205">
        <v>27070703</v>
      </c>
      <c r="Q66" s="205">
        <v>0</v>
      </c>
      <c r="R66" s="205">
        <v>0</v>
      </c>
      <c r="S66" s="205">
        <v>27070703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05">
        <v>0</v>
      </c>
      <c r="AD66" s="205">
        <v>0</v>
      </c>
    </row>
    <row r="67" spans="1:30" ht="12.75">
      <c r="A67" s="169">
        <v>60</v>
      </c>
      <c r="B67" s="172" t="s">
        <v>824</v>
      </c>
      <c r="C67" s="258" t="s">
        <v>825</v>
      </c>
      <c r="D67" s="205">
        <v>17755864</v>
      </c>
      <c r="E67" s="205">
        <v>0</v>
      </c>
      <c r="F67" s="205">
        <v>0</v>
      </c>
      <c r="G67" s="205">
        <v>17755864</v>
      </c>
      <c r="H67" s="205">
        <v>500000</v>
      </c>
      <c r="I67" s="205">
        <v>0</v>
      </c>
      <c r="J67" s="205">
        <v>0</v>
      </c>
      <c r="K67" s="205">
        <v>500000</v>
      </c>
      <c r="L67" s="205">
        <v>452000</v>
      </c>
      <c r="M67" s="205">
        <v>0</v>
      </c>
      <c r="N67" s="205">
        <v>0</v>
      </c>
      <c r="O67" s="205">
        <v>452000</v>
      </c>
      <c r="P67" s="205">
        <v>16803864</v>
      </c>
      <c r="Q67" s="205">
        <v>0</v>
      </c>
      <c r="R67" s="205">
        <v>0</v>
      </c>
      <c r="S67" s="205">
        <v>16803864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05">
        <v>0</v>
      </c>
      <c r="AD67" s="205">
        <v>0</v>
      </c>
    </row>
    <row r="68" spans="1:30" ht="12.75">
      <c r="A68" s="169">
        <v>61</v>
      </c>
      <c r="B68" s="172" t="s">
        <v>826</v>
      </c>
      <c r="C68" s="258" t="s">
        <v>0</v>
      </c>
      <c r="D68" s="205">
        <v>766245535</v>
      </c>
      <c r="E68" s="205">
        <v>0</v>
      </c>
      <c r="F68" s="205">
        <v>0</v>
      </c>
      <c r="G68" s="205">
        <v>766245535</v>
      </c>
      <c r="H68" s="205">
        <v>9961192</v>
      </c>
      <c r="I68" s="205">
        <v>0</v>
      </c>
      <c r="J68" s="205">
        <v>0</v>
      </c>
      <c r="K68" s="205">
        <v>9961192</v>
      </c>
      <c r="L68" s="205">
        <v>13604040</v>
      </c>
      <c r="M68" s="205">
        <v>0</v>
      </c>
      <c r="N68" s="205">
        <v>0</v>
      </c>
      <c r="O68" s="205">
        <v>13604040</v>
      </c>
      <c r="P68" s="205">
        <v>742680303</v>
      </c>
      <c r="Q68" s="205">
        <v>0</v>
      </c>
      <c r="R68" s="205">
        <v>0</v>
      </c>
      <c r="S68" s="205">
        <v>742680303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</v>
      </c>
    </row>
    <row r="69" spans="1:30" ht="12.75">
      <c r="A69" s="169">
        <v>62</v>
      </c>
      <c r="B69" s="172" t="s">
        <v>1</v>
      </c>
      <c r="C69" s="258" t="s">
        <v>2</v>
      </c>
      <c r="D69" s="205">
        <v>62109573</v>
      </c>
      <c r="E69" s="205">
        <v>0</v>
      </c>
      <c r="F69" s="205">
        <v>0</v>
      </c>
      <c r="G69" s="205">
        <v>62109573</v>
      </c>
      <c r="H69" s="205">
        <v>776370</v>
      </c>
      <c r="I69" s="205">
        <v>0</v>
      </c>
      <c r="J69" s="205">
        <v>0</v>
      </c>
      <c r="K69" s="205">
        <v>776370</v>
      </c>
      <c r="L69" s="205">
        <v>1097000</v>
      </c>
      <c r="M69" s="205">
        <v>0</v>
      </c>
      <c r="N69" s="205">
        <v>0</v>
      </c>
      <c r="O69" s="205">
        <v>1097000</v>
      </c>
      <c r="P69" s="205">
        <v>60236203</v>
      </c>
      <c r="Q69" s="205">
        <v>0</v>
      </c>
      <c r="R69" s="205">
        <v>0</v>
      </c>
      <c r="S69" s="205">
        <v>60236203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</v>
      </c>
    </row>
    <row r="70" spans="1:30" ht="12.75">
      <c r="A70" s="169">
        <v>63</v>
      </c>
      <c r="B70" s="172" t="s">
        <v>3</v>
      </c>
      <c r="C70" s="258" t="s">
        <v>4</v>
      </c>
      <c r="D70" s="205">
        <v>43820961</v>
      </c>
      <c r="E70" s="205">
        <v>0</v>
      </c>
      <c r="F70" s="205">
        <v>0</v>
      </c>
      <c r="G70" s="205">
        <v>43820961</v>
      </c>
      <c r="H70" s="205">
        <v>350000</v>
      </c>
      <c r="I70" s="205">
        <v>0</v>
      </c>
      <c r="J70" s="205">
        <v>0</v>
      </c>
      <c r="K70" s="205">
        <v>350000</v>
      </c>
      <c r="L70" s="205">
        <v>3363464</v>
      </c>
      <c r="M70" s="205">
        <v>0</v>
      </c>
      <c r="N70" s="205">
        <v>0</v>
      </c>
      <c r="O70" s="205">
        <v>3363464</v>
      </c>
      <c r="P70" s="205">
        <v>40107497</v>
      </c>
      <c r="Q70" s="205">
        <v>0</v>
      </c>
      <c r="R70" s="205">
        <v>0</v>
      </c>
      <c r="S70" s="205">
        <v>40107497</v>
      </c>
      <c r="T70" s="205">
        <v>487</v>
      </c>
      <c r="U70" s="205">
        <v>0</v>
      </c>
      <c r="V70" s="205">
        <v>0</v>
      </c>
      <c r="W70" s="205">
        <v>487</v>
      </c>
      <c r="X70" s="205">
        <v>0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487</v>
      </c>
    </row>
    <row r="71" spans="1:30" ht="12.75">
      <c r="A71" s="169">
        <v>64</v>
      </c>
      <c r="B71" s="172" t="s">
        <v>5</v>
      </c>
      <c r="C71" s="258" t="s">
        <v>6</v>
      </c>
      <c r="D71" s="205">
        <v>35478968.6</v>
      </c>
      <c r="E71" s="205">
        <v>0</v>
      </c>
      <c r="F71" s="205">
        <v>0</v>
      </c>
      <c r="G71" s="205">
        <v>35478968.6</v>
      </c>
      <c r="H71" s="205">
        <v>103000</v>
      </c>
      <c r="I71" s="205">
        <v>0</v>
      </c>
      <c r="J71" s="205">
        <v>0</v>
      </c>
      <c r="K71" s="205">
        <v>103000</v>
      </c>
      <c r="L71" s="205">
        <v>150000</v>
      </c>
      <c r="M71" s="205">
        <v>0</v>
      </c>
      <c r="N71" s="205">
        <v>0</v>
      </c>
      <c r="O71" s="205">
        <v>150000</v>
      </c>
      <c r="P71" s="205">
        <v>35225968.6</v>
      </c>
      <c r="Q71" s="205">
        <v>0</v>
      </c>
      <c r="R71" s="205">
        <v>0</v>
      </c>
      <c r="S71" s="205">
        <v>35225968.6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5">
        <v>0</v>
      </c>
      <c r="Z71" s="205">
        <v>0</v>
      </c>
      <c r="AA71" s="205">
        <v>0</v>
      </c>
      <c r="AB71" s="205">
        <v>0</v>
      </c>
      <c r="AC71" s="205">
        <v>0</v>
      </c>
      <c r="AD71" s="205">
        <v>0</v>
      </c>
    </row>
    <row r="72" spans="1:30" ht="12.75">
      <c r="A72" s="169">
        <v>65</v>
      </c>
      <c r="B72" s="172" t="s">
        <v>7</v>
      </c>
      <c r="C72" s="258" t="s">
        <v>8</v>
      </c>
      <c r="D72" s="205">
        <v>152133782</v>
      </c>
      <c r="E72" s="205">
        <v>0</v>
      </c>
      <c r="F72" s="205">
        <v>383710.5</v>
      </c>
      <c r="G72" s="205">
        <v>152517492</v>
      </c>
      <c r="H72" s="205">
        <v>3614284</v>
      </c>
      <c r="I72" s="205">
        <v>0</v>
      </c>
      <c r="J72" s="205">
        <v>0</v>
      </c>
      <c r="K72" s="205">
        <v>3614284</v>
      </c>
      <c r="L72" s="205">
        <v>7946118</v>
      </c>
      <c r="M72" s="205">
        <v>0</v>
      </c>
      <c r="N72" s="205">
        <v>0</v>
      </c>
      <c r="O72" s="205">
        <v>7946118</v>
      </c>
      <c r="P72" s="205">
        <v>140573380</v>
      </c>
      <c r="Q72" s="205">
        <v>0</v>
      </c>
      <c r="R72" s="205">
        <v>383710.5</v>
      </c>
      <c r="S72" s="205">
        <v>140957090</v>
      </c>
      <c r="T72" s="205">
        <v>260280</v>
      </c>
      <c r="U72" s="205">
        <v>0</v>
      </c>
      <c r="V72" s="205">
        <v>0</v>
      </c>
      <c r="W72" s="205">
        <v>260280</v>
      </c>
      <c r="X72" s="205">
        <v>0</v>
      </c>
      <c r="Y72" s="205">
        <v>0</v>
      </c>
      <c r="Z72" s="205">
        <v>0</v>
      </c>
      <c r="AA72" s="205">
        <v>410392</v>
      </c>
      <c r="AB72" s="205">
        <v>0</v>
      </c>
      <c r="AC72" s="205">
        <v>0</v>
      </c>
      <c r="AD72" s="205">
        <v>260280</v>
      </c>
    </row>
    <row r="73" spans="1:30" ht="12.75">
      <c r="A73" s="169">
        <v>66</v>
      </c>
      <c r="B73" s="172" t="s">
        <v>9</v>
      </c>
      <c r="C73" s="258" t="s">
        <v>10</v>
      </c>
      <c r="D73" s="205">
        <v>29587936</v>
      </c>
      <c r="E73" s="205">
        <v>0</v>
      </c>
      <c r="F73" s="205">
        <v>0</v>
      </c>
      <c r="G73" s="205">
        <v>29587936</v>
      </c>
      <c r="H73" s="205">
        <v>200000</v>
      </c>
      <c r="I73" s="205">
        <v>0</v>
      </c>
      <c r="J73" s="205">
        <v>0</v>
      </c>
      <c r="K73" s="205">
        <v>200000</v>
      </c>
      <c r="L73" s="205">
        <v>366763</v>
      </c>
      <c r="M73" s="205">
        <v>0</v>
      </c>
      <c r="N73" s="205">
        <v>0</v>
      </c>
      <c r="O73" s="205">
        <v>366763</v>
      </c>
      <c r="P73" s="205">
        <v>29021173</v>
      </c>
      <c r="Q73" s="205">
        <v>0</v>
      </c>
      <c r="R73" s="205">
        <v>0</v>
      </c>
      <c r="S73" s="205">
        <v>29021173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  <c r="AA73" s="205">
        <v>0</v>
      </c>
      <c r="AB73" s="205">
        <v>0</v>
      </c>
      <c r="AC73" s="205">
        <v>0</v>
      </c>
      <c r="AD73" s="205">
        <v>0</v>
      </c>
    </row>
    <row r="74" spans="1:30" ht="12.75">
      <c r="A74" s="169">
        <v>67</v>
      </c>
      <c r="B74" s="172" t="s">
        <v>11</v>
      </c>
      <c r="C74" s="258" t="s">
        <v>12</v>
      </c>
      <c r="D74" s="205">
        <v>124069917</v>
      </c>
      <c r="E74" s="205">
        <v>0</v>
      </c>
      <c r="F74" s="205">
        <v>0</v>
      </c>
      <c r="G74" s="205">
        <v>124069917</v>
      </c>
      <c r="H74" s="205">
        <v>1240699</v>
      </c>
      <c r="I74" s="205">
        <v>0</v>
      </c>
      <c r="J74" s="205">
        <v>0</v>
      </c>
      <c r="K74" s="205">
        <v>1240699</v>
      </c>
      <c r="L74" s="205">
        <v>7279740</v>
      </c>
      <c r="M74" s="205">
        <v>0</v>
      </c>
      <c r="N74" s="205">
        <v>0</v>
      </c>
      <c r="O74" s="205">
        <v>7279740</v>
      </c>
      <c r="P74" s="205">
        <v>115549478</v>
      </c>
      <c r="Q74" s="205">
        <v>0</v>
      </c>
      <c r="R74" s="205">
        <v>0</v>
      </c>
      <c r="S74" s="205">
        <v>115549478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  <c r="AA74" s="205">
        <v>0</v>
      </c>
      <c r="AB74" s="205">
        <v>0</v>
      </c>
      <c r="AC74" s="205">
        <v>0</v>
      </c>
      <c r="AD74" s="205">
        <v>0</v>
      </c>
    </row>
    <row r="75" spans="1:30" ht="12.75">
      <c r="A75" s="169">
        <v>68</v>
      </c>
      <c r="B75" s="172" t="s">
        <v>13</v>
      </c>
      <c r="C75" s="258" t="s">
        <v>14</v>
      </c>
      <c r="D75" s="205">
        <v>18486079</v>
      </c>
      <c r="E75" s="205">
        <v>0</v>
      </c>
      <c r="F75" s="205">
        <v>0</v>
      </c>
      <c r="G75" s="205">
        <v>18486079</v>
      </c>
      <c r="H75" s="205">
        <v>130000</v>
      </c>
      <c r="I75" s="205">
        <v>0</v>
      </c>
      <c r="J75" s="205">
        <v>0</v>
      </c>
      <c r="K75" s="205">
        <v>130000</v>
      </c>
      <c r="L75" s="205">
        <v>35000</v>
      </c>
      <c r="M75" s="205">
        <v>0</v>
      </c>
      <c r="N75" s="205">
        <v>0</v>
      </c>
      <c r="O75" s="205">
        <v>35000</v>
      </c>
      <c r="P75" s="205">
        <v>18321079</v>
      </c>
      <c r="Q75" s="205">
        <v>0</v>
      </c>
      <c r="R75" s="205">
        <v>0</v>
      </c>
      <c r="S75" s="205">
        <v>18321079</v>
      </c>
      <c r="T75" s="205">
        <v>0</v>
      </c>
      <c r="U75" s="205">
        <v>0</v>
      </c>
      <c r="V75" s="205">
        <v>0</v>
      </c>
      <c r="W75" s="205">
        <v>0</v>
      </c>
      <c r="X75" s="205">
        <v>0</v>
      </c>
      <c r="Y75" s="205">
        <v>0</v>
      </c>
      <c r="Z75" s="205">
        <v>0</v>
      </c>
      <c r="AA75" s="205">
        <v>0</v>
      </c>
      <c r="AB75" s="205">
        <v>0</v>
      </c>
      <c r="AC75" s="205">
        <v>0</v>
      </c>
      <c r="AD75" s="205">
        <v>0</v>
      </c>
    </row>
    <row r="76" spans="1:30" ht="12.75">
      <c r="A76" s="169">
        <v>69</v>
      </c>
      <c r="B76" s="172" t="s">
        <v>15</v>
      </c>
      <c r="C76" s="258" t="s">
        <v>16</v>
      </c>
      <c r="D76" s="205">
        <v>116282720</v>
      </c>
      <c r="E76" s="205">
        <v>0</v>
      </c>
      <c r="F76" s="205">
        <v>0</v>
      </c>
      <c r="G76" s="205">
        <v>116282720</v>
      </c>
      <c r="H76" s="205">
        <v>1114150</v>
      </c>
      <c r="I76" s="205">
        <v>0</v>
      </c>
      <c r="J76" s="205">
        <v>0</v>
      </c>
      <c r="K76" s="205">
        <v>1114150</v>
      </c>
      <c r="L76" s="205">
        <v>4671562</v>
      </c>
      <c r="M76" s="205">
        <v>0</v>
      </c>
      <c r="N76" s="205">
        <v>0</v>
      </c>
      <c r="O76" s="205">
        <v>4671562</v>
      </c>
      <c r="P76" s="205">
        <v>110497008</v>
      </c>
      <c r="Q76" s="205">
        <v>0</v>
      </c>
      <c r="R76" s="205">
        <v>0</v>
      </c>
      <c r="S76" s="205">
        <v>110497008</v>
      </c>
      <c r="T76" s="205">
        <v>0</v>
      </c>
      <c r="U76" s="205">
        <v>0</v>
      </c>
      <c r="V76" s="205">
        <v>0</v>
      </c>
      <c r="W76" s="205">
        <v>0</v>
      </c>
      <c r="X76" s="205">
        <v>0</v>
      </c>
      <c r="Y76" s="205">
        <v>0</v>
      </c>
      <c r="Z76" s="205">
        <v>0</v>
      </c>
      <c r="AA76" s="205">
        <v>0</v>
      </c>
      <c r="AB76" s="205">
        <v>0</v>
      </c>
      <c r="AC76" s="205">
        <v>0</v>
      </c>
      <c r="AD76" s="205">
        <v>0</v>
      </c>
    </row>
    <row r="77" spans="1:30" ht="12.75">
      <c r="A77" s="169">
        <v>70</v>
      </c>
      <c r="B77" s="172" t="s">
        <v>17</v>
      </c>
      <c r="C77" s="258" t="s">
        <v>18</v>
      </c>
      <c r="D77" s="205">
        <v>117332907</v>
      </c>
      <c r="E77" s="205">
        <v>0</v>
      </c>
      <c r="F77" s="205">
        <v>0</v>
      </c>
      <c r="G77" s="205">
        <v>117332907</v>
      </c>
      <c r="H77" s="205">
        <v>2778552</v>
      </c>
      <c r="I77" s="205">
        <v>0</v>
      </c>
      <c r="J77" s="205">
        <v>0</v>
      </c>
      <c r="K77" s="205">
        <v>2778552</v>
      </c>
      <c r="L77" s="205">
        <v>4047700</v>
      </c>
      <c r="M77" s="205">
        <v>0</v>
      </c>
      <c r="N77" s="205">
        <v>0</v>
      </c>
      <c r="O77" s="205">
        <v>4047700</v>
      </c>
      <c r="P77" s="205">
        <v>110506655</v>
      </c>
      <c r="Q77" s="205">
        <v>0</v>
      </c>
      <c r="R77" s="205">
        <v>0</v>
      </c>
      <c r="S77" s="205">
        <v>110506655</v>
      </c>
      <c r="T77" s="205">
        <v>0</v>
      </c>
      <c r="U77" s="205">
        <v>0</v>
      </c>
      <c r="V77" s="205">
        <v>0</v>
      </c>
      <c r="W77" s="205">
        <v>0</v>
      </c>
      <c r="X77" s="205">
        <v>0</v>
      </c>
      <c r="Y77" s="205">
        <v>0</v>
      </c>
      <c r="Z77" s="205">
        <v>0</v>
      </c>
      <c r="AA77" s="205">
        <v>0</v>
      </c>
      <c r="AB77" s="205">
        <v>0</v>
      </c>
      <c r="AC77" s="205">
        <v>0</v>
      </c>
      <c r="AD77" s="205">
        <v>0</v>
      </c>
    </row>
    <row r="78" spans="1:30" ht="12.75">
      <c r="A78" s="169">
        <v>71</v>
      </c>
      <c r="B78" s="172" t="s">
        <v>19</v>
      </c>
      <c r="C78" s="258" t="s">
        <v>37</v>
      </c>
      <c r="D78" s="205">
        <v>62467827.9</v>
      </c>
      <c r="E78" s="205">
        <v>0</v>
      </c>
      <c r="F78" s="205">
        <v>0</v>
      </c>
      <c r="G78" s="205">
        <v>62467827.9</v>
      </c>
      <c r="H78" s="205">
        <v>650000</v>
      </c>
      <c r="I78" s="205">
        <v>0</v>
      </c>
      <c r="J78" s="205">
        <v>0</v>
      </c>
      <c r="K78" s="205">
        <v>650000</v>
      </c>
      <c r="L78" s="205">
        <v>3100000</v>
      </c>
      <c r="M78" s="205">
        <v>0</v>
      </c>
      <c r="N78" s="205">
        <v>0</v>
      </c>
      <c r="O78" s="205">
        <v>3100000</v>
      </c>
      <c r="P78" s="205">
        <v>58717827.9</v>
      </c>
      <c r="Q78" s="205">
        <v>0</v>
      </c>
      <c r="R78" s="205">
        <v>0</v>
      </c>
      <c r="S78" s="205">
        <v>58717827.9</v>
      </c>
      <c r="T78" s="205">
        <v>0</v>
      </c>
      <c r="U78" s="205">
        <v>0</v>
      </c>
      <c r="V78" s="205">
        <v>0</v>
      </c>
      <c r="W78" s="205">
        <v>0</v>
      </c>
      <c r="X78" s="205">
        <v>0</v>
      </c>
      <c r="Y78" s="205">
        <v>0</v>
      </c>
      <c r="Z78" s="205">
        <v>0</v>
      </c>
      <c r="AA78" s="205">
        <v>0</v>
      </c>
      <c r="AB78" s="205">
        <v>0</v>
      </c>
      <c r="AC78" s="205">
        <v>0</v>
      </c>
      <c r="AD78" s="205">
        <v>0</v>
      </c>
    </row>
    <row r="79" spans="1:30" ht="12.75">
      <c r="A79" s="169">
        <v>72</v>
      </c>
      <c r="B79" s="172" t="s">
        <v>38</v>
      </c>
      <c r="C79" s="258" t="s">
        <v>39</v>
      </c>
      <c r="D79" s="205">
        <v>35764730</v>
      </c>
      <c r="E79" s="205">
        <v>0</v>
      </c>
      <c r="F79" s="205">
        <v>0</v>
      </c>
      <c r="G79" s="205">
        <v>35764730</v>
      </c>
      <c r="H79" s="205">
        <v>300000</v>
      </c>
      <c r="I79" s="205">
        <v>0</v>
      </c>
      <c r="J79" s="205">
        <v>0</v>
      </c>
      <c r="K79" s="205">
        <v>300000</v>
      </c>
      <c r="L79" s="205">
        <v>310000</v>
      </c>
      <c r="M79" s="205">
        <v>0</v>
      </c>
      <c r="N79" s="205">
        <v>0</v>
      </c>
      <c r="O79" s="205">
        <v>310000</v>
      </c>
      <c r="P79" s="205">
        <v>35154730</v>
      </c>
      <c r="Q79" s="205">
        <v>0</v>
      </c>
      <c r="R79" s="205">
        <v>0</v>
      </c>
      <c r="S79" s="205">
        <v>35154730</v>
      </c>
      <c r="T79" s="205">
        <v>0</v>
      </c>
      <c r="U79" s="205">
        <v>0</v>
      </c>
      <c r="V79" s="205">
        <v>0</v>
      </c>
      <c r="W79" s="205">
        <v>0</v>
      </c>
      <c r="X79" s="205">
        <v>0</v>
      </c>
      <c r="Y79" s="205">
        <v>0</v>
      </c>
      <c r="Z79" s="205">
        <v>0</v>
      </c>
      <c r="AA79" s="205">
        <v>0</v>
      </c>
      <c r="AB79" s="205">
        <v>0</v>
      </c>
      <c r="AC79" s="205">
        <v>0</v>
      </c>
      <c r="AD79" s="205">
        <v>0</v>
      </c>
    </row>
    <row r="80" spans="1:30" ht="12.75">
      <c r="A80" s="169">
        <v>73</v>
      </c>
      <c r="B80" s="172" t="s">
        <v>40</v>
      </c>
      <c r="C80" s="258" t="s">
        <v>41</v>
      </c>
      <c r="D80" s="205">
        <v>84054548</v>
      </c>
      <c r="E80" s="205">
        <v>0</v>
      </c>
      <c r="F80" s="205">
        <v>0</v>
      </c>
      <c r="G80" s="205">
        <v>84054548</v>
      </c>
      <c r="H80" s="205">
        <v>1670000</v>
      </c>
      <c r="I80" s="205">
        <v>0</v>
      </c>
      <c r="J80" s="205">
        <v>0</v>
      </c>
      <c r="K80" s="205">
        <v>1670000</v>
      </c>
      <c r="L80" s="205">
        <v>5000000</v>
      </c>
      <c r="M80" s="205">
        <v>0</v>
      </c>
      <c r="N80" s="205">
        <v>0</v>
      </c>
      <c r="O80" s="205">
        <v>5000000</v>
      </c>
      <c r="P80" s="205">
        <v>77384548</v>
      </c>
      <c r="Q80" s="205">
        <v>0</v>
      </c>
      <c r="R80" s="205">
        <v>0</v>
      </c>
      <c r="S80" s="205">
        <v>77384548</v>
      </c>
      <c r="T80" s="205">
        <v>0</v>
      </c>
      <c r="U80" s="205">
        <v>0</v>
      </c>
      <c r="V80" s="205">
        <v>0</v>
      </c>
      <c r="W80" s="205">
        <v>0</v>
      </c>
      <c r="X80" s="205">
        <v>0</v>
      </c>
      <c r="Y80" s="205">
        <v>0</v>
      </c>
      <c r="Z80" s="205">
        <v>0</v>
      </c>
      <c r="AA80" s="205">
        <v>0</v>
      </c>
      <c r="AB80" s="205">
        <v>0</v>
      </c>
      <c r="AC80" s="205">
        <v>0</v>
      </c>
      <c r="AD80" s="205">
        <v>0</v>
      </c>
    </row>
    <row r="81" spans="1:30" ht="12.75">
      <c r="A81" s="169">
        <v>74</v>
      </c>
      <c r="B81" s="172" t="s">
        <v>42</v>
      </c>
      <c r="C81" s="258" t="s">
        <v>43</v>
      </c>
      <c r="D81" s="205">
        <v>40510537.5</v>
      </c>
      <c r="E81" s="205">
        <v>0</v>
      </c>
      <c r="F81" s="205">
        <v>0</v>
      </c>
      <c r="G81" s="205">
        <v>40510537.5</v>
      </c>
      <c r="H81" s="205">
        <v>405105.38</v>
      </c>
      <c r="I81" s="205">
        <v>0</v>
      </c>
      <c r="J81" s="205">
        <v>0</v>
      </c>
      <c r="K81" s="205">
        <v>405105.38</v>
      </c>
      <c r="L81" s="205">
        <v>637065</v>
      </c>
      <c r="M81" s="205">
        <v>0</v>
      </c>
      <c r="N81" s="205">
        <v>0</v>
      </c>
      <c r="O81" s="205">
        <v>637065</v>
      </c>
      <c r="P81" s="205">
        <v>39468367.1</v>
      </c>
      <c r="Q81" s="205">
        <v>0</v>
      </c>
      <c r="R81" s="205">
        <v>0</v>
      </c>
      <c r="S81" s="205">
        <v>39468367.1</v>
      </c>
      <c r="T81" s="205">
        <v>213390</v>
      </c>
      <c r="U81" s="205">
        <v>0</v>
      </c>
      <c r="V81" s="205">
        <v>0</v>
      </c>
      <c r="W81" s="205">
        <v>213390</v>
      </c>
      <c r="X81" s="205">
        <v>0</v>
      </c>
      <c r="Y81" s="205">
        <v>0</v>
      </c>
      <c r="Z81" s="205">
        <v>0</v>
      </c>
      <c r="AA81" s="205">
        <v>0</v>
      </c>
      <c r="AB81" s="205">
        <v>0</v>
      </c>
      <c r="AC81" s="205">
        <v>0</v>
      </c>
      <c r="AD81" s="205">
        <v>213390</v>
      </c>
    </row>
    <row r="82" spans="1:30" ht="12.75">
      <c r="A82" s="169">
        <v>75</v>
      </c>
      <c r="B82" s="172" t="s">
        <v>44</v>
      </c>
      <c r="C82" s="258" t="s">
        <v>45</v>
      </c>
      <c r="D82" s="205">
        <v>88801995</v>
      </c>
      <c r="E82" s="205">
        <v>0</v>
      </c>
      <c r="F82" s="205">
        <v>0</v>
      </c>
      <c r="G82" s="205">
        <v>88801995</v>
      </c>
      <c r="H82" s="205">
        <v>1770000</v>
      </c>
      <c r="I82" s="205">
        <v>0</v>
      </c>
      <c r="J82" s="205">
        <v>0</v>
      </c>
      <c r="K82" s="205">
        <v>1770000</v>
      </c>
      <c r="L82" s="205">
        <v>2876413</v>
      </c>
      <c r="M82" s="205">
        <v>0</v>
      </c>
      <c r="N82" s="205">
        <v>0</v>
      </c>
      <c r="O82" s="205">
        <v>2876413</v>
      </c>
      <c r="P82" s="205">
        <v>84155582</v>
      </c>
      <c r="Q82" s="205">
        <v>0</v>
      </c>
      <c r="R82" s="205">
        <v>0</v>
      </c>
      <c r="S82" s="205">
        <v>84155582</v>
      </c>
      <c r="T82" s="205">
        <v>300000</v>
      </c>
      <c r="U82" s="205">
        <v>0</v>
      </c>
      <c r="V82" s="205">
        <v>0</v>
      </c>
      <c r="W82" s="205">
        <v>300000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05">
        <v>0</v>
      </c>
      <c r="AD82" s="205">
        <v>300000</v>
      </c>
    </row>
    <row r="83" spans="1:30" ht="12.75">
      <c r="A83" s="169">
        <v>76</v>
      </c>
      <c r="B83" s="172" t="s">
        <v>46</v>
      </c>
      <c r="C83" s="258" t="s">
        <v>47</v>
      </c>
      <c r="D83" s="205">
        <v>17162093</v>
      </c>
      <c r="E83" s="205">
        <v>0</v>
      </c>
      <c r="F83" s="205">
        <v>0</v>
      </c>
      <c r="G83" s="205">
        <v>17162093</v>
      </c>
      <c r="H83" s="205">
        <v>205945</v>
      </c>
      <c r="I83" s="205">
        <v>0</v>
      </c>
      <c r="J83" s="205">
        <v>0</v>
      </c>
      <c r="K83" s="205">
        <v>205945</v>
      </c>
      <c r="L83" s="205">
        <v>169733</v>
      </c>
      <c r="M83" s="205">
        <v>0</v>
      </c>
      <c r="N83" s="205">
        <v>0</v>
      </c>
      <c r="O83" s="205">
        <v>169733</v>
      </c>
      <c r="P83" s="205">
        <v>16786415</v>
      </c>
      <c r="Q83" s="205">
        <v>0</v>
      </c>
      <c r="R83" s="205">
        <v>0</v>
      </c>
      <c r="S83" s="205">
        <v>16786415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205">
        <v>0</v>
      </c>
      <c r="AB83" s="205">
        <v>0</v>
      </c>
      <c r="AC83" s="205">
        <v>0</v>
      </c>
      <c r="AD83" s="205">
        <v>0</v>
      </c>
    </row>
    <row r="84" spans="1:30" ht="12.75">
      <c r="A84" s="169">
        <v>77</v>
      </c>
      <c r="B84" s="172" t="s">
        <v>48</v>
      </c>
      <c r="C84" s="258" t="s">
        <v>49</v>
      </c>
      <c r="D84" s="205">
        <v>94078268.4</v>
      </c>
      <c r="E84" s="205">
        <v>0</v>
      </c>
      <c r="F84" s="205">
        <v>0</v>
      </c>
      <c r="G84" s="205">
        <v>94078268.4</v>
      </c>
      <c r="H84" s="205">
        <v>1411174.03</v>
      </c>
      <c r="I84" s="205">
        <v>0</v>
      </c>
      <c r="J84" s="205">
        <v>0</v>
      </c>
      <c r="K84" s="205">
        <v>1411174.03</v>
      </c>
      <c r="L84" s="205">
        <v>2025215</v>
      </c>
      <c r="M84" s="205">
        <v>0</v>
      </c>
      <c r="N84" s="205">
        <v>0</v>
      </c>
      <c r="O84" s="205">
        <v>2025215</v>
      </c>
      <c r="P84" s="205">
        <v>90641879.3</v>
      </c>
      <c r="Q84" s="205">
        <v>0</v>
      </c>
      <c r="R84" s="205">
        <v>0</v>
      </c>
      <c r="S84" s="205">
        <v>90641879.3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0</v>
      </c>
    </row>
    <row r="85" spans="1:30" ht="12.75">
      <c r="A85" s="169">
        <v>78</v>
      </c>
      <c r="B85" s="172" t="s">
        <v>63</v>
      </c>
      <c r="C85" s="258" t="s">
        <v>64</v>
      </c>
      <c r="D85" s="205">
        <v>34054052.1</v>
      </c>
      <c r="E85" s="205">
        <v>0</v>
      </c>
      <c r="F85" s="205">
        <v>225893</v>
      </c>
      <c r="G85" s="205">
        <v>34279945.1</v>
      </c>
      <c r="H85" s="205">
        <v>496705</v>
      </c>
      <c r="I85" s="205">
        <v>0</v>
      </c>
      <c r="J85" s="205">
        <v>3295</v>
      </c>
      <c r="K85" s="205">
        <v>500000</v>
      </c>
      <c r="L85" s="205">
        <v>1701038</v>
      </c>
      <c r="M85" s="205">
        <v>0</v>
      </c>
      <c r="N85" s="205">
        <v>11283</v>
      </c>
      <c r="O85" s="205">
        <v>1712321</v>
      </c>
      <c r="P85" s="205">
        <v>31856309</v>
      </c>
      <c r="Q85" s="205">
        <v>0</v>
      </c>
      <c r="R85" s="205">
        <v>211315</v>
      </c>
      <c r="S85" s="205">
        <v>32067624</v>
      </c>
      <c r="T85" s="205">
        <v>0</v>
      </c>
      <c r="U85" s="205">
        <v>0</v>
      </c>
      <c r="V85" s="205">
        <v>0</v>
      </c>
      <c r="W85" s="205">
        <v>0</v>
      </c>
      <c r="X85" s="205">
        <v>0</v>
      </c>
      <c r="Y85" s="205">
        <v>22308</v>
      </c>
      <c r="Z85" s="205">
        <v>0</v>
      </c>
      <c r="AA85" s="205">
        <v>233623</v>
      </c>
      <c r="AB85" s="205">
        <v>0</v>
      </c>
      <c r="AC85" s="205">
        <v>0</v>
      </c>
      <c r="AD85" s="205">
        <v>0</v>
      </c>
    </row>
    <row r="86" spans="1:30" ht="12.75">
      <c r="A86" s="169">
        <v>79</v>
      </c>
      <c r="B86" s="172" t="s">
        <v>65</v>
      </c>
      <c r="C86" s="258" t="s">
        <v>66</v>
      </c>
      <c r="D86" s="205">
        <v>98108778</v>
      </c>
      <c r="E86" s="205">
        <v>0</v>
      </c>
      <c r="F86" s="205">
        <v>0</v>
      </c>
      <c r="G86" s="205">
        <v>98108778</v>
      </c>
      <c r="H86" s="205">
        <v>1600000</v>
      </c>
      <c r="I86" s="205">
        <v>0</v>
      </c>
      <c r="J86" s="205">
        <v>0</v>
      </c>
      <c r="K86" s="205">
        <v>1600000</v>
      </c>
      <c r="L86" s="205">
        <v>3000000</v>
      </c>
      <c r="M86" s="205">
        <v>0</v>
      </c>
      <c r="N86" s="205">
        <v>0</v>
      </c>
      <c r="O86" s="205">
        <v>3000000</v>
      </c>
      <c r="P86" s="205">
        <v>93508778</v>
      </c>
      <c r="Q86" s="205">
        <v>0</v>
      </c>
      <c r="R86" s="205">
        <v>0</v>
      </c>
      <c r="S86" s="205">
        <v>93508778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0</v>
      </c>
      <c r="Z86" s="205">
        <v>0</v>
      </c>
      <c r="AA86" s="205">
        <v>0</v>
      </c>
      <c r="AB86" s="205">
        <v>0</v>
      </c>
      <c r="AC86" s="205">
        <v>0</v>
      </c>
      <c r="AD86" s="205">
        <v>0</v>
      </c>
    </row>
    <row r="87" spans="1:30" ht="12.75">
      <c r="A87" s="169">
        <v>80</v>
      </c>
      <c r="B87" s="172" t="s">
        <v>67</v>
      </c>
      <c r="C87" s="258" t="s">
        <v>68</v>
      </c>
      <c r="D87" s="205">
        <v>114026427</v>
      </c>
      <c r="E87" s="205">
        <v>0</v>
      </c>
      <c r="F87" s="205">
        <v>0</v>
      </c>
      <c r="G87" s="205">
        <v>114026427</v>
      </c>
      <c r="H87" s="205">
        <v>1710396</v>
      </c>
      <c r="I87" s="205">
        <v>0</v>
      </c>
      <c r="J87" s="205">
        <v>0</v>
      </c>
      <c r="K87" s="205">
        <v>1710396</v>
      </c>
      <c r="L87" s="205">
        <v>1779420</v>
      </c>
      <c r="M87" s="205">
        <v>0</v>
      </c>
      <c r="N87" s="205">
        <v>0</v>
      </c>
      <c r="O87" s="205">
        <v>1779420</v>
      </c>
      <c r="P87" s="205">
        <v>110536611</v>
      </c>
      <c r="Q87" s="205">
        <v>0</v>
      </c>
      <c r="R87" s="205">
        <v>0</v>
      </c>
      <c r="S87" s="205">
        <v>110536611</v>
      </c>
      <c r="T87" s="205">
        <v>10127</v>
      </c>
      <c r="U87" s="205">
        <v>0</v>
      </c>
      <c r="V87" s="205">
        <v>0</v>
      </c>
      <c r="W87" s="205">
        <v>10127</v>
      </c>
      <c r="X87" s="205">
        <v>0</v>
      </c>
      <c r="Y87" s="205">
        <v>0</v>
      </c>
      <c r="Z87" s="205">
        <v>0</v>
      </c>
      <c r="AA87" s="205">
        <v>0</v>
      </c>
      <c r="AB87" s="205">
        <v>0</v>
      </c>
      <c r="AC87" s="205">
        <v>0</v>
      </c>
      <c r="AD87" s="205">
        <v>10127</v>
      </c>
    </row>
    <row r="88" spans="1:30" ht="12.75">
      <c r="A88" s="169">
        <v>81</v>
      </c>
      <c r="B88" s="172" t="s">
        <v>69</v>
      </c>
      <c r="C88" s="258" t="s">
        <v>70</v>
      </c>
      <c r="D88" s="205">
        <v>128388122</v>
      </c>
      <c r="E88" s="205">
        <v>0</v>
      </c>
      <c r="F88" s="205">
        <v>0</v>
      </c>
      <c r="G88" s="205">
        <v>128388122</v>
      </c>
      <c r="H88" s="205">
        <v>4057226</v>
      </c>
      <c r="I88" s="205">
        <v>0</v>
      </c>
      <c r="J88" s="205">
        <v>0</v>
      </c>
      <c r="K88" s="205">
        <v>4057226</v>
      </c>
      <c r="L88" s="205">
        <v>0</v>
      </c>
      <c r="M88" s="205">
        <v>0</v>
      </c>
      <c r="N88" s="205">
        <v>0</v>
      </c>
      <c r="O88" s="205">
        <v>0</v>
      </c>
      <c r="P88" s="205">
        <v>124330896</v>
      </c>
      <c r="Q88" s="205">
        <v>0</v>
      </c>
      <c r="R88" s="205">
        <v>0</v>
      </c>
      <c r="S88" s="205">
        <v>124330896</v>
      </c>
      <c r="T88" s="205">
        <v>0</v>
      </c>
      <c r="U88" s="205">
        <v>0</v>
      </c>
      <c r="V88" s="205">
        <v>0</v>
      </c>
      <c r="W88" s="205">
        <v>0</v>
      </c>
      <c r="X88" s="205">
        <v>0</v>
      </c>
      <c r="Y88" s="205">
        <v>0</v>
      </c>
      <c r="Z88" s="205">
        <v>0</v>
      </c>
      <c r="AA88" s="205">
        <v>0</v>
      </c>
      <c r="AB88" s="205">
        <v>0</v>
      </c>
      <c r="AC88" s="205">
        <v>0</v>
      </c>
      <c r="AD88" s="205">
        <v>0</v>
      </c>
    </row>
    <row r="89" spans="1:30" ht="12.75">
      <c r="A89" s="169">
        <v>82</v>
      </c>
      <c r="B89" s="172" t="s">
        <v>71</v>
      </c>
      <c r="C89" s="258" t="s">
        <v>72</v>
      </c>
      <c r="D89" s="205">
        <v>17988788</v>
      </c>
      <c r="E89" s="205">
        <v>0</v>
      </c>
      <c r="F89" s="205">
        <v>0</v>
      </c>
      <c r="G89" s="205">
        <v>17988788</v>
      </c>
      <c r="H89" s="205">
        <v>100000</v>
      </c>
      <c r="I89" s="205">
        <v>0</v>
      </c>
      <c r="J89" s="205">
        <v>0</v>
      </c>
      <c r="K89" s="205">
        <v>100000</v>
      </c>
      <c r="L89" s="205">
        <v>438586</v>
      </c>
      <c r="M89" s="205">
        <v>0</v>
      </c>
      <c r="N89" s="205">
        <v>0</v>
      </c>
      <c r="O89" s="205">
        <v>438586</v>
      </c>
      <c r="P89" s="205">
        <v>17450202</v>
      </c>
      <c r="Q89" s="205">
        <v>0</v>
      </c>
      <c r="R89" s="205">
        <v>0</v>
      </c>
      <c r="S89" s="205">
        <v>17450202</v>
      </c>
      <c r="T89" s="205">
        <v>30000</v>
      </c>
      <c r="U89" s="205">
        <v>0</v>
      </c>
      <c r="V89" s="205">
        <v>0</v>
      </c>
      <c r="W89" s="205">
        <v>30000</v>
      </c>
      <c r="X89" s="205">
        <v>0</v>
      </c>
      <c r="Y89" s="205">
        <v>0</v>
      </c>
      <c r="Z89" s="205">
        <v>0</v>
      </c>
      <c r="AA89" s="205">
        <v>0</v>
      </c>
      <c r="AB89" s="205">
        <v>0</v>
      </c>
      <c r="AC89" s="205">
        <v>0</v>
      </c>
      <c r="AD89" s="205">
        <v>30000</v>
      </c>
    </row>
    <row r="90" spans="1:30" ht="12.75">
      <c r="A90" s="169">
        <v>83</v>
      </c>
      <c r="B90" s="172" t="s">
        <v>73</v>
      </c>
      <c r="C90" s="258" t="s">
        <v>74</v>
      </c>
      <c r="D90" s="205">
        <v>32221684</v>
      </c>
      <c r="E90" s="205">
        <v>0</v>
      </c>
      <c r="F90" s="205">
        <v>0</v>
      </c>
      <c r="G90" s="205">
        <v>32221684</v>
      </c>
      <c r="H90" s="205">
        <v>200000</v>
      </c>
      <c r="I90" s="205">
        <v>0</v>
      </c>
      <c r="J90" s="205">
        <v>0</v>
      </c>
      <c r="K90" s="205">
        <v>200000</v>
      </c>
      <c r="L90" s="205">
        <v>392836</v>
      </c>
      <c r="M90" s="205">
        <v>0</v>
      </c>
      <c r="N90" s="205">
        <v>0</v>
      </c>
      <c r="O90" s="205">
        <v>392836</v>
      </c>
      <c r="P90" s="205">
        <v>31628848</v>
      </c>
      <c r="Q90" s="205">
        <v>0</v>
      </c>
      <c r="R90" s="205">
        <v>0</v>
      </c>
      <c r="S90" s="205">
        <v>31628848</v>
      </c>
      <c r="T90" s="205">
        <v>58800</v>
      </c>
      <c r="U90" s="205">
        <v>0</v>
      </c>
      <c r="V90" s="205">
        <v>0</v>
      </c>
      <c r="W90" s="205">
        <v>58800</v>
      </c>
      <c r="X90" s="205">
        <v>0</v>
      </c>
      <c r="Y90" s="205">
        <v>0</v>
      </c>
      <c r="Z90" s="205">
        <v>0</v>
      </c>
      <c r="AA90" s="205">
        <v>0</v>
      </c>
      <c r="AB90" s="205">
        <v>0</v>
      </c>
      <c r="AC90" s="205">
        <v>0</v>
      </c>
      <c r="AD90" s="205">
        <v>58800</v>
      </c>
    </row>
    <row r="91" spans="1:30" ht="12.75">
      <c r="A91" s="169">
        <v>84</v>
      </c>
      <c r="B91" s="172" t="s">
        <v>75</v>
      </c>
      <c r="C91" s="258" t="s">
        <v>76</v>
      </c>
      <c r="D91" s="205">
        <v>21198674</v>
      </c>
      <c r="E91" s="205">
        <v>0</v>
      </c>
      <c r="F91" s="205">
        <v>0</v>
      </c>
      <c r="G91" s="205">
        <v>21198674</v>
      </c>
      <c r="H91" s="205">
        <v>600000</v>
      </c>
      <c r="I91" s="205">
        <v>0</v>
      </c>
      <c r="J91" s="205">
        <v>0</v>
      </c>
      <c r="K91" s="205">
        <v>600000</v>
      </c>
      <c r="L91" s="205">
        <v>570000</v>
      </c>
      <c r="M91" s="205">
        <v>0</v>
      </c>
      <c r="N91" s="205">
        <v>0</v>
      </c>
      <c r="O91" s="205">
        <v>570000</v>
      </c>
      <c r="P91" s="205">
        <v>20028674</v>
      </c>
      <c r="Q91" s="205">
        <v>0</v>
      </c>
      <c r="R91" s="205">
        <v>0</v>
      </c>
      <c r="S91" s="205">
        <v>20028674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0</v>
      </c>
      <c r="AA91" s="205">
        <v>0</v>
      </c>
      <c r="AB91" s="205">
        <v>0</v>
      </c>
      <c r="AC91" s="205">
        <v>0</v>
      </c>
      <c r="AD91" s="205">
        <v>0</v>
      </c>
    </row>
    <row r="92" spans="1:30" ht="12.75">
      <c r="A92" s="169">
        <v>85</v>
      </c>
      <c r="B92" s="172" t="s">
        <v>77</v>
      </c>
      <c r="C92" s="258" t="s">
        <v>78</v>
      </c>
      <c r="D92" s="205">
        <v>27645596</v>
      </c>
      <c r="E92" s="205">
        <v>0</v>
      </c>
      <c r="F92" s="205">
        <v>0</v>
      </c>
      <c r="G92" s="205">
        <v>27645596</v>
      </c>
      <c r="H92" s="205">
        <v>200000</v>
      </c>
      <c r="I92" s="205">
        <v>0</v>
      </c>
      <c r="J92" s="205">
        <v>0</v>
      </c>
      <c r="K92" s="205">
        <v>200000</v>
      </c>
      <c r="L92" s="205">
        <v>250000</v>
      </c>
      <c r="M92" s="205">
        <v>0</v>
      </c>
      <c r="N92" s="205">
        <v>0</v>
      </c>
      <c r="O92" s="205">
        <v>250000</v>
      </c>
      <c r="P92" s="205">
        <v>27195596</v>
      </c>
      <c r="Q92" s="205">
        <v>0</v>
      </c>
      <c r="R92" s="205">
        <v>0</v>
      </c>
      <c r="S92" s="205">
        <v>27195596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0</v>
      </c>
      <c r="AA92" s="205">
        <v>0</v>
      </c>
      <c r="AB92" s="205">
        <v>0</v>
      </c>
      <c r="AC92" s="205">
        <v>0</v>
      </c>
      <c r="AD92" s="205">
        <v>0</v>
      </c>
    </row>
    <row r="93" spans="1:30" ht="12.75">
      <c r="A93" s="169">
        <v>86</v>
      </c>
      <c r="B93" s="172" t="s">
        <v>79</v>
      </c>
      <c r="C93" s="258" t="s">
        <v>80</v>
      </c>
      <c r="D93" s="205">
        <v>43955662</v>
      </c>
      <c r="E93" s="205">
        <v>0</v>
      </c>
      <c r="F93" s="205">
        <v>0</v>
      </c>
      <c r="G93" s="205">
        <v>43955662</v>
      </c>
      <c r="H93" s="205">
        <v>417335</v>
      </c>
      <c r="I93" s="205">
        <v>0</v>
      </c>
      <c r="J93" s="205">
        <v>0</v>
      </c>
      <c r="K93" s="205">
        <v>417335</v>
      </c>
      <c r="L93" s="205">
        <v>382855</v>
      </c>
      <c r="M93" s="205">
        <v>0</v>
      </c>
      <c r="N93" s="205">
        <v>0</v>
      </c>
      <c r="O93" s="205">
        <v>382855</v>
      </c>
      <c r="P93" s="205">
        <v>43155472</v>
      </c>
      <c r="Q93" s="205">
        <v>0</v>
      </c>
      <c r="R93" s="205">
        <v>0</v>
      </c>
      <c r="S93" s="205">
        <v>43155472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0</v>
      </c>
      <c r="AA93" s="205">
        <v>0</v>
      </c>
      <c r="AB93" s="205">
        <v>0</v>
      </c>
      <c r="AC93" s="205">
        <v>0</v>
      </c>
      <c r="AD93" s="205">
        <v>0</v>
      </c>
    </row>
    <row r="94" spans="1:30" ht="12.75">
      <c r="A94" s="169">
        <v>87</v>
      </c>
      <c r="B94" s="172" t="s">
        <v>81</v>
      </c>
      <c r="C94" s="258" t="s">
        <v>82</v>
      </c>
      <c r="D94" s="205">
        <v>33421940</v>
      </c>
      <c r="E94" s="205">
        <v>0</v>
      </c>
      <c r="F94" s="205">
        <v>0</v>
      </c>
      <c r="G94" s="205">
        <v>33421940</v>
      </c>
      <c r="H94" s="205">
        <v>668439</v>
      </c>
      <c r="I94" s="205">
        <v>0</v>
      </c>
      <c r="J94" s="205">
        <v>0</v>
      </c>
      <c r="K94" s="205">
        <v>668439</v>
      </c>
      <c r="L94" s="205">
        <v>500000</v>
      </c>
      <c r="M94" s="205">
        <v>0</v>
      </c>
      <c r="N94" s="205">
        <v>0</v>
      </c>
      <c r="O94" s="205">
        <v>500000</v>
      </c>
      <c r="P94" s="205">
        <v>32253501</v>
      </c>
      <c r="Q94" s="205">
        <v>0</v>
      </c>
      <c r="R94" s="205">
        <v>0</v>
      </c>
      <c r="S94" s="205">
        <v>32253501</v>
      </c>
      <c r="T94" s="205">
        <v>2355</v>
      </c>
      <c r="U94" s="205">
        <v>0</v>
      </c>
      <c r="V94" s="205">
        <v>0</v>
      </c>
      <c r="W94" s="205">
        <v>2355</v>
      </c>
      <c r="X94" s="205">
        <v>0</v>
      </c>
      <c r="Y94" s="205">
        <v>0</v>
      </c>
      <c r="Z94" s="205">
        <v>0</v>
      </c>
      <c r="AA94" s="205">
        <v>0</v>
      </c>
      <c r="AB94" s="205">
        <v>0</v>
      </c>
      <c r="AC94" s="205">
        <v>0</v>
      </c>
      <c r="AD94" s="205">
        <v>2355</v>
      </c>
    </row>
    <row r="95" spans="1:30" ht="12.75">
      <c r="A95" s="169">
        <v>88</v>
      </c>
      <c r="B95" s="172" t="s">
        <v>83</v>
      </c>
      <c r="C95" s="258" t="s">
        <v>84</v>
      </c>
      <c r="D95" s="205">
        <v>21829654</v>
      </c>
      <c r="E95" s="205">
        <v>0</v>
      </c>
      <c r="F95" s="205">
        <v>0</v>
      </c>
      <c r="G95" s="205">
        <v>21829654</v>
      </c>
      <c r="H95" s="205">
        <v>100000</v>
      </c>
      <c r="I95" s="205">
        <v>0</v>
      </c>
      <c r="J95" s="205">
        <v>0</v>
      </c>
      <c r="K95" s="205">
        <v>100000</v>
      </c>
      <c r="L95" s="205">
        <v>75000</v>
      </c>
      <c r="M95" s="205">
        <v>0</v>
      </c>
      <c r="N95" s="205">
        <v>0</v>
      </c>
      <c r="O95" s="205">
        <v>75000</v>
      </c>
      <c r="P95" s="205">
        <v>21654654</v>
      </c>
      <c r="Q95" s="205">
        <v>0</v>
      </c>
      <c r="R95" s="205">
        <v>0</v>
      </c>
      <c r="S95" s="205">
        <v>21654654</v>
      </c>
      <c r="T95" s="205">
        <v>25000</v>
      </c>
      <c r="U95" s="205">
        <v>0</v>
      </c>
      <c r="V95" s="205">
        <v>0</v>
      </c>
      <c r="W95" s="205">
        <v>25000</v>
      </c>
      <c r="X95" s="205">
        <v>0</v>
      </c>
      <c r="Y95" s="205">
        <v>0</v>
      </c>
      <c r="Z95" s="205">
        <v>0</v>
      </c>
      <c r="AA95" s="205">
        <v>0</v>
      </c>
      <c r="AB95" s="205">
        <v>0</v>
      </c>
      <c r="AC95" s="205">
        <v>0</v>
      </c>
      <c r="AD95" s="205">
        <v>25000</v>
      </c>
    </row>
    <row r="96" spans="1:30" ht="12.75">
      <c r="A96" s="169">
        <v>89</v>
      </c>
      <c r="B96" s="172" t="s">
        <v>85</v>
      </c>
      <c r="C96" s="258" t="s">
        <v>86</v>
      </c>
      <c r="D96" s="205">
        <v>97222953</v>
      </c>
      <c r="E96" s="205">
        <v>0</v>
      </c>
      <c r="F96" s="205">
        <v>96400</v>
      </c>
      <c r="G96" s="205">
        <v>97319353</v>
      </c>
      <c r="H96" s="205">
        <v>600000</v>
      </c>
      <c r="I96" s="205">
        <v>0</v>
      </c>
      <c r="J96" s="205">
        <v>0</v>
      </c>
      <c r="K96" s="205">
        <v>600000</v>
      </c>
      <c r="L96" s="205">
        <v>579243</v>
      </c>
      <c r="M96" s="205">
        <v>0</v>
      </c>
      <c r="N96" s="205">
        <v>0</v>
      </c>
      <c r="O96" s="205">
        <v>579243</v>
      </c>
      <c r="P96" s="205">
        <v>96043710</v>
      </c>
      <c r="Q96" s="205">
        <v>0</v>
      </c>
      <c r="R96" s="205">
        <v>96400</v>
      </c>
      <c r="S96" s="205">
        <v>96140110</v>
      </c>
      <c r="T96" s="205">
        <v>1332261</v>
      </c>
      <c r="U96" s="205">
        <v>0</v>
      </c>
      <c r="V96" s="205">
        <v>0</v>
      </c>
      <c r="W96" s="205">
        <v>1332261</v>
      </c>
      <c r="X96" s="205">
        <v>0</v>
      </c>
      <c r="Y96" s="205">
        <v>0</v>
      </c>
      <c r="Z96" s="205">
        <v>0</v>
      </c>
      <c r="AA96" s="205">
        <v>95870</v>
      </c>
      <c r="AB96" s="205">
        <v>0</v>
      </c>
      <c r="AC96" s="205">
        <v>530</v>
      </c>
      <c r="AD96" s="205">
        <v>1332261</v>
      </c>
    </row>
    <row r="97" spans="1:30" ht="12.75">
      <c r="A97" s="169">
        <v>90</v>
      </c>
      <c r="B97" s="172" t="s">
        <v>87</v>
      </c>
      <c r="C97" s="258" t="s">
        <v>88</v>
      </c>
      <c r="D97" s="205">
        <v>55575850.5</v>
      </c>
      <c r="E97" s="205">
        <v>0</v>
      </c>
      <c r="F97" s="205">
        <v>0</v>
      </c>
      <c r="G97" s="205">
        <v>55575850.5</v>
      </c>
      <c r="H97" s="205">
        <v>481969.44</v>
      </c>
      <c r="I97" s="205">
        <v>0</v>
      </c>
      <c r="J97" s="205">
        <v>0</v>
      </c>
      <c r="K97" s="205">
        <v>481969.44</v>
      </c>
      <c r="L97" s="205">
        <v>1618389</v>
      </c>
      <c r="M97" s="205">
        <v>0</v>
      </c>
      <c r="N97" s="205">
        <v>0</v>
      </c>
      <c r="O97" s="205">
        <v>1618389</v>
      </c>
      <c r="P97" s="205">
        <v>53475492.1</v>
      </c>
      <c r="Q97" s="205">
        <v>0</v>
      </c>
      <c r="R97" s="205">
        <v>0</v>
      </c>
      <c r="S97" s="205">
        <v>53475492.1</v>
      </c>
      <c r="T97" s="205">
        <v>0</v>
      </c>
      <c r="U97" s="205">
        <v>0</v>
      </c>
      <c r="V97" s="205">
        <v>0</v>
      </c>
      <c r="W97" s="205">
        <v>0</v>
      </c>
      <c r="X97" s="205">
        <v>0</v>
      </c>
      <c r="Y97" s="205">
        <v>0</v>
      </c>
      <c r="Z97" s="205">
        <v>0</v>
      </c>
      <c r="AA97" s="205">
        <v>0</v>
      </c>
      <c r="AB97" s="205">
        <v>0</v>
      </c>
      <c r="AC97" s="205">
        <v>0</v>
      </c>
      <c r="AD97" s="205">
        <v>0</v>
      </c>
    </row>
    <row r="98" spans="1:30" ht="12.75">
      <c r="A98" s="169">
        <v>91</v>
      </c>
      <c r="B98" s="172" t="s">
        <v>89</v>
      </c>
      <c r="C98" s="258" t="s">
        <v>90</v>
      </c>
      <c r="D98" s="205">
        <v>33895232</v>
      </c>
      <c r="E98" s="205">
        <v>0</v>
      </c>
      <c r="F98" s="205">
        <v>0</v>
      </c>
      <c r="G98" s="205">
        <v>33895232</v>
      </c>
      <c r="H98" s="205">
        <v>300000</v>
      </c>
      <c r="I98" s="205">
        <v>0</v>
      </c>
      <c r="J98" s="205">
        <v>0</v>
      </c>
      <c r="K98" s="205">
        <v>300000</v>
      </c>
      <c r="L98" s="205">
        <v>350930</v>
      </c>
      <c r="M98" s="205">
        <v>0</v>
      </c>
      <c r="N98" s="205">
        <v>0</v>
      </c>
      <c r="O98" s="205">
        <v>350930</v>
      </c>
      <c r="P98" s="205">
        <v>33244302</v>
      </c>
      <c r="Q98" s="205">
        <v>0</v>
      </c>
      <c r="R98" s="205">
        <v>0</v>
      </c>
      <c r="S98" s="205">
        <v>33244302</v>
      </c>
      <c r="T98" s="205">
        <v>0</v>
      </c>
      <c r="U98" s="205">
        <v>0</v>
      </c>
      <c r="V98" s="205">
        <v>0</v>
      </c>
      <c r="W98" s="205">
        <v>0</v>
      </c>
      <c r="X98" s="205">
        <v>0</v>
      </c>
      <c r="Y98" s="205">
        <v>0</v>
      </c>
      <c r="Z98" s="205">
        <v>0</v>
      </c>
      <c r="AA98" s="205">
        <v>0</v>
      </c>
      <c r="AB98" s="205">
        <v>0</v>
      </c>
      <c r="AC98" s="205">
        <v>0</v>
      </c>
      <c r="AD98" s="205">
        <v>0</v>
      </c>
    </row>
    <row r="99" spans="1:30" ht="12.75">
      <c r="A99" s="169">
        <v>92</v>
      </c>
      <c r="B99" s="172" t="s">
        <v>91</v>
      </c>
      <c r="C99" s="258" t="s">
        <v>92</v>
      </c>
      <c r="D99" s="205">
        <v>56392899</v>
      </c>
      <c r="E99" s="205">
        <v>0</v>
      </c>
      <c r="F99" s="205">
        <v>0</v>
      </c>
      <c r="G99" s="205">
        <v>56392899</v>
      </c>
      <c r="H99" s="205">
        <v>230000</v>
      </c>
      <c r="I99" s="205">
        <v>0</v>
      </c>
      <c r="J99" s="205">
        <v>0</v>
      </c>
      <c r="K99" s="205">
        <v>230000</v>
      </c>
      <c r="L99" s="205">
        <v>1500000</v>
      </c>
      <c r="M99" s="205">
        <v>0</v>
      </c>
      <c r="N99" s="205">
        <v>0</v>
      </c>
      <c r="O99" s="205">
        <v>1500000</v>
      </c>
      <c r="P99" s="205">
        <v>54662899</v>
      </c>
      <c r="Q99" s="205">
        <v>0</v>
      </c>
      <c r="R99" s="205">
        <v>0</v>
      </c>
      <c r="S99" s="205">
        <v>54662899</v>
      </c>
      <c r="T99" s="205">
        <v>0</v>
      </c>
      <c r="U99" s="205">
        <v>0</v>
      </c>
      <c r="V99" s="205">
        <v>0</v>
      </c>
      <c r="W99" s="205">
        <v>0</v>
      </c>
      <c r="X99" s="205">
        <v>0</v>
      </c>
      <c r="Y99" s="205">
        <v>0</v>
      </c>
      <c r="Z99" s="205">
        <v>0</v>
      </c>
      <c r="AA99" s="205">
        <v>0</v>
      </c>
      <c r="AB99" s="205">
        <v>0</v>
      </c>
      <c r="AC99" s="205">
        <v>0</v>
      </c>
      <c r="AD99" s="205">
        <v>0</v>
      </c>
    </row>
    <row r="100" spans="1:30" ht="12.75">
      <c r="A100" s="169">
        <v>93</v>
      </c>
      <c r="B100" s="172" t="s">
        <v>93</v>
      </c>
      <c r="C100" s="258" t="s">
        <v>94</v>
      </c>
      <c r="D100" s="205">
        <v>21121893.4</v>
      </c>
      <c r="E100" s="205">
        <v>0</v>
      </c>
      <c r="F100" s="205">
        <v>0</v>
      </c>
      <c r="G100" s="205">
        <v>21121893.4</v>
      </c>
      <c r="H100" s="205">
        <v>316828</v>
      </c>
      <c r="I100" s="205">
        <v>0</v>
      </c>
      <c r="J100" s="205">
        <v>0</v>
      </c>
      <c r="K100" s="205">
        <v>316828</v>
      </c>
      <c r="L100" s="205">
        <v>117181.13</v>
      </c>
      <c r="M100" s="205">
        <v>0</v>
      </c>
      <c r="N100" s="205">
        <v>0</v>
      </c>
      <c r="O100" s="205">
        <v>117181.13</v>
      </c>
      <c r="P100" s="205">
        <v>20687884.3</v>
      </c>
      <c r="Q100" s="205">
        <v>0</v>
      </c>
      <c r="R100" s="205">
        <v>0</v>
      </c>
      <c r="S100" s="205">
        <v>20687884.3</v>
      </c>
      <c r="T100" s="205">
        <v>0</v>
      </c>
      <c r="U100" s="205">
        <v>0</v>
      </c>
      <c r="V100" s="205">
        <v>0</v>
      </c>
      <c r="W100" s="205">
        <v>0</v>
      </c>
      <c r="X100" s="205">
        <v>0</v>
      </c>
      <c r="Y100" s="205">
        <v>0</v>
      </c>
      <c r="Z100" s="205">
        <v>0</v>
      </c>
      <c r="AA100" s="205">
        <v>0</v>
      </c>
      <c r="AB100" s="205">
        <v>0</v>
      </c>
      <c r="AC100" s="205">
        <v>0</v>
      </c>
      <c r="AD100" s="205">
        <v>0</v>
      </c>
    </row>
    <row r="101" spans="1:30" ht="12.75">
      <c r="A101" s="169">
        <v>94</v>
      </c>
      <c r="B101" s="172" t="s">
        <v>95</v>
      </c>
      <c r="C101" s="258" t="s">
        <v>96</v>
      </c>
      <c r="D101" s="205">
        <v>53806791</v>
      </c>
      <c r="E101" s="205">
        <v>0</v>
      </c>
      <c r="F101" s="205">
        <v>0</v>
      </c>
      <c r="G101" s="205">
        <v>53806791</v>
      </c>
      <c r="H101" s="205">
        <v>350000</v>
      </c>
      <c r="I101" s="205">
        <v>0</v>
      </c>
      <c r="J101" s="205">
        <v>0</v>
      </c>
      <c r="K101" s="205">
        <v>350000</v>
      </c>
      <c r="L101" s="205">
        <v>198892</v>
      </c>
      <c r="M101" s="205">
        <v>0</v>
      </c>
      <c r="N101" s="205">
        <v>0</v>
      </c>
      <c r="O101" s="205">
        <v>198892</v>
      </c>
      <c r="P101" s="205">
        <v>53257899</v>
      </c>
      <c r="Q101" s="205">
        <v>0</v>
      </c>
      <c r="R101" s="205">
        <v>0</v>
      </c>
      <c r="S101" s="205">
        <v>53257899</v>
      </c>
      <c r="T101" s="205">
        <v>0</v>
      </c>
      <c r="U101" s="205">
        <v>0</v>
      </c>
      <c r="V101" s="205">
        <v>0</v>
      </c>
      <c r="W101" s="205">
        <v>0</v>
      </c>
      <c r="X101" s="205">
        <v>0</v>
      </c>
      <c r="Y101" s="205">
        <v>0</v>
      </c>
      <c r="Z101" s="205">
        <v>0</v>
      </c>
      <c r="AA101" s="205">
        <v>0</v>
      </c>
      <c r="AB101" s="205">
        <v>0</v>
      </c>
      <c r="AC101" s="205">
        <v>0</v>
      </c>
      <c r="AD101" s="205">
        <v>0</v>
      </c>
    </row>
    <row r="102" spans="1:30" ht="12.75">
      <c r="A102" s="169">
        <v>95</v>
      </c>
      <c r="B102" s="172" t="s">
        <v>97</v>
      </c>
      <c r="C102" s="258" t="s">
        <v>98</v>
      </c>
      <c r="D102" s="205">
        <v>109445084</v>
      </c>
      <c r="E102" s="205">
        <v>0</v>
      </c>
      <c r="F102" s="205">
        <v>0</v>
      </c>
      <c r="G102" s="205">
        <v>109445084</v>
      </c>
      <c r="H102" s="205">
        <v>2279651</v>
      </c>
      <c r="I102" s="205">
        <v>0</v>
      </c>
      <c r="J102" s="205">
        <v>0</v>
      </c>
      <c r="K102" s="205">
        <v>2279651</v>
      </c>
      <c r="L102" s="205">
        <v>1776952</v>
      </c>
      <c r="M102" s="205">
        <v>0</v>
      </c>
      <c r="N102" s="205">
        <v>0</v>
      </c>
      <c r="O102" s="205">
        <v>1776952</v>
      </c>
      <c r="P102" s="205">
        <v>105388481</v>
      </c>
      <c r="Q102" s="205">
        <v>0</v>
      </c>
      <c r="R102" s="205">
        <v>0</v>
      </c>
      <c r="S102" s="205">
        <v>105388481</v>
      </c>
      <c r="T102" s="205">
        <v>0</v>
      </c>
      <c r="U102" s="205">
        <v>0</v>
      </c>
      <c r="V102" s="205">
        <v>0</v>
      </c>
      <c r="W102" s="205">
        <v>0</v>
      </c>
      <c r="X102" s="205">
        <v>0</v>
      </c>
      <c r="Y102" s="205">
        <v>0</v>
      </c>
      <c r="Z102" s="205">
        <v>0</v>
      </c>
      <c r="AA102" s="205">
        <v>0</v>
      </c>
      <c r="AB102" s="205">
        <v>0</v>
      </c>
      <c r="AC102" s="205">
        <v>0</v>
      </c>
      <c r="AD102" s="205">
        <v>0</v>
      </c>
    </row>
    <row r="103" spans="1:30" ht="12.75">
      <c r="A103" s="169">
        <v>96</v>
      </c>
      <c r="B103" s="172" t="s">
        <v>99</v>
      </c>
      <c r="C103" s="258" t="s">
        <v>100</v>
      </c>
      <c r="D103" s="205">
        <v>34860999.8</v>
      </c>
      <c r="E103" s="205">
        <v>0</v>
      </c>
      <c r="F103" s="205">
        <v>0</v>
      </c>
      <c r="G103" s="205">
        <v>34860999.8</v>
      </c>
      <c r="H103" s="205">
        <v>400000</v>
      </c>
      <c r="I103" s="205">
        <v>0</v>
      </c>
      <c r="J103" s="205">
        <v>0</v>
      </c>
      <c r="K103" s="205">
        <v>400000</v>
      </c>
      <c r="L103" s="205">
        <v>667168</v>
      </c>
      <c r="M103" s="205">
        <v>0</v>
      </c>
      <c r="N103" s="205">
        <v>0</v>
      </c>
      <c r="O103" s="205">
        <v>667168</v>
      </c>
      <c r="P103" s="205">
        <v>33793831.8</v>
      </c>
      <c r="Q103" s="205">
        <v>0</v>
      </c>
      <c r="R103" s="205">
        <v>0</v>
      </c>
      <c r="S103" s="205">
        <v>33793831.8</v>
      </c>
      <c r="T103" s="205">
        <v>0</v>
      </c>
      <c r="U103" s="205">
        <v>0</v>
      </c>
      <c r="V103" s="205">
        <v>0</v>
      </c>
      <c r="W103" s="205">
        <v>0</v>
      </c>
      <c r="X103" s="205">
        <v>0</v>
      </c>
      <c r="Y103" s="205">
        <v>0</v>
      </c>
      <c r="Z103" s="205">
        <v>0</v>
      </c>
      <c r="AA103" s="205">
        <v>0</v>
      </c>
      <c r="AB103" s="205">
        <v>0</v>
      </c>
      <c r="AC103" s="205">
        <v>0</v>
      </c>
      <c r="AD103" s="205">
        <v>0</v>
      </c>
    </row>
    <row r="104" spans="1:30" ht="12.75">
      <c r="A104" s="169">
        <v>97</v>
      </c>
      <c r="B104" s="172" t="s">
        <v>101</v>
      </c>
      <c r="C104" s="258" t="s">
        <v>102</v>
      </c>
      <c r="D104" s="205">
        <v>23400566</v>
      </c>
      <c r="E104" s="205">
        <v>0</v>
      </c>
      <c r="F104" s="205">
        <v>0</v>
      </c>
      <c r="G104" s="205">
        <v>23400566</v>
      </c>
      <c r="H104" s="205">
        <v>234005</v>
      </c>
      <c r="I104" s="205">
        <v>0</v>
      </c>
      <c r="J104" s="205">
        <v>0</v>
      </c>
      <c r="K104" s="205">
        <v>234005</v>
      </c>
      <c r="L104" s="205">
        <v>308893</v>
      </c>
      <c r="M104" s="205">
        <v>0</v>
      </c>
      <c r="N104" s="205">
        <v>0</v>
      </c>
      <c r="O104" s="205">
        <v>308893</v>
      </c>
      <c r="P104" s="205">
        <v>22857668</v>
      </c>
      <c r="Q104" s="205">
        <v>0</v>
      </c>
      <c r="R104" s="205">
        <v>0</v>
      </c>
      <c r="S104" s="205">
        <v>22857668</v>
      </c>
      <c r="T104" s="205">
        <v>0</v>
      </c>
      <c r="U104" s="205">
        <v>0</v>
      </c>
      <c r="V104" s="205">
        <v>0</v>
      </c>
      <c r="W104" s="205">
        <v>0</v>
      </c>
      <c r="X104" s="205">
        <v>0</v>
      </c>
      <c r="Y104" s="205">
        <v>0</v>
      </c>
      <c r="Z104" s="205">
        <v>0</v>
      </c>
      <c r="AA104" s="205">
        <v>0</v>
      </c>
      <c r="AB104" s="205">
        <v>0</v>
      </c>
      <c r="AC104" s="205">
        <v>0</v>
      </c>
      <c r="AD104" s="205">
        <v>0</v>
      </c>
    </row>
    <row r="105" spans="1:30" ht="12.75">
      <c r="A105" s="169">
        <v>98</v>
      </c>
      <c r="B105" s="172" t="s">
        <v>103</v>
      </c>
      <c r="C105" s="258" t="s">
        <v>104</v>
      </c>
      <c r="D105" s="205">
        <v>24425350.6</v>
      </c>
      <c r="E105" s="205">
        <v>0</v>
      </c>
      <c r="F105" s="205">
        <v>0</v>
      </c>
      <c r="G105" s="205">
        <v>24425350.6</v>
      </c>
      <c r="H105" s="205">
        <v>190000</v>
      </c>
      <c r="I105" s="205">
        <v>0</v>
      </c>
      <c r="J105" s="205">
        <v>0</v>
      </c>
      <c r="K105" s="205">
        <v>190000</v>
      </c>
      <c r="L105" s="205">
        <v>414000</v>
      </c>
      <c r="M105" s="205">
        <v>0</v>
      </c>
      <c r="N105" s="205">
        <v>0</v>
      </c>
      <c r="O105" s="205">
        <v>414000</v>
      </c>
      <c r="P105" s="205">
        <v>23821350.6</v>
      </c>
      <c r="Q105" s="205">
        <v>0</v>
      </c>
      <c r="R105" s="205">
        <v>0</v>
      </c>
      <c r="S105" s="205">
        <v>23821350.6</v>
      </c>
      <c r="T105" s="205">
        <v>0</v>
      </c>
      <c r="U105" s="205">
        <v>0</v>
      </c>
      <c r="V105" s="205">
        <v>0</v>
      </c>
      <c r="W105" s="205">
        <v>0</v>
      </c>
      <c r="X105" s="205">
        <v>0</v>
      </c>
      <c r="Y105" s="205">
        <v>0</v>
      </c>
      <c r="Z105" s="205">
        <v>0</v>
      </c>
      <c r="AA105" s="205">
        <v>0</v>
      </c>
      <c r="AB105" s="205">
        <v>0</v>
      </c>
      <c r="AC105" s="205">
        <v>0</v>
      </c>
      <c r="AD105" s="205">
        <v>0</v>
      </c>
    </row>
    <row r="106" spans="1:30" ht="12.75">
      <c r="A106" s="169">
        <v>99</v>
      </c>
      <c r="B106" s="172" t="s">
        <v>105</v>
      </c>
      <c r="C106" s="258" t="s">
        <v>106</v>
      </c>
      <c r="D106" s="205">
        <v>77542848</v>
      </c>
      <c r="E106" s="205">
        <v>0</v>
      </c>
      <c r="F106" s="205">
        <v>0</v>
      </c>
      <c r="G106" s="205">
        <v>77542848</v>
      </c>
      <c r="H106" s="205">
        <v>200000</v>
      </c>
      <c r="I106" s="205">
        <v>0</v>
      </c>
      <c r="J106" s="205">
        <v>0</v>
      </c>
      <c r="K106" s="205">
        <v>200000</v>
      </c>
      <c r="L106" s="205">
        <v>800000</v>
      </c>
      <c r="M106" s="205">
        <v>0</v>
      </c>
      <c r="N106" s="205">
        <v>0</v>
      </c>
      <c r="O106" s="205">
        <v>800000</v>
      </c>
      <c r="P106" s="205">
        <v>76542848</v>
      </c>
      <c r="Q106" s="205">
        <v>0</v>
      </c>
      <c r="R106" s="205">
        <v>0</v>
      </c>
      <c r="S106" s="205">
        <v>76542848</v>
      </c>
      <c r="T106" s="205">
        <v>0</v>
      </c>
      <c r="U106" s="205">
        <v>0</v>
      </c>
      <c r="V106" s="205">
        <v>0</v>
      </c>
      <c r="W106" s="205">
        <v>0</v>
      </c>
      <c r="X106" s="205">
        <v>0</v>
      </c>
      <c r="Y106" s="205">
        <v>0</v>
      </c>
      <c r="Z106" s="205">
        <v>0</v>
      </c>
      <c r="AA106" s="205">
        <v>0</v>
      </c>
      <c r="AB106" s="205">
        <v>0</v>
      </c>
      <c r="AC106" s="205">
        <v>0</v>
      </c>
      <c r="AD106" s="205">
        <v>0</v>
      </c>
    </row>
    <row r="107" spans="1:30" ht="12.75">
      <c r="A107" s="169">
        <v>100</v>
      </c>
      <c r="B107" s="172" t="s">
        <v>107</v>
      </c>
      <c r="C107" s="258" t="s">
        <v>108</v>
      </c>
      <c r="D107" s="205">
        <v>42907467</v>
      </c>
      <c r="E107" s="205">
        <v>0</v>
      </c>
      <c r="F107" s="205">
        <v>-50971</v>
      </c>
      <c r="G107" s="205">
        <v>42856496</v>
      </c>
      <c r="H107" s="205">
        <v>582380.46</v>
      </c>
      <c r="I107" s="205">
        <v>0</v>
      </c>
      <c r="J107" s="205">
        <v>0</v>
      </c>
      <c r="K107" s="205">
        <v>582380.46</v>
      </c>
      <c r="L107" s="205">
        <v>607046.79</v>
      </c>
      <c r="M107" s="205">
        <v>0</v>
      </c>
      <c r="N107" s="205">
        <v>0</v>
      </c>
      <c r="O107" s="205">
        <v>607046.79</v>
      </c>
      <c r="P107" s="205">
        <v>41718039.8</v>
      </c>
      <c r="Q107" s="205">
        <v>0</v>
      </c>
      <c r="R107" s="205">
        <v>-50971</v>
      </c>
      <c r="S107" s="205">
        <v>41667068.8</v>
      </c>
      <c r="T107" s="205">
        <v>63585</v>
      </c>
      <c r="U107" s="205">
        <v>0</v>
      </c>
      <c r="V107" s="205">
        <v>0</v>
      </c>
      <c r="W107" s="205">
        <v>63585</v>
      </c>
      <c r="X107" s="205">
        <v>0</v>
      </c>
      <c r="Y107" s="205">
        <v>2710</v>
      </c>
      <c r="Z107" s="205">
        <v>0</v>
      </c>
      <c r="AA107" s="205">
        <v>0</v>
      </c>
      <c r="AB107" s="205">
        <v>0</v>
      </c>
      <c r="AC107" s="205">
        <v>0</v>
      </c>
      <c r="AD107" s="205">
        <v>63585</v>
      </c>
    </row>
    <row r="108" spans="1:30" ht="12.75">
      <c r="A108" s="169">
        <v>101</v>
      </c>
      <c r="B108" s="172" t="s">
        <v>109</v>
      </c>
      <c r="C108" s="258" t="s">
        <v>110</v>
      </c>
      <c r="D108" s="205">
        <v>24456717.1</v>
      </c>
      <c r="E108" s="205">
        <v>0</v>
      </c>
      <c r="F108" s="205">
        <v>0</v>
      </c>
      <c r="G108" s="205">
        <v>24456717.1</v>
      </c>
      <c r="H108" s="205">
        <v>350000</v>
      </c>
      <c r="I108" s="205">
        <v>0</v>
      </c>
      <c r="J108" s="205">
        <v>0</v>
      </c>
      <c r="K108" s="205">
        <v>350000</v>
      </c>
      <c r="L108" s="205">
        <v>980000</v>
      </c>
      <c r="M108" s="205">
        <v>0</v>
      </c>
      <c r="N108" s="205">
        <v>0</v>
      </c>
      <c r="O108" s="205">
        <v>980000</v>
      </c>
      <c r="P108" s="205">
        <v>23126717.1</v>
      </c>
      <c r="Q108" s="205">
        <v>0</v>
      </c>
      <c r="R108" s="205">
        <v>0</v>
      </c>
      <c r="S108" s="205">
        <v>23126717.1</v>
      </c>
      <c r="T108" s="205">
        <v>0</v>
      </c>
      <c r="U108" s="205">
        <v>0</v>
      </c>
      <c r="V108" s="205">
        <v>0</v>
      </c>
      <c r="W108" s="205">
        <v>0</v>
      </c>
      <c r="X108" s="205">
        <v>0</v>
      </c>
      <c r="Y108" s="205">
        <v>0</v>
      </c>
      <c r="Z108" s="205">
        <v>0</v>
      </c>
      <c r="AA108" s="205">
        <v>0</v>
      </c>
      <c r="AB108" s="205">
        <v>0</v>
      </c>
      <c r="AC108" s="205">
        <v>0</v>
      </c>
      <c r="AD108" s="205">
        <v>0</v>
      </c>
    </row>
    <row r="109" spans="1:30" ht="12.75">
      <c r="A109" s="169">
        <v>102</v>
      </c>
      <c r="B109" s="172" t="s">
        <v>111</v>
      </c>
      <c r="C109" s="258" t="s">
        <v>112</v>
      </c>
      <c r="D109" s="205">
        <v>22163952</v>
      </c>
      <c r="E109" s="205">
        <v>0</v>
      </c>
      <c r="F109" s="205">
        <v>0</v>
      </c>
      <c r="G109" s="205">
        <v>22163952</v>
      </c>
      <c r="H109" s="205">
        <v>165000</v>
      </c>
      <c r="I109" s="205">
        <v>0</v>
      </c>
      <c r="J109" s="205">
        <v>0</v>
      </c>
      <c r="K109" s="205">
        <v>165000</v>
      </c>
      <c r="L109" s="205">
        <v>472092</v>
      </c>
      <c r="M109" s="205">
        <v>0</v>
      </c>
      <c r="N109" s="205">
        <v>0</v>
      </c>
      <c r="O109" s="205">
        <v>472092</v>
      </c>
      <c r="P109" s="205">
        <v>21526860</v>
      </c>
      <c r="Q109" s="205">
        <v>0</v>
      </c>
      <c r="R109" s="205">
        <v>0</v>
      </c>
      <c r="S109" s="205">
        <v>21526860</v>
      </c>
      <c r="T109" s="205">
        <v>40000</v>
      </c>
      <c r="U109" s="205">
        <v>0</v>
      </c>
      <c r="V109" s="205">
        <v>0</v>
      </c>
      <c r="W109" s="205">
        <v>40000</v>
      </c>
      <c r="X109" s="205">
        <v>0</v>
      </c>
      <c r="Y109" s="205">
        <v>0</v>
      </c>
      <c r="Z109" s="205">
        <v>0</v>
      </c>
      <c r="AA109" s="205">
        <v>0</v>
      </c>
      <c r="AB109" s="205">
        <v>0</v>
      </c>
      <c r="AC109" s="205">
        <v>0</v>
      </c>
      <c r="AD109" s="205">
        <v>40000</v>
      </c>
    </row>
    <row r="110" spans="1:30" ht="12.75">
      <c r="A110" s="169">
        <v>103</v>
      </c>
      <c r="B110" s="172" t="s">
        <v>113</v>
      </c>
      <c r="C110" s="258" t="s">
        <v>114</v>
      </c>
      <c r="D110" s="205">
        <v>11627528</v>
      </c>
      <c r="E110" s="205">
        <v>0</v>
      </c>
      <c r="F110" s="205">
        <v>0</v>
      </c>
      <c r="G110" s="205">
        <v>11627528</v>
      </c>
      <c r="H110" s="205">
        <v>116275</v>
      </c>
      <c r="I110" s="205">
        <v>0</v>
      </c>
      <c r="J110" s="205">
        <v>0</v>
      </c>
      <c r="K110" s="205">
        <v>116275</v>
      </c>
      <c r="L110" s="205">
        <v>106722</v>
      </c>
      <c r="M110" s="205">
        <v>0</v>
      </c>
      <c r="N110" s="205">
        <v>0</v>
      </c>
      <c r="O110" s="205">
        <v>106722</v>
      </c>
      <c r="P110" s="205">
        <v>11404531</v>
      </c>
      <c r="Q110" s="205">
        <v>0</v>
      </c>
      <c r="R110" s="205">
        <v>0</v>
      </c>
      <c r="S110" s="205">
        <v>11404531</v>
      </c>
      <c r="T110" s="205">
        <v>0</v>
      </c>
      <c r="U110" s="205">
        <v>0</v>
      </c>
      <c r="V110" s="205">
        <v>0</v>
      </c>
      <c r="W110" s="205">
        <v>0</v>
      </c>
      <c r="X110" s="205">
        <v>0</v>
      </c>
      <c r="Y110" s="205">
        <v>0</v>
      </c>
      <c r="Z110" s="205">
        <v>0</v>
      </c>
      <c r="AA110" s="205">
        <v>0</v>
      </c>
      <c r="AB110" s="205">
        <v>0</v>
      </c>
      <c r="AC110" s="205">
        <v>0</v>
      </c>
      <c r="AD110" s="205">
        <v>0</v>
      </c>
    </row>
    <row r="111" spans="1:30" ht="12.75">
      <c r="A111" s="169">
        <v>104</v>
      </c>
      <c r="B111" s="172" t="s">
        <v>115</v>
      </c>
      <c r="C111" s="258" t="s">
        <v>116</v>
      </c>
      <c r="D111" s="205">
        <v>21413844</v>
      </c>
      <c r="E111" s="205">
        <v>0</v>
      </c>
      <c r="F111" s="205">
        <v>1879290</v>
      </c>
      <c r="G111" s="205">
        <v>23293134</v>
      </c>
      <c r="H111" s="205">
        <v>250000</v>
      </c>
      <c r="I111" s="205">
        <v>0</v>
      </c>
      <c r="J111" s="205">
        <v>0</v>
      </c>
      <c r="K111" s="205">
        <v>250000</v>
      </c>
      <c r="L111" s="205">
        <v>205317</v>
      </c>
      <c r="M111" s="205">
        <v>0</v>
      </c>
      <c r="N111" s="205">
        <v>0</v>
      </c>
      <c r="O111" s="205">
        <v>205317</v>
      </c>
      <c r="P111" s="205">
        <v>20958527</v>
      </c>
      <c r="Q111" s="205">
        <v>0</v>
      </c>
      <c r="R111" s="205">
        <v>1879290</v>
      </c>
      <c r="S111" s="205">
        <v>22837817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5">
        <v>0</v>
      </c>
      <c r="Z111" s="205">
        <v>0</v>
      </c>
      <c r="AA111" s="205">
        <v>1914176</v>
      </c>
      <c r="AB111" s="205">
        <v>0</v>
      </c>
      <c r="AC111" s="205">
        <v>0</v>
      </c>
      <c r="AD111" s="205">
        <v>0</v>
      </c>
    </row>
    <row r="112" spans="1:30" ht="12.75">
      <c r="A112" s="169">
        <v>105</v>
      </c>
      <c r="B112" s="172" t="s">
        <v>117</v>
      </c>
      <c r="C112" s="258" t="s">
        <v>118</v>
      </c>
      <c r="D112" s="205">
        <v>90900599</v>
      </c>
      <c r="E112" s="205">
        <v>1199259</v>
      </c>
      <c r="F112" s="205">
        <v>0</v>
      </c>
      <c r="G112" s="205">
        <v>92099858</v>
      </c>
      <c r="H112" s="205">
        <v>1100000</v>
      </c>
      <c r="I112" s="205">
        <v>16701</v>
      </c>
      <c r="J112" s="205">
        <v>0</v>
      </c>
      <c r="K112" s="205">
        <v>1116701</v>
      </c>
      <c r="L112" s="205">
        <v>900000</v>
      </c>
      <c r="M112" s="205">
        <v>0</v>
      </c>
      <c r="N112" s="205">
        <v>0</v>
      </c>
      <c r="O112" s="205">
        <v>900000</v>
      </c>
      <c r="P112" s="205">
        <v>88900599</v>
      </c>
      <c r="Q112" s="205">
        <v>1182558</v>
      </c>
      <c r="R112" s="205">
        <v>0</v>
      </c>
      <c r="S112" s="205">
        <v>90083157</v>
      </c>
      <c r="T112" s="205">
        <v>0</v>
      </c>
      <c r="U112" s="205">
        <v>0</v>
      </c>
      <c r="V112" s="205">
        <v>0</v>
      </c>
      <c r="W112" s="205">
        <v>0</v>
      </c>
      <c r="X112" s="205">
        <v>-31954</v>
      </c>
      <c r="Y112" s="205">
        <v>0</v>
      </c>
      <c r="Z112" s="205">
        <v>1103905</v>
      </c>
      <c r="AA112" s="205">
        <v>0</v>
      </c>
      <c r="AB112" s="205">
        <v>46699</v>
      </c>
      <c r="AC112" s="205">
        <v>0</v>
      </c>
      <c r="AD112" s="205">
        <v>0</v>
      </c>
    </row>
    <row r="113" spans="1:30" ht="12.75">
      <c r="A113" s="169">
        <v>106</v>
      </c>
      <c r="B113" s="172" t="s">
        <v>119</v>
      </c>
      <c r="C113" s="258" t="s">
        <v>120</v>
      </c>
      <c r="D113" s="205">
        <v>21683300.9</v>
      </c>
      <c r="E113" s="205">
        <v>0</v>
      </c>
      <c r="F113" s="205">
        <v>0</v>
      </c>
      <c r="G113" s="205">
        <v>21683300.9</v>
      </c>
      <c r="H113" s="205">
        <v>201000</v>
      </c>
      <c r="I113" s="205">
        <v>0</v>
      </c>
      <c r="J113" s="205">
        <v>0</v>
      </c>
      <c r="K113" s="205">
        <v>201000</v>
      </c>
      <c r="L113" s="205">
        <v>309924</v>
      </c>
      <c r="M113" s="205">
        <v>0</v>
      </c>
      <c r="N113" s="205">
        <v>0</v>
      </c>
      <c r="O113" s="205">
        <v>309924</v>
      </c>
      <c r="P113" s="205">
        <v>21172376.9</v>
      </c>
      <c r="Q113" s="205">
        <v>0</v>
      </c>
      <c r="R113" s="205">
        <v>0</v>
      </c>
      <c r="S113" s="205">
        <v>21172376.9</v>
      </c>
      <c r="T113" s="205">
        <v>0</v>
      </c>
      <c r="U113" s="205">
        <v>0</v>
      </c>
      <c r="V113" s="205">
        <v>0</v>
      </c>
      <c r="W113" s="205">
        <v>0</v>
      </c>
      <c r="X113" s="205">
        <v>0</v>
      </c>
      <c r="Y113" s="205">
        <v>0</v>
      </c>
      <c r="Z113" s="205">
        <v>0</v>
      </c>
      <c r="AA113" s="205">
        <v>0</v>
      </c>
      <c r="AB113" s="205">
        <v>0</v>
      </c>
      <c r="AC113" s="205">
        <v>0</v>
      </c>
      <c r="AD113" s="205">
        <v>0</v>
      </c>
    </row>
    <row r="114" spans="1:30" ht="12.75">
      <c r="A114" s="169">
        <v>107</v>
      </c>
      <c r="B114" s="172" t="s">
        <v>121</v>
      </c>
      <c r="C114" s="258" t="s">
        <v>122</v>
      </c>
      <c r="D114" s="205">
        <v>52986566</v>
      </c>
      <c r="E114" s="205">
        <v>0</v>
      </c>
      <c r="F114" s="205">
        <v>0</v>
      </c>
      <c r="G114" s="205">
        <v>52986566</v>
      </c>
      <c r="H114" s="205">
        <v>531427</v>
      </c>
      <c r="I114" s="205">
        <v>0</v>
      </c>
      <c r="J114" s="205">
        <v>0</v>
      </c>
      <c r="K114" s="205">
        <v>531427</v>
      </c>
      <c r="L114" s="205">
        <v>534992</v>
      </c>
      <c r="M114" s="205">
        <v>0</v>
      </c>
      <c r="N114" s="205">
        <v>0</v>
      </c>
      <c r="O114" s="205">
        <v>534992</v>
      </c>
      <c r="P114" s="205">
        <v>51920147</v>
      </c>
      <c r="Q114" s="205">
        <v>0</v>
      </c>
      <c r="R114" s="205">
        <v>0</v>
      </c>
      <c r="S114" s="205">
        <v>51920147</v>
      </c>
      <c r="T114" s="205">
        <v>0</v>
      </c>
      <c r="U114" s="205">
        <v>0</v>
      </c>
      <c r="V114" s="205">
        <v>0</v>
      </c>
      <c r="W114" s="205">
        <v>0</v>
      </c>
      <c r="X114" s="205">
        <v>0</v>
      </c>
      <c r="Y114" s="205">
        <v>0</v>
      </c>
      <c r="Z114" s="205">
        <v>0</v>
      </c>
      <c r="AA114" s="205">
        <v>0</v>
      </c>
      <c r="AB114" s="205">
        <v>0</v>
      </c>
      <c r="AC114" s="205">
        <v>0</v>
      </c>
      <c r="AD114" s="205">
        <v>0</v>
      </c>
    </row>
    <row r="115" spans="1:30" ht="12.75">
      <c r="A115" s="169">
        <v>108</v>
      </c>
      <c r="B115" s="172" t="s">
        <v>123</v>
      </c>
      <c r="C115" s="258" t="s">
        <v>124</v>
      </c>
      <c r="D115" s="205">
        <v>14162532.2</v>
      </c>
      <c r="E115" s="205">
        <v>0</v>
      </c>
      <c r="F115" s="205">
        <v>153566.44</v>
      </c>
      <c r="G115" s="205">
        <v>14316098.7</v>
      </c>
      <c r="H115" s="205">
        <v>230000</v>
      </c>
      <c r="I115" s="205">
        <v>0</v>
      </c>
      <c r="J115" s="205">
        <v>3500</v>
      </c>
      <c r="K115" s="205">
        <v>233500</v>
      </c>
      <c r="L115" s="205">
        <v>1377003.83</v>
      </c>
      <c r="M115" s="205">
        <v>0</v>
      </c>
      <c r="N115" s="205">
        <v>0</v>
      </c>
      <c r="O115" s="205">
        <v>1377003.83</v>
      </c>
      <c r="P115" s="205">
        <v>12555528.4</v>
      </c>
      <c r="Q115" s="205">
        <v>0</v>
      </c>
      <c r="R115" s="205">
        <v>150066.44</v>
      </c>
      <c r="S115" s="205">
        <v>12705594.8</v>
      </c>
      <c r="T115" s="205">
        <v>0</v>
      </c>
      <c r="U115" s="205">
        <v>0</v>
      </c>
      <c r="V115" s="205">
        <v>0</v>
      </c>
      <c r="W115" s="205">
        <v>0</v>
      </c>
      <c r="X115" s="205">
        <v>0</v>
      </c>
      <c r="Y115" s="205">
        <v>2357.24</v>
      </c>
      <c r="Z115" s="205">
        <v>0</v>
      </c>
      <c r="AA115" s="205">
        <v>416392</v>
      </c>
      <c r="AB115" s="205">
        <v>0</v>
      </c>
      <c r="AC115" s="205">
        <v>0</v>
      </c>
      <c r="AD115" s="205">
        <v>0</v>
      </c>
    </row>
    <row r="116" spans="1:30" ht="12.75">
      <c r="A116" s="169">
        <v>109</v>
      </c>
      <c r="B116" s="172" t="s">
        <v>125</v>
      </c>
      <c r="C116" s="258" t="s">
        <v>126</v>
      </c>
      <c r="D116" s="205">
        <v>23219964</v>
      </c>
      <c r="E116" s="205">
        <v>0</v>
      </c>
      <c r="F116" s="205">
        <v>0</v>
      </c>
      <c r="G116" s="205">
        <v>23219964</v>
      </c>
      <c r="H116" s="205">
        <v>1162685</v>
      </c>
      <c r="I116" s="205">
        <v>0</v>
      </c>
      <c r="J116" s="205">
        <v>0</v>
      </c>
      <c r="K116" s="205">
        <v>1162685</v>
      </c>
      <c r="L116" s="205">
        <v>133000</v>
      </c>
      <c r="M116" s="205">
        <v>0</v>
      </c>
      <c r="N116" s="205">
        <v>0</v>
      </c>
      <c r="O116" s="205">
        <v>133000</v>
      </c>
      <c r="P116" s="205">
        <v>21924279</v>
      </c>
      <c r="Q116" s="205">
        <v>0</v>
      </c>
      <c r="R116" s="205">
        <v>0</v>
      </c>
      <c r="S116" s="205">
        <v>21924279</v>
      </c>
      <c r="T116" s="205">
        <v>0</v>
      </c>
      <c r="U116" s="205">
        <v>0</v>
      </c>
      <c r="V116" s="205">
        <v>0</v>
      </c>
      <c r="W116" s="205">
        <v>0</v>
      </c>
      <c r="X116" s="205">
        <v>0</v>
      </c>
      <c r="Y116" s="205">
        <v>0</v>
      </c>
      <c r="Z116" s="205">
        <v>0</v>
      </c>
      <c r="AA116" s="205">
        <v>0</v>
      </c>
      <c r="AB116" s="205">
        <v>0</v>
      </c>
      <c r="AC116" s="205">
        <v>0</v>
      </c>
      <c r="AD116" s="205">
        <v>0</v>
      </c>
    </row>
    <row r="117" spans="1:30" ht="12.75">
      <c r="A117" s="169">
        <v>110</v>
      </c>
      <c r="B117" s="172" t="s">
        <v>127</v>
      </c>
      <c r="C117" s="258" t="s">
        <v>128</v>
      </c>
      <c r="D117" s="205">
        <v>28911246.2</v>
      </c>
      <c r="E117" s="205">
        <v>0</v>
      </c>
      <c r="F117" s="205">
        <v>141696.28</v>
      </c>
      <c r="G117" s="205">
        <v>29052942.5</v>
      </c>
      <c r="H117" s="205">
        <v>263000</v>
      </c>
      <c r="I117" s="205">
        <v>0</v>
      </c>
      <c r="J117" s="205">
        <v>33000</v>
      </c>
      <c r="K117" s="205">
        <v>296000</v>
      </c>
      <c r="L117" s="205">
        <v>151000</v>
      </c>
      <c r="M117" s="205">
        <v>0</v>
      </c>
      <c r="N117" s="205">
        <v>7695</v>
      </c>
      <c r="O117" s="205">
        <v>158695</v>
      </c>
      <c r="P117" s="205">
        <v>28497246.2</v>
      </c>
      <c r="Q117" s="205">
        <v>0</v>
      </c>
      <c r="R117" s="205">
        <v>101001.28</v>
      </c>
      <c r="S117" s="205">
        <v>28598247.5</v>
      </c>
      <c r="T117" s="205">
        <v>0</v>
      </c>
      <c r="U117" s="205">
        <v>0</v>
      </c>
      <c r="V117" s="205">
        <v>0</v>
      </c>
      <c r="W117" s="205">
        <v>0</v>
      </c>
      <c r="X117" s="205">
        <v>0</v>
      </c>
      <c r="Y117" s="205">
        <v>-38428.58</v>
      </c>
      <c r="Z117" s="205">
        <v>0</v>
      </c>
      <c r="AA117" s="205">
        <v>272687</v>
      </c>
      <c r="AB117" s="205">
        <v>0</v>
      </c>
      <c r="AC117" s="205">
        <v>0</v>
      </c>
      <c r="AD117" s="205">
        <v>0</v>
      </c>
    </row>
    <row r="118" spans="1:30" ht="12.75">
      <c r="A118" s="169">
        <v>111</v>
      </c>
      <c r="B118" s="172" t="s">
        <v>129</v>
      </c>
      <c r="C118" s="258" t="s">
        <v>130</v>
      </c>
      <c r="D118" s="205">
        <v>69314675</v>
      </c>
      <c r="E118" s="205">
        <v>0</v>
      </c>
      <c r="F118" s="205">
        <v>0</v>
      </c>
      <c r="G118" s="205">
        <v>69314675</v>
      </c>
      <c r="H118" s="205">
        <v>1043000</v>
      </c>
      <c r="I118" s="205">
        <v>0</v>
      </c>
      <c r="J118" s="205">
        <v>0</v>
      </c>
      <c r="K118" s="205">
        <v>1043000</v>
      </c>
      <c r="L118" s="205">
        <v>859000</v>
      </c>
      <c r="M118" s="205">
        <v>0</v>
      </c>
      <c r="N118" s="205">
        <v>0</v>
      </c>
      <c r="O118" s="205">
        <v>859000</v>
      </c>
      <c r="P118" s="205">
        <v>67412675</v>
      </c>
      <c r="Q118" s="205">
        <v>0</v>
      </c>
      <c r="R118" s="205">
        <v>0</v>
      </c>
      <c r="S118" s="205">
        <v>67412675</v>
      </c>
      <c r="T118" s="205">
        <v>0</v>
      </c>
      <c r="U118" s="205">
        <v>0</v>
      </c>
      <c r="V118" s="205">
        <v>0</v>
      </c>
      <c r="W118" s="205">
        <v>0</v>
      </c>
      <c r="X118" s="205">
        <v>0</v>
      </c>
      <c r="Y118" s="205">
        <v>0</v>
      </c>
      <c r="Z118" s="205">
        <v>0</v>
      </c>
      <c r="AA118" s="205">
        <v>0</v>
      </c>
      <c r="AB118" s="205">
        <v>0</v>
      </c>
      <c r="AC118" s="205">
        <v>0</v>
      </c>
      <c r="AD118" s="205">
        <v>0</v>
      </c>
    </row>
    <row r="119" spans="1:30" ht="12.75">
      <c r="A119" s="169">
        <v>112</v>
      </c>
      <c r="B119" s="172" t="s">
        <v>131</v>
      </c>
      <c r="C119" s="258" t="s">
        <v>132</v>
      </c>
      <c r="D119" s="205">
        <v>80448762</v>
      </c>
      <c r="E119" s="205">
        <v>0</v>
      </c>
      <c r="F119" s="205">
        <v>0</v>
      </c>
      <c r="G119" s="205">
        <v>80448762</v>
      </c>
      <c r="H119" s="205">
        <v>401480</v>
      </c>
      <c r="I119" s="205">
        <v>0</v>
      </c>
      <c r="J119" s="205">
        <v>0</v>
      </c>
      <c r="K119" s="205">
        <v>401480</v>
      </c>
      <c r="L119" s="205">
        <v>2000000</v>
      </c>
      <c r="M119" s="205">
        <v>0</v>
      </c>
      <c r="N119" s="205">
        <v>0</v>
      </c>
      <c r="O119" s="205">
        <v>2000000</v>
      </c>
      <c r="P119" s="205">
        <v>78047282</v>
      </c>
      <c r="Q119" s="205">
        <v>0</v>
      </c>
      <c r="R119" s="205">
        <v>0</v>
      </c>
      <c r="S119" s="205">
        <v>78047282</v>
      </c>
      <c r="T119" s="205">
        <v>0</v>
      </c>
      <c r="U119" s="205">
        <v>0</v>
      </c>
      <c r="V119" s="205">
        <v>0</v>
      </c>
      <c r="W119" s="205">
        <v>0</v>
      </c>
      <c r="X119" s="205">
        <v>0</v>
      </c>
      <c r="Y119" s="205">
        <v>0</v>
      </c>
      <c r="Z119" s="205">
        <v>0</v>
      </c>
      <c r="AA119" s="205">
        <v>0</v>
      </c>
      <c r="AB119" s="205">
        <v>0</v>
      </c>
      <c r="AC119" s="205">
        <v>0</v>
      </c>
      <c r="AD119" s="205">
        <v>0</v>
      </c>
    </row>
    <row r="120" spans="1:30" ht="12.75">
      <c r="A120" s="169">
        <v>113</v>
      </c>
      <c r="B120" s="172" t="s">
        <v>133</v>
      </c>
      <c r="C120" s="258" t="s">
        <v>134</v>
      </c>
      <c r="D120" s="205">
        <v>94858222.1</v>
      </c>
      <c r="E120" s="205">
        <v>0</v>
      </c>
      <c r="F120" s="205">
        <v>0</v>
      </c>
      <c r="G120" s="205">
        <v>94858222.1</v>
      </c>
      <c r="H120" s="205">
        <v>1422873.33</v>
      </c>
      <c r="I120" s="205">
        <v>0</v>
      </c>
      <c r="J120" s="205">
        <v>0</v>
      </c>
      <c r="K120" s="205">
        <v>1422873.33</v>
      </c>
      <c r="L120" s="205">
        <v>1300000</v>
      </c>
      <c r="M120" s="205">
        <v>0</v>
      </c>
      <c r="N120" s="205">
        <v>0</v>
      </c>
      <c r="O120" s="205">
        <v>1300000</v>
      </c>
      <c r="P120" s="205">
        <v>92135348.8</v>
      </c>
      <c r="Q120" s="205">
        <v>0</v>
      </c>
      <c r="R120" s="205">
        <v>0</v>
      </c>
      <c r="S120" s="205">
        <v>92135348.8</v>
      </c>
      <c r="T120" s="205">
        <v>0</v>
      </c>
      <c r="U120" s="205">
        <v>0</v>
      </c>
      <c r="V120" s="205">
        <v>0</v>
      </c>
      <c r="W120" s="205">
        <v>0</v>
      </c>
      <c r="X120" s="205">
        <v>0</v>
      </c>
      <c r="Y120" s="205">
        <v>0</v>
      </c>
      <c r="Z120" s="205">
        <v>0</v>
      </c>
      <c r="AA120" s="205">
        <v>0</v>
      </c>
      <c r="AB120" s="205">
        <v>0</v>
      </c>
      <c r="AC120" s="205">
        <v>0</v>
      </c>
      <c r="AD120" s="205">
        <v>0</v>
      </c>
    </row>
    <row r="121" spans="1:30" ht="12.75">
      <c r="A121" s="169">
        <v>114</v>
      </c>
      <c r="B121" s="172" t="s">
        <v>135</v>
      </c>
      <c r="C121" s="258" t="s">
        <v>136</v>
      </c>
      <c r="D121" s="205">
        <v>52892041</v>
      </c>
      <c r="E121" s="205">
        <v>0</v>
      </c>
      <c r="F121" s="205">
        <v>169678</v>
      </c>
      <c r="G121" s="205">
        <v>53061719</v>
      </c>
      <c r="H121" s="205">
        <v>400000</v>
      </c>
      <c r="I121" s="205">
        <v>0</v>
      </c>
      <c r="J121" s="205">
        <v>0</v>
      </c>
      <c r="K121" s="205">
        <v>400000</v>
      </c>
      <c r="L121" s="205">
        <v>2000000</v>
      </c>
      <c r="M121" s="205">
        <v>0</v>
      </c>
      <c r="N121" s="205">
        <v>0</v>
      </c>
      <c r="O121" s="205">
        <v>2000000</v>
      </c>
      <c r="P121" s="205">
        <v>50492041</v>
      </c>
      <c r="Q121" s="205">
        <v>0</v>
      </c>
      <c r="R121" s="205">
        <v>169678</v>
      </c>
      <c r="S121" s="205">
        <v>50661719</v>
      </c>
      <c r="T121" s="205">
        <v>0</v>
      </c>
      <c r="U121" s="205">
        <v>0</v>
      </c>
      <c r="V121" s="205">
        <v>0</v>
      </c>
      <c r="W121" s="205">
        <v>0</v>
      </c>
      <c r="X121" s="205">
        <v>0</v>
      </c>
      <c r="Y121" s="205">
        <v>0</v>
      </c>
      <c r="Z121" s="205">
        <v>0</v>
      </c>
      <c r="AA121" s="205">
        <v>32399</v>
      </c>
      <c r="AB121" s="205">
        <v>0</v>
      </c>
      <c r="AC121" s="205">
        <v>137279</v>
      </c>
      <c r="AD121" s="205">
        <v>0</v>
      </c>
    </row>
    <row r="122" spans="1:30" ht="12.75">
      <c r="A122" s="169">
        <v>115</v>
      </c>
      <c r="B122" s="172" t="s">
        <v>137</v>
      </c>
      <c r="C122" s="258" t="s">
        <v>138</v>
      </c>
      <c r="D122" s="205">
        <v>27295537</v>
      </c>
      <c r="E122" s="205">
        <v>0</v>
      </c>
      <c r="F122" s="205">
        <v>0</v>
      </c>
      <c r="G122" s="205">
        <v>27295537</v>
      </c>
      <c r="H122" s="205">
        <v>417400</v>
      </c>
      <c r="I122" s="205">
        <v>0</v>
      </c>
      <c r="J122" s="205">
        <v>0</v>
      </c>
      <c r="K122" s="205">
        <v>417400</v>
      </c>
      <c r="L122" s="205">
        <v>500000</v>
      </c>
      <c r="M122" s="205">
        <v>0</v>
      </c>
      <c r="N122" s="205">
        <v>0</v>
      </c>
      <c r="O122" s="205">
        <v>500000</v>
      </c>
      <c r="P122" s="205">
        <v>26378137</v>
      </c>
      <c r="Q122" s="205">
        <v>0</v>
      </c>
      <c r="R122" s="205">
        <v>0</v>
      </c>
      <c r="S122" s="205">
        <v>26378137</v>
      </c>
      <c r="T122" s="205">
        <v>0</v>
      </c>
      <c r="U122" s="205">
        <v>0</v>
      </c>
      <c r="V122" s="205">
        <v>0</v>
      </c>
      <c r="W122" s="205">
        <v>0</v>
      </c>
      <c r="X122" s="205">
        <v>0</v>
      </c>
      <c r="Y122" s="205">
        <v>0</v>
      </c>
      <c r="Z122" s="205">
        <v>0</v>
      </c>
      <c r="AA122" s="205">
        <v>0</v>
      </c>
      <c r="AB122" s="205">
        <v>0</v>
      </c>
      <c r="AC122" s="205">
        <v>0</v>
      </c>
      <c r="AD122" s="205">
        <v>0</v>
      </c>
    </row>
    <row r="123" spans="1:30" ht="12.75">
      <c r="A123" s="169">
        <v>116</v>
      </c>
      <c r="B123" s="172" t="s">
        <v>139</v>
      </c>
      <c r="C123" s="258" t="s">
        <v>140</v>
      </c>
      <c r="D123" s="205">
        <v>196617391</v>
      </c>
      <c r="E123" s="205">
        <v>0</v>
      </c>
      <c r="F123" s="205">
        <v>0</v>
      </c>
      <c r="G123" s="205">
        <v>196617391</v>
      </c>
      <c r="H123" s="205">
        <v>4915435</v>
      </c>
      <c r="I123" s="205">
        <v>0</v>
      </c>
      <c r="J123" s="205">
        <v>0</v>
      </c>
      <c r="K123" s="205">
        <v>4915435</v>
      </c>
      <c r="L123" s="205">
        <v>13413206</v>
      </c>
      <c r="M123" s="205">
        <v>0</v>
      </c>
      <c r="N123" s="205">
        <v>0</v>
      </c>
      <c r="O123" s="205">
        <v>13413206</v>
      </c>
      <c r="P123" s="205">
        <v>178288750</v>
      </c>
      <c r="Q123" s="205">
        <v>0</v>
      </c>
      <c r="R123" s="205">
        <v>0</v>
      </c>
      <c r="S123" s="205">
        <v>178288750</v>
      </c>
      <c r="T123" s="205">
        <v>0</v>
      </c>
      <c r="U123" s="205">
        <v>0</v>
      </c>
      <c r="V123" s="205">
        <v>0</v>
      </c>
      <c r="W123" s="205">
        <v>0</v>
      </c>
      <c r="X123" s="205">
        <v>0</v>
      </c>
      <c r="Y123" s="205">
        <v>0</v>
      </c>
      <c r="Z123" s="205">
        <v>0</v>
      </c>
      <c r="AA123" s="205">
        <v>0</v>
      </c>
      <c r="AB123" s="205">
        <v>0</v>
      </c>
      <c r="AC123" s="205">
        <v>0</v>
      </c>
      <c r="AD123" s="205">
        <v>0</v>
      </c>
    </row>
    <row r="124" spans="1:30" ht="12.75">
      <c r="A124" s="169">
        <v>117</v>
      </c>
      <c r="B124" s="172" t="s">
        <v>141</v>
      </c>
      <c r="C124" s="258" t="s">
        <v>142</v>
      </c>
      <c r="D124" s="205">
        <v>37632569.8</v>
      </c>
      <c r="E124" s="205">
        <v>0</v>
      </c>
      <c r="F124" s="205">
        <v>0</v>
      </c>
      <c r="G124" s="205">
        <v>37632569.8</v>
      </c>
      <c r="H124" s="205">
        <v>376326</v>
      </c>
      <c r="I124" s="205">
        <v>0</v>
      </c>
      <c r="J124" s="205">
        <v>0</v>
      </c>
      <c r="K124" s="205">
        <v>376326</v>
      </c>
      <c r="L124" s="205">
        <v>147648</v>
      </c>
      <c r="M124" s="205">
        <v>0</v>
      </c>
      <c r="N124" s="205">
        <v>0</v>
      </c>
      <c r="O124" s="205">
        <v>147648</v>
      </c>
      <c r="P124" s="205">
        <v>37108595.8</v>
      </c>
      <c r="Q124" s="205">
        <v>0</v>
      </c>
      <c r="R124" s="205">
        <v>0</v>
      </c>
      <c r="S124" s="205">
        <v>37108595.8</v>
      </c>
      <c r="T124" s="205">
        <v>0</v>
      </c>
      <c r="U124" s="205">
        <v>0</v>
      </c>
      <c r="V124" s="205">
        <v>0</v>
      </c>
      <c r="W124" s="205">
        <v>0</v>
      </c>
      <c r="X124" s="205">
        <v>0</v>
      </c>
      <c r="Y124" s="205">
        <v>0</v>
      </c>
      <c r="Z124" s="205">
        <v>0</v>
      </c>
      <c r="AA124" s="205">
        <v>0</v>
      </c>
      <c r="AB124" s="205">
        <v>0</v>
      </c>
      <c r="AC124" s="205">
        <v>0</v>
      </c>
      <c r="AD124" s="205">
        <v>0</v>
      </c>
    </row>
    <row r="125" spans="1:30" ht="12.75">
      <c r="A125" s="169">
        <v>118</v>
      </c>
      <c r="B125" s="172" t="s">
        <v>143</v>
      </c>
      <c r="C125" s="258" t="s">
        <v>144</v>
      </c>
      <c r="D125" s="205">
        <v>66960833</v>
      </c>
      <c r="E125" s="205">
        <v>0</v>
      </c>
      <c r="F125" s="205">
        <v>0</v>
      </c>
      <c r="G125" s="205">
        <v>66960833</v>
      </c>
      <c r="H125" s="205">
        <v>1580508</v>
      </c>
      <c r="I125" s="205">
        <v>0</v>
      </c>
      <c r="J125" s="205">
        <v>0</v>
      </c>
      <c r="K125" s="205">
        <v>1580508</v>
      </c>
      <c r="L125" s="205">
        <v>1106343</v>
      </c>
      <c r="M125" s="205">
        <v>0</v>
      </c>
      <c r="N125" s="205">
        <v>0</v>
      </c>
      <c r="O125" s="205">
        <v>1106343</v>
      </c>
      <c r="P125" s="205">
        <v>64273982</v>
      </c>
      <c r="Q125" s="205">
        <v>0</v>
      </c>
      <c r="R125" s="205">
        <v>0</v>
      </c>
      <c r="S125" s="205">
        <v>64273982</v>
      </c>
      <c r="T125" s="205">
        <v>0</v>
      </c>
      <c r="U125" s="205">
        <v>0</v>
      </c>
      <c r="V125" s="205">
        <v>0</v>
      </c>
      <c r="W125" s="205">
        <v>0</v>
      </c>
      <c r="X125" s="205">
        <v>0</v>
      </c>
      <c r="Y125" s="205">
        <v>0</v>
      </c>
      <c r="Z125" s="205">
        <v>0</v>
      </c>
      <c r="AA125" s="205">
        <v>0</v>
      </c>
      <c r="AB125" s="205">
        <v>0</v>
      </c>
      <c r="AC125" s="205">
        <v>0</v>
      </c>
      <c r="AD125" s="205">
        <v>0</v>
      </c>
    </row>
    <row r="126" spans="1:30" ht="12.75">
      <c r="A126" s="169">
        <v>119</v>
      </c>
      <c r="B126" s="172" t="s">
        <v>145</v>
      </c>
      <c r="C126" s="258" t="s">
        <v>146</v>
      </c>
      <c r="D126" s="205">
        <v>41775806</v>
      </c>
      <c r="E126" s="205">
        <v>0</v>
      </c>
      <c r="F126" s="205">
        <v>2318962</v>
      </c>
      <c r="G126" s="205">
        <v>44094768</v>
      </c>
      <c r="H126" s="205">
        <v>391412</v>
      </c>
      <c r="I126" s="205">
        <v>0</v>
      </c>
      <c r="J126" s="205">
        <v>27040</v>
      </c>
      <c r="K126" s="205">
        <v>418452</v>
      </c>
      <c r="L126" s="205">
        <v>579998</v>
      </c>
      <c r="M126" s="205">
        <v>0</v>
      </c>
      <c r="N126" s="205">
        <v>24709</v>
      </c>
      <c r="O126" s="205">
        <v>604707</v>
      </c>
      <c r="P126" s="205">
        <v>40804396</v>
      </c>
      <c r="Q126" s="205">
        <v>0</v>
      </c>
      <c r="R126" s="205">
        <v>2267213</v>
      </c>
      <c r="S126" s="205">
        <v>43071609</v>
      </c>
      <c r="T126" s="205">
        <v>0</v>
      </c>
      <c r="U126" s="205">
        <v>0</v>
      </c>
      <c r="V126" s="205">
        <v>0</v>
      </c>
      <c r="W126" s="205">
        <v>0</v>
      </c>
      <c r="X126" s="205">
        <v>0</v>
      </c>
      <c r="Y126" s="205">
        <v>0</v>
      </c>
      <c r="Z126" s="205">
        <v>0</v>
      </c>
      <c r="AA126" s="205">
        <v>2808566</v>
      </c>
      <c r="AB126" s="205">
        <v>0</v>
      </c>
      <c r="AC126" s="205">
        <v>0</v>
      </c>
      <c r="AD126" s="205">
        <v>0</v>
      </c>
    </row>
    <row r="127" spans="1:30" ht="12.75">
      <c r="A127" s="169">
        <v>120</v>
      </c>
      <c r="B127" s="172" t="s">
        <v>147</v>
      </c>
      <c r="C127" s="258" t="s">
        <v>148</v>
      </c>
      <c r="D127" s="205">
        <v>62940621</v>
      </c>
      <c r="E127" s="205">
        <v>0</v>
      </c>
      <c r="F127" s="205">
        <v>0</v>
      </c>
      <c r="G127" s="205">
        <v>62940621</v>
      </c>
      <c r="H127" s="205">
        <v>629406</v>
      </c>
      <c r="I127" s="205">
        <v>0</v>
      </c>
      <c r="J127" s="205">
        <v>0</v>
      </c>
      <c r="K127" s="205">
        <v>629406</v>
      </c>
      <c r="L127" s="205">
        <v>1888220</v>
      </c>
      <c r="M127" s="205">
        <v>0</v>
      </c>
      <c r="N127" s="205">
        <v>0</v>
      </c>
      <c r="O127" s="205">
        <v>1888220</v>
      </c>
      <c r="P127" s="205">
        <v>60422995</v>
      </c>
      <c r="Q127" s="205">
        <v>0</v>
      </c>
      <c r="R127" s="205">
        <v>0</v>
      </c>
      <c r="S127" s="205">
        <v>60422995</v>
      </c>
      <c r="T127" s="205">
        <v>0</v>
      </c>
      <c r="U127" s="205">
        <v>0</v>
      </c>
      <c r="V127" s="205">
        <v>0</v>
      </c>
      <c r="W127" s="205">
        <v>0</v>
      </c>
      <c r="X127" s="205">
        <v>0</v>
      </c>
      <c r="Y127" s="205">
        <v>0</v>
      </c>
      <c r="Z127" s="205">
        <v>0</v>
      </c>
      <c r="AA127" s="205">
        <v>0</v>
      </c>
      <c r="AB127" s="205">
        <v>0</v>
      </c>
      <c r="AC127" s="205">
        <v>0</v>
      </c>
      <c r="AD127" s="205">
        <v>0</v>
      </c>
    </row>
    <row r="128" spans="1:30" ht="12.75">
      <c r="A128" s="169">
        <v>121</v>
      </c>
      <c r="B128" s="172" t="s">
        <v>149</v>
      </c>
      <c r="C128" s="258" t="s">
        <v>150</v>
      </c>
      <c r="D128" s="205">
        <v>49752530</v>
      </c>
      <c r="E128" s="205">
        <v>0</v>
      </c>
      <c r="F128" s="205">
        <v>0</v>
      </c>
      <c r="G128" s="205">
        <v>49752530</v>
      </c>
      <c r="H128" s="205">
        <v>1031000</v>
      </c>
      <c r="I128" s="205">
        <v>0</v>
      </c>
      <c r="J128" s="205">
        <v>0</v>
      </c>
      <c r="K128" s="205">
        <v>1031000</v>
      </c>
      <c r="L128" s="205">
        <v>0</v>
      </c>
      <c r="M128" s="205">
        <v>0</v>
      </c>
      <c r="N128" s="205">
        <v>0</v>
      </c>
      <c r="O128" s="205">
        <v>0</v>
      </c>
      <c r="P128" s="205">
        <v>48721530</v>
      </c>
      <c r="Q128" s="205">
        <v>0</v>
      </c>
      <c r="R128" s="205">
        <v>0</v>
      </c>
      <c r="S128" s="205">
        <v>48721530</v>
      </c>
      <c r="T128" s="205">
        <v>0</v>
      </c>
      <c r="U128" s="205">
        <v>0</v>
      </c>
      <c r="V128" s="205">
        <v>0</v>
      </c>
      <c r="W128" s="205">
        <v>0</v>
      </c>
      <c r="X128" s="205">
        <v>0</v>
      </c>
      <c r="Y128" s="205">
        <v>0</v>
      </c>
      <c r="Z128" s="205">
        <v>0</v>
      </c>
      <c r="AA128" s="205">
        <v>0</v>
      </c>
      <c r="AB128" s="205">
        <v>0</v>
      </c>
      <c r="AC128" s="205">
        <v>0</v>
      </c>
      <c r="AD128" s="205">
        <v>0</v>
      </c>
    </row>
    <row r="129" spans="1:30" ht="12.75">
      <c r="A129" s="169">
        <v>122</v>
      </c>
      <c r="B129" s="172" t="s">
        <v>151</v>
      </c>
      <c r="C129" s="258" t="s">
        <v>152</v>
      </c>
      <c r="D129" s="205">
        <v>30198987</v>
      </c>
      <c r="E129" s="205">
        <v>0</v>
      </c>
      <c r="F129" s="205">
        <v>0</v>
      </c>
      <c r="G129" s="205">
        <v>30198987</v>
      </c>
      <c r="H129" s="205">
        <v>310364</v>
      </c>
      <c r="I129" s="205">
        <v>0</v>
      </c>
      <c r="J129" s="205">
        <v>0</v>
      </c>
      <c r="K129" s="205">
        <v>310364</v>
      </c>
      <c r="L129" s="205">
        <v>670000</v>
      </c>
      <c r="M129" s="205">
        <v>0</v>
      </c>
      <c r="N129" s="205">
        <v>0</v>
      </c>
      <c r="O129" s="205">
        <v>670000</v>
      </c>
      <c r="P129" s="205">
        <v>29218623</v>
      </c>
      <c r="Q129" s="205">
        <v>0</v>
      </c>
      <c r="R129" s="205">
        <v>0</v>
      </c>
      <c r="S129" s="205">
        <v>29218623</v>
      </c>
      <c r="T129" s="205">
        <v>0</v>
      </c>
      <c r="U129" s="205">
        <v>0</v>
      </c>
      <c r="V129" s="205">
        <v>0</v>
      </c>
      <c r="W129" s="205">
        <v>0</v>
      </c>
      <c r="X129" s="205">
        <v>0</v>
      </c>
      <c r="Y129" s="205">
        <v>0</v>
      </c>
      <c r="Z129" s="205">
        <v>0</v>
      </c>
      <c r="AA129" s="205">
        <v>0</v>
      </c>
      <c r="AB129" s="205">
        <v>0</v>
      </c>
      <c r="AC129" s="205">
        <v>0</v>
      </c>
      <c r="AD129" s="205">
        <v>0</v>
      </c>
    </row>
    <row r="130" spans="1:30" ht="12.75">
      <c r="A130" s="169">
        <v>123</v>
      </c>
      <c r="B130" s="172" t="s">
        <v>153</v>
      </c>
      <c r="C130" s="258" t="s">
        <v>154</v>
      </c>
      <c r="D130" s="205">
        <v>32329117</v>
      </c>
      <c r="E130" s="205">
        <v>0</v>
      </c>
      <c r="F130" s="205">
        <v>0</v>
      </c>
      <c r="G130" s="205">
        <v>32329117</v>
      </c>
      <c r="H130" s="205">
        <v>355620</v>
      </c>
      <c r="I130" s="205">
        <v>0</v>
      </c>
      <c r="J130" s="205">
        <v>0</v>
      </c>
      <c r="K130" s="205">
        <v>355620</v>
      </c>
      <c r="L130" s="205">
        <v>952380</v>
      </c>
      <c r="M130" s="205">
        <v>0</v>
      </c>
      <c r="N130" s="205">
        <v>0</v>
      </c>
      <c r="O130" s="205">
        <v>952380</v>
      </c>
      <c r="P130" s="205">
        <v>31021117</v>
      </c>
      <c r="Q130" s="205">
        <v>0</v>
      </c>
      <c r="R130" s="205">
        <v>0</v>
      </c>
      <c r="S130" s="205">
        <v>31021117</v>
      </c>
      <c r="T130" s="205">
        <v>0</v>
      </c>
      <c r="U130" s="205">
        <v>0</v>
      </c>
      <c r="V130" s="205">
        <v>0</v>
      </c>
      <c r="W130" s="205">
        <v>0</v>
      </c>
      <c r="X130" s="205">
        <v>0</v>
      </c>
      <c r="Y130" s="205">
        <v>0</v>
      </c>
      <c r="Z130" s="205">
        <v>0</v>
      </c>
      <c r="AA130" s="205">
        <v>0</v>
      </c>
      <c r="AB130" s="205">
        <v>0</v>
      </c>
      <c r="AC130" s="205">
        <v>0</v>
      </c>
      <c r="AD130" s="205">
        <v>0</v>
      </c>
    </row>
    <row r="131" spans="1:30" ht="12.75">
      <c r="A131" s="169">
        <v>124</v>
      </c>
      <c r="B131" s="172" t="s">
        <v>155</v>
      </c>
      <c r="C131" s="258" t="s">
        <v>156</v>
      </c>
      <c r="D131" s="205">
        <v>21368689</v>
      </c>
      <c r="E131" s="205">
        <v>0</v>
      </c>
      <c r="F131" s="205">
        <v>0</v>
      </c>
      <c r="G131" s="205">
        <v>21368689</v>
      </c>
      <c r="H131" s="205">
        <v>213147</v>
      </c>
      <c r="I131" s="205">
        <v>0</v>
      </c>
      <c r="J131" s="205">
        <v>0</v>
      </c>
      <c r="K131" s="205">
        <v>213147</v>
      </c>
      <c r="L131" s="205">
        <v>176450</v>
      </c>
      <c r="M131" s="205">
        <v>0</v>
      </c>
      <c r="N131" s="205">
        <v>0</v>
      </c>
      <c r="O131" s="205">
        <v>176450</v>
      </c>
      <c r="P131" s="205">
        <v>20979092</v>
      </c>
      <c r="Q131" s="205">
        <v>0</v>
      </c>
      <c r="R131" s="205">
        <v>0</v>
      </c>
      <c r="S131" s="205">
        <v>20979092</v>
      </c>
      <c r="T131" s="205">
        <v>0</v>
      </c>
      <c r="U131" s="205">
        <v>0</v>
      </c>
      <c r="V131" s="205">
        <v>0</v>
      </c>
      <c r="W131" s="205">
        <v>0</v>
      </c>
      <c r="X131" s="205">
        <v>0</v>
      </c>
      <c r="Y131" s="205">
        <v>0</v>
      </c>
      <c r="Z131" s="205">
        <v>0</v>
      </c>
      <c r="AA131" s="205">
        <v>0</v>
      </c>
      <c r="AB131" s="205">
        <v>0</v>
      </c>
      <c r="AC131" s="205">
        <v>0</v>
      </c>
      <c r="AD131" s="205">
        <v>0</v>
      </c>
    </row>
    <row r="132" spans="1:30" ht="12.75">
      <c r="A132" s="169">
        <v>125</v>
      </c>
      <c r="B132" s="172" t="s">
        <v>157</v>
      </c>
      <c r="C132" s="258" t="s">
        <v>158</v>
      </c>
      <c r="D132" s="205">
        <v>30151176.1</v>
      </c>
      <c r="E132" s="205">
        <v>0</v>
      </c>
      <c r="F132" s="205">
        <v>0</v>
      </c>
      <c r="G132" s="205">
        <v>30151176.1</v>
      </c>
      <c r="H132" s="205">
        <v>325000</v>
      </c>
      <c r="I132" s="205">
        <v>0</v>
      </c>
      <c r="J132" s="205">
        <v>0</v>
      </c>
      <c r="K132" s="205">
        <v>325000</v>
      </c>
      <c r="L132" s="205">
        <v>250000</v>
      </c>
      <c r="M132" s="205">
        <v>0</v>
      </c>
      <c r="N132" s="205">
        <v>0</v>
      </c>
      <c r="O132" s="205">
        <v>250000</v>
      </c>
      <c r="P132" s="205">
        <v>29576176.1</v>
      </c>
      <c r="Q132" s="205">
        <v>0</v>
      </c>
      <c r="R132" s="205">
        <v>0</v>
      </c>
      <c r="S132" s="205">
        <v>29576176.1</v>
      </c>
      <c r="T132" s="205">
        <v>0</v>
      </c>
      <c r="U132" s="205">
        <v>0</v>
      </c>
      <c r="V132" s="205">
        <v>0</v>
      </c>
      <c r="W132" s="205">
        <v>0</v>
      </c>
      <c r="X132" s="205">
        <v>0</v>
      </c>
      <c r="Y132" s="205">
        <v>0</v>
      </c>
      <c r="Z132" s="205">
        <v>0</v>
      </c>
      <c r="AA132" s="205">
        <v>0</v>
      </c>
      <c r="AB132" s="205">
        <v>0</v>
      </c>
      <c r="AC132" s="205">
        <v>0</v>
      </c>
      <c r="AD132" s="205">
        <v>0</v>
      </c>
    </row>
    <row r="133" spans="1:30" ht="12.75">
      <c r="A133" s="169">
        <v>126</v>
      </c>
      <c r="B133" s="172" t="s">
        <v>159</v>
      </c>
      <c r="C133" s="258" t="s">
        <v>160</v>
      </c>
      <c r="D133" s="205">
        <v>75408889.4</v>
      </c>
      <c r="E133" s="205">
        <v>0</v>
      </c>
      <c r="F133" s="205">
        <v>0</v>
      </c>
      <c r="G133" s="205">
        <v>75408889.4</v>
      </c>
      <c r="H133" s="205">
        <v>1595996.16</v>
      </c>
      <c r="I133" s="205">
        <v>0</v>
      </c>
      <c r="J133" s="205">
        <v>0</v>
      </c>
      <c r="K133" s="205">
        <v>1595996.16</v>
      </c>
      <c r="L133" s="205">
        <v>1487130.87</v>
      </c>
      <c r="M133" s="205">
        <v>0</v>
      </c>
      <c r="N133" s="205">
        <v>0</v>
      </c>
      <c r="O133" s="205">
        <v>1487130.87</v>
      </c>
      <c r="P133" s="205">
        <v>72325762.4</v>
      </c>
      <c r="Q133" s="205">
        <v>0</v>
      </c>
      <c r="R133" s="205">
        <v>0</v>
      </c>
      <c r="S133" s="205">
        <v>72325762.4</v>
      </c>
      <c r="T133" s="205">
        <v>0</v>
      </c>
      <c r="U133" s="205">
        <v>0</v>
      </c>
      <c r="V133" s="205">
        <v>0</v>
      </c>
      <c r="W133" s="205">
        <v>0</v>
      </c>
      <c r="X133" s="205">
        <v>0</v>
      </c>
      <c r="Y133" s="205">
        <v>0</v>
      </c>
      <c r="Z133" s="205">
        <v>0</v>
      </c>
      <c r="AA133" s="205">
        <v>0</v>
      </c>
      <c r="AB133" s="205">
        <v>0</v>
      </c>
      <c r="AC133" s="205">
        <v>0</v>
      </c>
      <c r="AD133" s="205">
        <v>0</v>
      </c>
    </row>
    <row r="134" spans="1:30" ht="12.75">
      <c r="A134" s="169">
        <v>127</v>
      </c>
      <c r="B134" s="172" t="s">
        <v>161</v>
      </c>
      <c r="C134" s="258" t="s">
        <v>162</v>
      </c>
      <c r="D134" s="205">
        <v>48482669</v>
      </c>
      <c r="E134" s="205">
        <v>0</v>
      </c>
      <c r="F134" s="205">
        <v>0</v>
      </c>
      <c r="G134" s="205">
        <v>48482669</v>
      </c>
      <c r="H134" s="205">
        <v>325643</v>
      </c>
      <c r="I134" s="205">
        <v>0</v>
      </c>
      <c r="J134" s="205">
        <v>0</v>
      </c>
      <c r="K134" s="205">
        <v>325643</v>
      </c>
      <c r="L134" s="205">
        <v>640799.3</v>
      </c>
      <c r="M134" s="205">
        <v>0</v>
      </c>
      <c r="N134" s="205">
        <v>0</v>
      </c>
      <c r="O134" s="205">
        <v>640799.3</v>
      </c>
      <c r="P134" s="205">
        <v>47516226.7</v>
      </c>
      <c r="Q134" s="205">
        <v>0</v>
      </c>
      <c r="R134" s="205">
        <v>0</v>
      </c>
      <c r="S134" s="205">
        <v>47516226.7</v>
      </c>
      <c r="T134" s="205">
        <v>15600</v>
      </c>
      <c r="U134" s="205">
        <v>0</v>
      </c>
      <c r="V134" s="205">
        <v>0</v>
      </c>
      <c r="W134" s="205">
        <v>15600</v>
      </c>
      <c r="X134" s="205">
        <v>0</v>
      </c>
      <c r="Y134" s="205">
        <v>0</v>
      </c>
      <c r="Z134" s="205">
        <v>0</v>
      </c>
      <c r="AA134" s="205">
        <v>224162</v>
      </c>
      <c r="AB134" s="205">
        <v>0</v>
      </c>
      <c r="AC134" s="205">
        <v>0</v>
      </c>
      <c r="AD134" s="205">
        <v>15600</v>
      </c>
    </row>
    <row r="135" spans="1:30" ht="12.75">
      <c r="A135" s="169">
        <v>128</v>
      </c>
      <c r="B135" s="172" t="s">
        <v>163</v>
      </c>
      <c r="C135" s="258" t="s">
        <v>164</v>
      </c>
      <c r="D135" s="205">
        <v>43189926.5</v>
      </c>
      <c r="E135" s="205">
        <v>0</v>
      </c>
      <c r="F135" s="205">
        <v>0</v>
      </c>
      <c r="G135" s="205">
        <v>43189926.5</v>
      </c>
      <c r="H135" s="205">
        <v>750000</v>
      </c>
      <c r="I135" s="205">
        <v>0</v>
      </c>
      <c r="J135" s="205">
        <v>0</v>
      </c>
      <c r="K135" s="205">
        <v>750000</v>
      </c>
      <c r="L135" s="205">
        <v>0</v>
      </c>
      <c r="M135" s="205">
        <v>0</v>
      </c>
      <c r="N135" s="205">
        <v>0</v>
      </c>
      <c r="O135" s="205">
        <v>0</v>
      </c>
      <c r="P135" s="205">
        <v>42439926.5</v>
      </c>
      <c r="Q135" s="205">
        <v>0</v>
      </c>
      <c r="R135" s="205">
        <v>0</v>
      </c>
      <c r="S135" s="205">
        <v>42439926.5</v>
      </c>
      <c r="T135" s="205">
        <v>0</v>
      </c>
      <c r="U135" s="205">
        <v>0</v>
      </c>
      <c r="V135" s="205">
        <v>0</v>
      </c>
      <c r="W135" s="205">
        <v>0</v>
      </c>
      <c r="X135" s="205">
        <v>0</v>
      </c>
      <c r="Y135" s="205">
        <v>0</v>
      </c>
      <c r="Z135" s="205">
        <v>0</v>
      </c>
      <c r="AA135" s="205">
        <v>0</v>
      </c>
      <c r="AB135" s="205">
        <v>0</v>
      </c>
      <c r="AC135" s="205">
        <v>0</v>
      </c>
      <c r="AD135" s="205">
        <v>0</v>
      </c>
    </row>
    <row r="136" spans="1:30" ht="12.75">
      <c r="A136" s="169">
        <v>129</v>
      </c>
      <c r="B136" s="172" t="s">
        <v>165</v>
      </c>
      <c r="C136" s="258" t="s">
        <v>166</v>
      </c>
      <c r="D136" s="205">
        <v>24353880</v>
      </c>
      <c r="E136" s="205">
        <v>0</v>
      </c>
      <c r="F136" s="205">
        <v>0</v>
      </c>
      <c r="G136" s="205">
        <v>24353880</v>
      </c>
      <c r="H136" s="205">
        <v>124654</v>
      </c>
      <c r="I136" s="205">
        <v>0</v>
      </c>
      <c r="J136" s="205">
        <v>0</v>
      </c>
      <c r="K136" s="205">
        <v>124654</v>
      </c>
      <c r="L136" s="205">
        <v>73866</v>
      </c>
      <c r="M136" s="205">
        <v>0</v>
      </c>
      <c r="N136" s="205">
        <v>0</v>
      </c>
      <c r="O136" s="205">
        <v>73866</v>
      </c>
      <c r="P136" s="205">
        <v>24155360</v>
      </c>
      <c r="Q136" s="205">
        <v>0</v>
      </c>
      <c r="R136" s="205">
        <v>0</v>
      </c>
      <c r="S136" s="205">
        <v>24155360</v>
      </c>
      <c r="T136" s="205">
        <v>0</v>
      </c>
      <c r="U136" s="205">
        <v>0</v>
      </c>
      <c r="V136" s="205">
        <v>0</v>
      </c>
      <c r="W136" s="205">
        <v>0</v>
      </c>
      <c r="X136" s="205">
        <v>0</v>
      </c>
      <c r="Y136" s="205">
        <v>0</v>
      </c>
      <c r="Z136" s="205">
        <v>0</v>
      </c>
      <c r="AA136" s="205">
        <v>0</v>
      </c>
      <c r="AB136" s="205">
        <v>0</v>
      </c>
      <c r="AC136" s="205">
        <v>0</v>
      </c>
      <c r="AD136" s="205">
        <v>0</v>
      </c>
    </row>
    <row r="137" spans="1:30" ht="12.75">
      <c r="A137" s="169">
        <v>130</v>
      </c>
      <c r="B137" s="172" t="s">
        <v>167</v>
      </c>
      <c r="C137" s="258" t="s">
        <v>168</v>
      </c>
      <c r="D137" s="205">
        <v>360925300</v>
      </c>
      <c r="E137" s="205">
        <v>0</v>
      </c>
      <c r="F137" s="205">
        <v>0</v>
      </c>
      <c r="G137" s="205">
        <v>360925300</v>
      </c>
      <c r="H137" s="205">
        <v>2714000</v>
      </c>
      <c r="I137" s="205">
        <v>0</v>
      </c>
      <c r="J137" s="205">
        <v>0</v>
      </c>
      <c r="K137" s="205">
        <v>2714000</v>
      </c>
      <c r="L137" s="205">
        <v>6000000</v>
      </c>
      <c r="M137" s="205">
        <v>0</v>
      </c>
      <c r="N137" s="205">
        <v>0</v>
      </c>
      <c r="O137" s="205">
        <v>6000000</v>
      </c>
      <c r="P137" s="205">
        <v>352211300</v>
      </c>
      <c r="Q137" s="205">
        <v>0</v>
      </c>
      <c r="R137" s="205">
        <v>0</v>
      </c>
      <c r="S137" s="205">
        <v>352211300</v>
      </c>
      <c r="T137" s="205">
        <v>0</v>
      </c>
      <c r="U137" s="205">
        <v>0</v>
      </c>
      <c r="V137" s="205">
        <v>0</v>
      </c>
      <c r="W137" s="205">
        <v>0</v>
      </c>
      <c r="X137" s="205">
        <v>0</v>
      </c>
      <c r="Y137" s="205">
        <v>0</v>
      </c>
      <c r="Z137" s="205">
        <v>0</v>
      </c>
      <c r="AA137" s="205">
        <v>0</v>
      </c>
      <c r="AB137" s="205">
        <v>0</v>
      </c>
      <c r="AC137" s="205">
        <v>0</v>
      </c>
      <c r="AD137" s="205">
        <v>0</v>
      </c>
    </row>
    <row r="138" spans="1:30" ht="12.75">
      <c r="A138" s="169">
        <v>131</v>
      </c>
      <c r="B138" s="172" t="s">
        <v>169</v>
      </c>
      <c r="C138" s="258" t="s">
        <v>170</v>
      </c>
      <c r="D138" s="205">
        <v>28132304</v>
      </c>
      <c r="E138" s="205">
        <v>0</v>
      </c>
      <c r="F138" s="205">
        <v>950243</v>
      </c>
      <c r="G138" s="205">
        <v>29082547</v>
      </c>
      <c r="H138" s="205">
        <v>393035</v>
      </c>
      <c r="I138" s="205">
        <v>0</v>
      </c>
      <c r="J138" s="205">
        <v>0</v>
      </c>
      <c r="K138" s="205">
        <v>393035</v>
      </c>
      <c r="L138" s="205">
        <v>311053</v>
      </c>
      <c r="M138" s="205">
        <v>0</v>
      </c>
      <c r="N138" s="205">
        <v>0</v>
      </c>
      <c r="O138" s="205">
        <v>311053</v>
      </c>
      <c r="P138" s="205">
        <v>27428216</v>
      </c>
      <c r="Q138" s="205">
        <v>0</v>
      </c>
      <c r="R138" s="205">
        <v>950243</v>
      </c>
      <c r="S138" s="205">
        <v>28378459</v>
      </c>
      <c r="T138" s="205">
        <v>0</v>
      </c>
      <c r="U138" s="205">
        <v>0</v>
      </c>
      <c r="V138" s="205">
        <v>0</v>
      </c>
      <c r="W138" s="205">
        <v>0</v>
      </c>
      <c r="X138" s="205">
        <v>0</v>
      </c>
      <c r="Y138" s="205">
        <v>0</v>
      </c>
      <c r="Z138" s="205">
        <v>0</v>
      </c>
      <c r="AA138" s="205">
        <v>0</v>
      </c>
      <c r="AB138" s="205">
        <v>0</v>
      </c>
      <c r="AC138" s="205">
        <v>950243</v>
      </c>
      <c r="AD138" s="205">
        <v>0</v>
      </c>
    </row>
    <row r="139" spans="1:30" ht="12.75">
      <c r="A139" s="169">
        <v>132</v>
      </c>
      <c r="B139" s="172" t="s">
        <v>171</v>
      </c>
      <c r="C139" s="258" t="s">
        <v>172</v>
      </c>
      <c r="D139" s="205">
        <v>40323319.4</v>
      </c>
      <c r="E139" s="205">
        <v>0</v>
      </c>
      <c r="F139" s="205">
        <v>0</v>
      </c>
      <c r="G139" s="205">
        <v>40323319.4</v>
      </c>
      <c r="H139" s="205">
        <v>402056.72</v>
      </c>
      <c r="I139" s="205">
        <v>0</v>
      </c>
      <c r="J139" s="205">
        <v>0</v>
      </c>
      <c r="K139" s="205">
        <v>402056.72</v>
      </c>
      <c r="L139" s="205">
        <v>800000</v>
      </c>
      <c r="M139" s="205">
        <v>0</v>
      </c>
      <c r="N139" s="205">
        <v>0</v>
      </c>
      <c r="O139" s="205">
        <v>800000</v>
      </c>
      <c r="P139" s="205">
        <v>39121262.7</v>
      </c>
      <c r="Q139" s="205">
        <v>0</v>
      </c>
      <c r="R139" s="205">
        <v>0</v>
      </c>
      <c r="S139" s="205">
        <v>39121262.7</v>
      </c>
      <c r="T139" s="205">
        <v>0</v>
      </c>
      <c r="U139" s="205">
        <v>0</v>
      </c>
      <c r="V139" s="205">
        <v>0</v>
      </c>
      <c r="W139" s="205">
        <v>0</v>
      </c>
      <c r="X139" s="205">
        <v>0</v>
      </c>
      <c r="Y139" s="205">
        <v>0</v>
      </c>
      <c r="Z139" s="205">
        <v>0</v>
      </c>
      <c r="AA139" s="205">
        <v>0</v>
      </c>
      <c r="AB139" s="205">
        <v>0</v>
      </c>
      <c r="AC139" s="205">
        <v>0</v>
      </c>
      <c r="AD139" s="205">
        <v>0</v>
      </c>
    </row>
    <row r="140" spans="1:30" ht="12.75">
      <c r="A140" s="169">
        <v>133</v>
      </c>
      <c r="B140" s="172" t="s">
        <v>173</v>
      </c>
      <c r="C140" s="258" t="s">
        <v>174</v>
      </c>
      <c r="D140" s="205">
        <v>158555865</v>
      </c>
      <c r="E140" s="205">
        <v>0</v>
      </c>
      <c r="F140" s="205">
        <v>0</v>
      </c>
      <c r="G140" s="205">
        <v>158555865</v>
      </c>
      <c r="H140" s="205">
        <v>2061226</v>
      </c>
      <c r="I140" s="205">
        <v>0</v>
      </c>
      <c r="J140" s="205">
        <v>0</v>
      </c>
      <c r="K140" s="205">
        <v>2061226</v>
      </c>
      <c r="L140" s="205">
        <v>5700000</v>
      </c>
      <c r="M140" s="205">
        <v>0</v>
      </c>
      <c r="N140" s="205">
        <v>0</v>
      </c>
      <c r="O140" s="205">
        <v>5700000</v>
      </c>
      <c r="P140" s="205">
        <v>150794639</v>
      </c>
      <c r="Q140" s="205">
        <v>0</v>
      </c>
      <c r="R140" s="205">
        <v>0</v>
      </c>
      <c r="S140" s="205">
        <v>150794639</v>
      </c>
      <c r="T140" s="205">
        <v>0</v>
      </c>
      <c r="U140" s="205">
        <v>0</v>
      </c>
      <c r="V140" s="205">
        <v>0</v>
      </c>
      <c r="W140" s="205">
        <v>0</v>
      </c>
      <c r="X140" s="205">
        <v>0</v>
      </c>
      <c r="Y140" s="205">
        <v>0</v>
      </c>
      <c r="Z140" s="205">
        <v>0</v>
      </c>
      <c r="AA140" s="205">
        <v>0</v>
      </c>
      <c r="AB140" s="205">
        <v>0</v>
      </c>
      <c r="AC140" s="205">
        <v>0</v>
      </c>
      <c r="AD140" s="205">
        <v>0</v>
      </c>
    </row>
    <row r="141" spans="1:30" ht="12.75">
      <c r="A141" s="169">
        <v>134</v>
      </c>
      <c r="B141" s="172" t="s">
        <v>175</v>
      </c>
      <c r="C141" s="258" t="s">
        <v>176</v>
      </c>
      <c r="D141" s="205">
        <v>60117865</v>
      </c>
      <c r="E141" s="205">
        <v>0</v>
      </c>
      <c r="F141" s="205">
        <v>666372</v>
      </c>
      <c r="G141" s="205">
        <v>60784237</v>
      </c>
      <c r="H141" s="205">
        <v>490000</v>
      </c>
      <c r="I141" s="205">
        <v>0</v>
      </c>
      <c r="J141" s="205">
        <v>5000</v>
      </c>
      <c r="K141" s="205">
        <v>495000</v>
      </c>
      <c r="L141" s="205">
        <v>1800000</v>
      </c>
      <c r="M141" s="205">
        <v>0</v>
      </c>
      <c r="N141" s="205">
        <v>10000</v>
      </c>
      <c r="O141" s="205">
        <v>1810000</v>
      </c>
      <c r="P141" s="205">
        <v>57827865</v>
      </c>
      <c r="Q141" s="205">
        <v>0</v>
      </c>
      <c r="R141" s="205">
        <v>651372</v>
      </c>
      <c r="S141" s="205">
        <v>58479237</v>
      </c>
      <c r="T141" s="205">
        <v>195210</v>
      </c>
      <c r="U141" s="205">
        <v>0</v>
      </c>
      <c r="V141" s="205">
        <v>0</v>
      </c>
      <c r="W141" s="205">
        <v>195210</v>
      </c>
      <c r="X141" s="205">
        <v>0</v>
      </c>
      <c r="Y141" s="205">
        <v>2524</v>
      </c>
      <c r="Z141" s="205">
        <v>0</v>
      </c>
      <c r="AA141" s="205">
        <v>609951</v>
      </c>
      <c r="AB141" s="205">
        <v>0</v>
      </c>
      <c r="AC141" s="205">
        <v>43945</v>
      </c>
      <c r="AD141" s="205">
        <v>195210</v>
      </c>
    </row>
    <row r="142" spans="1:30" ht="12.75">
      <c r="A142" s="169">
        <v>135</v>
      </c>
      <c r="B142" s="172" t="s">
        <v>177</v>
      </c>
      <c r="C142" s="258" t="s">
        <v>178</v>
      </c>
      <c r="D142" s="205">
        <v>21538459.2</v>
      </c>
      <c r="E142" s="205">
        <v>0</v>
      </c>
      <c r="F142" s="205">
        <v>0</v>
      </c>
      <c r="G142" s="205">
        <v>21538459.2</v>
      </c>
      <c r="H142" s="205">
        <v>646154</v>
      </c>
      <c r="I142" s="205">
        <v>0</v>
      </c>
      <c r="J142" s="205">
        <v>0</v>
      </c>
      <c r="K142" s="205">
        <v>646154</v>
      </c>
      <c r="L142" s="205">
        <v>225000</v>
      </c>
      <c r="M142" s="205">
        <v>0</v>
      </c>
      <c r="N142" s="205">
        <v>0</v>
      </c>
      <c r="O142" s="205">
        <v>225000</v>
      </c>
      <c r="P142" s="205">
        <v>20667305.2</v>
      </c>
      <c r="Q142" s="205">
        <v>0</v>
      </c>
      <c r="R142" s="205">
        <v>0</v>
      </c>
      <c r="S142" s="205">
        <v>20667305.2</v>
      </c>
      <c r="T142" s="205">
        <v>0</v>
      </c>
      <c r="U142" s="205">
        <v>0</v>
      </c>
      <c r="V142" s="205">
        <v>0</v>
      </c>
      <c r="W142" s="205">
        <v>0</v>
      </c>
      <c r="X142" s="205">
        <v>0</v>
      </c>
      <c r="Y142" s="205">
        <v>0</v>
      </c>
      <c r="Z142" s="205">
        <v>0</v>
      </c>
      <c r="AA142" s="205">
        <v>0</v>
      </c>
      <c r="AB142" s="205">
        <v>0</v>
      </c>
      <c r="AC142" s="205">
        <v>0</v>
      </c>
      <c r="AD142" s="205">
        <v>0</v>
      </c>
    </row>
    <row r="143" spans="1:30" ht="12.75">
      <c r="A143" s="169">
        <v>136</v>
      </c>
      <c r="B143" s="172" t="s">
        <v>179</v>
      </c>
      <c r="C143" s="258" t="s">
        <v>180</v>
      </c>
      <c r="D143" s="205">
        <v>57058963.3</v>
      </c>
      <c r="E143" s="205">
        <v>0</v>
      </c>
      <c r="F143" s="205">
        <v>0</v>
      </c>
      <c r="G143" s="205">
        <v>57058963.3</v>
      </c>
      <c r="H143" s="205">
        <v>678606</v>
      </c>
      <c r="I143" s="205">
        <v>0</v>
      </c>
      <c r="J143" s="205">
        <v>0</v>
      </c>
      <c r="K143" s="205">
        <v>678606</v>
      </c>
      <c r="L143" s="205">
        <v>425722.64</v>
      </c>
      <c r="M143" s="205">
        <v>0</v>
      </c>
      <c r="N143" s="205">
        <v>0</v>
      </c>
      <c r="O143" s="205">
        <v>425722.64</v>
      </c>
      <c r="P143" s="205">
        <v>55954634.6</v>
      </c>
      <c r="Q143" s="205">
        <v>0</v>
      </c>
      <c r="R143" s="205">
        <v>0</v>
      </c>
      <c r="S143" s="205">
        <v>55954634.6</v>
      </c>
      <c r="T143" s="205">
        <v>0</v>
      </c>
      <c r="U143" s="205">
        <v>0</v>
      </c>
      <c r="V143" s="205">
        <v>0</v>
      </c>
      <c r="W143" s="205">
        <v>0</v>
      </c>
      <c r="X143" s="205">
        <v>0</v>
      </c>
      <c r="Y143" s="205">
        <v>0</v>
      </c>
      <c r="Z143" s="205">
        <v>0</v>
      </c>
      <c r="AA143" s="205">
        <v>0</v>
      </c>
      <c r="AB143" s="205">
        <v>0</v>
      </c>
      <c r="AC143" s="205">
        <v>0</v>
      </c>
      <c r="AD143" s="205">
        <v>0</v>
      </c>
    </row>
    <row r="144" spans="1:30" ht="12.75">
      <c r="A144" s="169">
        <v>137</v>
      </c>
      <c r="B144" s="172" t="s">
        <v>181</v>
      </c>
      <c r="C144" s="258" t="s">
        <v>182</v>
      </c>
      <c r="D144" s="205">
        <v>35148426.4</v>
      </c>
      <c r="E144" s="205">
        <v>0</v>
      </c>
      <c r="F144" s="205">
        <v>0</v>
      </c>
      <c r="G144" s="205">
        <v>35148426.4</v>
      </c>
      <c r="H144" s="205">
        <v>250000</v>
      </c>
      <c r="I144" s="205">
        <v>0</v>
      </c>
      <c r="J144" s="205">
        <v>0</v>
      </c>
      <c r="K144" s="205">
        <v>250000</v>
      </c>
      <c r="L144" s="205">
        <v>300000</v>
      </c>
      <c r="M144" s="205">
        <v>0</v>
      </c>
      <c r="N144" s="205">
        <v>0</v>
      </c>
      <c r="O144" s="205">
        <v>300000</v>
      </c>
      <c r="P144" s="205">
        <v>34598426.4</v>
      </c>
      <c r="Q144" s="205">
        <v>0</v>
      </c>
      <c r="R144" s="205">
        <v>0</v>
      </c>
      <c r="S144" s="205">
        <v>34598426.4</v>
      </c>
      <c r="T144" s="205">
        <v>62832</v>
      </c>
      <c r="U144" s="205">
        <v>0</v>
      </c>
      <c r="V144" s="205">
        <v>0</v>
      </c>
      <c r="W144" s="205">
        <v>62832</v>
      </c>
      <c r="X144" s="205">
        <v>0</v>
      </c>
      <c r="Y144" s="205">
        <v>0</v>
      </c>
      <c r="Z144" s="205">
        <v>0</v>
      </c>
      <c r="AA144" s="205">
        <v>0</v>
      </c>
      <c r="AB144" s="205">
        <v>0</v>
      </c>
      <c r="AC144" s="205">
        <v>0</v>
      </c>
      <c r="AD144" s="205">
        <v>62832</v>
      </c>
    </row>
    <row r="145" spans="1:30" ht="12.75">
      <c r="A145" s="169">
        <v>138</v>
      </c>
      <c r="B145" s="172" t="s">
        <v>183</v>
      </c>
      <c r="C145" s="258" t="s">
        <v>184</v>
      </c>
      <c r="D145" s="205">
        <v>1646473.65</v>
      </c>
      <c r="E145" s="205">
        <v>0</v>
      </c>
      <c r="F145" s="205">
        <v>0</v>
      </c>
      <c r="G145" s="205">
        <v>1646473.65</v>
      </c>
      <c r="H145" s="205">
        <v>32000</v>
      </c>
      <c r="I145" s="205">
        <v>0</v>
      </c>
      <c r="J145" s="205">
        <v>0</v>
      </c>
      <c r="K145" s="205">
        <v>32000</v>
      </c>
      <c r="L145" s="205">
        <v>20000</v>
      </c>
      <c r="M145" s="205">
        <v>0</v>
      </c>
      <c r="N145" s="205">
        <v>0</v>
      </c>
      <c r="O145" s="205">
        <v>20000</v>
      </c>
      <c r="P145" s="205">
        <v>1594473.65</v>
      </c>
      <c r="Q145" s="205">
        <v>0</v>
      </c>
      <c r="R145" s="205">
        <v>0</v>
      </c>
      <c r="S145" s="205">
        <v>1594473.65</v>
      </c>
      <c r="T145" s="205">
        <v>0</v>
      </c>
      <c r="U145" s="205">
        <v>0</v>
      </c>
      <c r="V145" s="205">
        <v>0</v>
      </c>
      <c r="W145" s="205">
        <v>0</v>
      </c>
      <c r="X145" s="205">
        <v>0</v>
      </c>
      <c r="Y145" s="205">
        <v>0</v>
      </c>
      <c r="Z145" s="205">
        <v>0</v>
      </c>
      <c r="AA145" s="205">
        <v>0</v>
      </c>
      <c r="AB145" s="205">
        <v>0</v>
      </c>
      <c r="AC145" s="205">
        <v>0</v>
      </c>
      <c r="AD145" s="205">
        <v>0</v>
      </c>
    </row>
    <row r="146" spans="1:30" ht="12.75">
      <c r="A146" s="169">
        <v>139</v>
      </c>
      <c r="B146" s="172" t="s">
        <v>185</v>
      </c>
      <c r="C146" s="258" t="s">
        <v>187</v>
      </c>
      <c r="D146" s="205">
        <v>197528384</v>
      </c>
      <c r="E146" s="205">
        <v>0</v>
      </c>
      <c r="F146" s="205">
        <v>0</v>
      </c>
      <c r="G146" s="205">
        <v>197528384</v>
      </c>
      <c r="H146" s="205">
        <v>2508611</v>
      </c>
      <c r="I146" s="205">
        <v>0</v>
      </c>
      <c r="J146" s="205">
        <v>0</v>
      </c>
      <c r="K146" s="205">
        <v>2508611</v>
      </c>
      <c r="L146" s="205">
        <v>7300000</v>
      </c>
      <c r="M146" s="205">
        <v>0</v>
      </c>
      <c r="N146" s="205">
        <v>0</v>
      </c>
      <c r="O146" s="205">
        <v>7300000</v>
      </c>
      <c r="P146" s="205">
        <v>187719773</v>
      </c>
      <c r="Q146" s="205">
        <v>0</v>
      </c>
      <c r="R146" s="205">
        <v>0</v>
      </c>
      <c r="S146" s="205">
        <v>187719773</v>
      </c>
      <c r="T146" s="205">
        <v>0</v>
      </c>
      <c r="U146" s="205">
        <v>0</v>
      </c>
      <c r="V146" s="205">
        <v>0</v>
      </c>
      <c r="W146" s="205">
        <v>0</v>
      </c>
      <c r="X146" s="205">
        <v>0</v>
      </c>
      <c r="Y146" s="205">
        <v>0</v>
      </c>
      <c r="Z146" s="205">
        <v>0</v>
      </c>
      <c r="AA146" s="205">
        <v>0</v>
      </c>
      <c r="AB146" s="205">
        <v>0</v>
      </c>
      <c r="AC146" s="205">
        <v>0</v>
      </c>
      <c r="AD146" s="205">
        <v>0</v>
      </c>
    </row>
    <row r="147" spans="1:30" ht="12.75">
      <c r="A147" s="169">
        <v>140</v>
      </c>
      <c r="B147" s="172" t="s">
        <v>188</v>
      </c>
      <c r="C147" s="258" t="s">
        <v>189</v>
      </c>
      <c r="D147" s="205">
        <v>274249478</v>
      </c>
      <c r="E147" s="205">
        <v>0</v>
      </c>
      <c r="F147" s="205">
        <v>0</v>
      </c>
      <c r="G147" s="205">
        <v>274249478</v>
      </c>
      <c r="H147" s="205">
        <v>2634160</v>
      </c>
      <c r="I147" s="205">
        <v>0</v>
      </c>
      <c r="J147" s="205">
        <v>0</v>
      </c>
      <c r="K147" s="205">
        <v>2634160</v>
      </c>
      <c r="L147" s="205">
        <v>3564377</v>
      </c>
      <c r="M147" s="205">
        <v>0</v>
      </c>
      <c r="N147" s="205">
        <v>0</v>
      </c>
      <c r="O147" s="205">
        <v>3564377</v>
      </c>
      <c r="P147" s="205">
        <v>268050941</v>
      </c>
      <c r="Q147" s="205">
        <v>0</v>
      </c>
      <c r="R147" s="205">
        <v>0</v>
      </c>
      <c r="S147" s="205">
        <v>268050941</v>
      </c>
      <c r="T147" s="205">
        <v>0</v>
      </c>
      <c r="U147" s="205">
        <v>0</v>
      </c>
      <c r="V147" s="205">
        <v>0</v>
      </c>
      <c r="W147" s="205">
        <v>0</v>
      </c>
      <c r="X147" s="205">
        <v>0</v>
      </c>
      <c r="Y147" s="205">
        <v>0</v>
      </c>
      <c r="Z147" s="205">
        <v>0</v>
      </c>
      <c r="AA147" s="205">
        <v>0</v>
      </c>
      <c r="AB147" s="205">
        <v>0</v>
      </c>
      <c r="AC147" s="205">
        <v>0</v>
      </c>
      <c r="AD147" s="205">
        <v>0</v>
      </c>
    </row>
    <row r="148" spans="1:30" ht="12.75">
      <c r="A148" s="169">
        <v>141</v>
      </c>
      <c r="B148" s="172" t="s">
        <v>190</v>
      </c>
      <c r="C148" s="258" t="s">
        <v>191</v>
      </c>
      <c r="D148" s="205">
        <v>31305677</v>
      </c>
      <c r="E148" s="205">
        <v>0</v>
      </c>
      <c r="F148" s="205">
        <v>0</v>
      </c>
      <c r="G148" s="205">
        <v>31305677</v>
      </c>
      <c r="H148" s="205">
        <v>300000</v>
      </c>
      <c r="I148" s="205">
        <v>0</v>
      </c>
      <c r="J148" s="205">
        <v>0</v>
      </c>
      <c r="K148" s="205">
        <v>300000</v>
      </c>
      <c r="L148" s="205">
        <v>350000</v>
      </c>
      <c r="M148" s="205">
        <v>0</v>
      </c>
      <c r="N148" s="205">
        <v>0</v>
      </c>
      <c r="O148" s="205">
        <v>350000</v>
      </c>
      <c r="P148" s="205">
        <v>30655677</v>
      </c>
      <c r="Q148" s="205">
        <v>0</v>
      </c>
      <c r="R148" s="205">
        <v>0</v>
      </c>
      <c r="S148" s="205">
        <v>30655677</v>
      </c>
      <c r="T148" s="205">
        <v>0</v>
      </c>
      <c r="U148" s="205">
        <v>0</v>
      </c>
      <c r="V148" s="205">
        <v>0</v>
      </c>
      <c r="W148" s="205">
        <v>0</v>
      </c>
      <c r="X148" s="205">
        <v>0</v>
      </c>
      <c r="Y148" s="205">
        <v>0</v>
      </c>
      <c r="Z148" s="205">
        <v>0</v>
      </c>
      <c r="AA148" s="205">
        <v>0</v>
      </c>
      <c r="AB148" s="205">
        <v>0</v>
      </c>
      <c r="AC148" s="205">
        <v>0</v>
      </c>
      <c r="AD148" s="205">
        <v>0</v>
      </c>
    </row>
    <row r="149" spans="1:30" ht="12.75">
      <c r="A149" s="169">
        <v>142</v>
      </c>
      <c r="B149" s="172" t="s">
        <v>192</v>
      </c>
      <c r="C149" s="258" t="s">
        <v>193</v>
      </c>
      <c r="D149" s="205">
        <v>44446880</v>
      </c>
      <c r="E149" s="205">
        <v>0</v>
      </c>
      <c r="F149" s="205">
        <v>0</v>
      </c>
      <c r="G149" s="205">
        <v>44446880</v>
      </c>
      <c r="H149" s="205">
        <v>300000</v>
      </c>
      <c r="I149" s="205">
        <v>0</v>
      </c>
      <c r="J149" s="205">
        <v>0</v>
      </c>
      <c r="K149" s="205">
        <v>300000</v>
      </c>
      <c r="L149" s="205">
        <v>3878908</v>
      </c>
      <c r="M149" s="205">
        <v>0</v>
      </c>
      <c r="N149" s="205">
        <v>0</v>
      </c>
      <c r="O149" s="205">
        <v>3878908</v>
      </c>
      <c r="P149" s="205">
        <v>40267972</v>
      </c>
      <c r="Q149" s="205">
        <v>0</v>
      </c>
      <c r="R149" s="205">
        <v>0</v>
      </c>
      <c r="S149" s="205">
        <v>40267972</v>
      </c>
      <c r="T149" s="205">
        <v>506100</v>
      </c>
      <c r="U149" s="205">
        <v>0</v>
      </c>
      <c r="V149" s="205">
        <v>0</v>
      </c>
      <c r="W149" s="205">
        <v>506100</v>
      </c>
      <c r="X149" s="205">
        <v>0</v>
      </c>
      <c r="Y149" s="205">
        <v>0</v>
      </c>
      <c r="Z149" s="205">
        <v>0</v>
      </c>
      <c r="AA149" s="205">
        <v>0</v>
      </c>
      <c r="AB149" s="205">
        <v>0</v>
      </c>
      <c r="AC149" s="205">
        <v>0</v>
      </c>
      <c r="AD149" s="205">
        <v>506100</v>
      </c>
    </row>
    <row r="150" spans="1:30" ht="12.75">
      <c r="A150" s="169">
        <v>143</v>
      </c>
      <c r="B150" s="172" t="s">
        <v>194</v>
      </c>
      <c r="C150" s="258" t="s">
        <v>195</v>
      </c>
      <c r="D150" s="205">
        <v>87251067</v>
      </c>
      <c r="E150" s="205">
        <v>0</v>
      </c>
      <c r="F150" s="205">
        <v>34383</v>
      </c>
      <c r="G150" s="205">
        <v>87285450</v>
      </c>
      <c r="H150" s="205">
        <v>1674870</v>
      </c>
      <c r="I150" s="205">
        <v>0</v>
      </c>
      <c r="J150" s="205">
        <v>0</v>
      </c>
      <c r="K150" s="205">
        <v>1674870</v>
      </c>
      <c r="L150" s="205">
        <v>430000</v>
      </c>
      <c r="M150" s="205">
        <v>0</v>
      </c>
      <c r="N150" s="205">
        <v>0</v>
      </c>
      <c r="O150" s="205">
        <v>430000</v>
      </c>
      <c r="P150" s="205">
        <v>85146197</v>
      </c>
      <c r="Q150" s="205">
        <v>0</v>
      </c>
      <c r="R150" s="205">
        <v>34383</v>
      </c>
      <c r="S150" s="205">
        <v>85180580</v>
      </c>
      <c r="T150" s="205">
        <v>0</v>
      </c>
      <c r="U150" s="205">
        <v>0</v>
      </c>
      <c r="V150" s="205">
        <v>0</v>
      </c>
      <c r="W150" s="205">
        <v>0</v>
      </c>
      <c r="X150" s="205">
        <v>0</v>
      </c>
      <c r="Y150" s="205">
        <v>0</v>
      </c>
      <c r="Z150" s="205">
        <v>0</v>
      </c>
      <c r="AA150" s="205">
        <v>0</v>
      </c>
      <c r="AB150" s="205">
        <v>0</v>
      </c>
      <c r="AC150" s="205">
        <v>34383</v>
      </c>
      <c r="AD150" s="205">
        <v>0</v>
      </c>
    </row>
    <row r="151" spans="1:30" ht="12.75">
      <c r="A151" s="169">
        <v>144</v>
      </c>
      <c r="B151" s="172" t="s">
        <v>196</v>
      </c>
      <c r="C151" s="258" t="s">
        <v>197</v>
      </c>
      <c r="D151" s="205">
        <v>83802641</v>
      </c>
      <c r="E151" s="205">
        <v>0</v>
      </c>
      <c r="F151" s="205">
        <v>0</v>
      </c>
      <c r="G151" s="205">
        <v>83802641</v>
      </c>
      <c r="H151" s="205">
        <v>1200000</v>
      </c>
      <c r="I151" s="205">
        <v>0</v>
      </c>
      <c r="J151" s="205">
        <v>0</v>
      </c>
      <c r="K151" s="205">
        <v>1200000</v>
      </c>
      <c r="L151" s="205">
        <v>600000</v>
      </c>
      <c r="M151" s="205">
        <v>0</v>
      </c>
      <c r="N151" s="205">
        <v>0</v>
      </c>
      <c r="O151" s="205">
        <v>600000</v>
      </c>
      <c r="P151" s="205">
        <v>82002641</v>
      </c>
      <c r="Q151" s="205">
        <v>0</v>
      </c>
      <c r="R151" s="205">
        <v>0</v>
      </c>
      <c r="S151" s="205">
        <v>82002641</v>
      </c>
      <c r="T151" s="205">
        <v>0</v>
      </c>
      <c r="U151" s="205">
        <v>0</v>
      </c>
      <c r="V151" s="205">
        <v>0</v>
      </c>
      <c r="W151" s="205">
        <v>0</v>
      </c>
      <c r="X151" s="205">
        <v>0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0</v>
      </c>
    </row>
    <row r="152" spans="1:30" ht="12.75">
      <c r="A152" s="169">
        <v>145</v>
      </c>
      <c r="B152" s="172" t="s">
        <v>198</v>
      </c>
      <c r="C152" s="258" t="s">
        <v>199</v>
      </c>
      <c r="D152" s="205">
        <v>108055365</v>
      </c>
      <c r="E152" s="205">
        <v>0</v>
      </c>
      <c r="F152" s="205">
        <v>0</v>
      </c>
      <c r="G152" s="205">
        <v>108055365</v>
      </c>
      <c r="H152" s="205">
        <v>2161107</v>
      </c>
      <c r="I152" s="205">
        <v>0</v>
      </c>
      <c r="J152" s="205">
        <v>0</v>
      </c>
      <c r="K152" s="205">
        <v>2161107</v>
      </c>
      <c r="L152" s="205">
        <v>1500000</v>
      </c>
      <c r="M152" s="205">
        <v>0</v>
      </c>
      <c r="N152" s="205">
        <v>0</v>
      </c>
      <c r="O152" s="205">
        <v>1500000</v>
      </c>
      <c r="P152" s="205">
        <v>104394258</v>
      </c>
      <c r="Q152" s="205">
        <v>0</v>
      </c>
      <c r="R152" s="205">
        <v>0</v>
      </c>
      <c r="S152" s="205">
        <v>104394258</v>
      </c>
      <c r="T152" s="205">
        <v>0</v>
      </c>
      <c r="U152" s="205">
        <v>0</v>
      </c>
      <c r="V152" s="205">
        <v>0</v>
      </c>
      <c r="W152" s="205">
        <v>0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5">
        <v>0</v>
      </c>
      <c r="AD152" s="205">
        <v>0</v>
      </c>
    </row>
    <row r="153" spans="1:30" ht="12.75">
      <c r="A153" s="169">
        <v>146</v>
      </c>
      <c r="B153" s="172" t="s">
        <v>200</v>
      </c>
      <c r="C153" s="258" t="s">
        <v>201</v>
      </c>
      <c r="D153" s="205">
        <v>43043786</v>
      </c>
      <c r="E153" s="205">
        <v>0</v>
      </c>
      <c r="F153" s="205">
        <v>0</v>
      </c>
      <c r="G153" s="205">
        <v>43043786</v>
      </c>
      <c r="H153" s="205">
        <v>400000</v>
      </c>
      <c r="I153" s="205">
        <v>0</v>
      </c>
      <c r="J153" s="205">
        <v>0</v>
      </c>
      <c r="K153" s="205">
        <v>400000</v>
      </c>
      <c r="L153" s="205">
        <v>2785419</v>
      </c>
      <c r="M153" s="205">
        <v>0</v>
      </c>
      <c r="N153" s="205">
        <v>0</v>
      </c>
      <c r="O153" s="205">
        <v>2785419</v>
      </c>
      <c r="P153" s="205">
        <v>39858367</v>
      </c>
      <c r="Q153" s="205">
        <v>0</v>
      </c>
      <c r="R153" s="205">
        <v>0</v>
      </c>
      <c r="S153" s="205">
        <v>39858367</v>
      </c>
      <c r="T153" s="205">
        <v>0</v>
      </c>
      <c r="U153" s="205">
        <v>0</v>
      </c>
      <c r="V153" s="205">
        <v>0</v>
      </c>
      <c r="W153" s="205">
        <v>0</v>
      </c>
      <c r="X153" s="205">
        <v>0</v>
      </c>
      <c r="Y153" s="205">
        <v>0</v>
      </c>
      <c r="Z153" s="205">
        <v>0</v>
      </c>
      <c r="AA153" s="205">
        <v>0</v>
      </c>
      <c r="AB153" s="205">
        <v>0</v>
      </c>
      <c r="AC153" s="205">
        <v>0</v>
      </c>
      <c r="AD153" s="205">
        <v>0</v>
      </c>
    </row>
    <row r="154" spans="1:30" ht="12.75">
      <c r="A154" s="169">
        <v>147</v>
      </c>
      <c r="B154" s="172" t="s">
        <v>202</v>
      </c>
      <c r="C154" s="258" t="s">
        <v>203</v>
      </c>
      <c r="D154" s="205">
        <v>125905299</v>
      </c>
      <c r="E154" s="205">
        <v>0</v>
      </c>
      <c r="F154" s="205">
        <v>0</v>
      </c>
      <c r="G154" s="205">
        <v>125905299</v>
      </c>
      <c r="H154" s="205">
        <v>1613824</v>
      </c>
      <c r="I154" s="205">
        <v>0</v>
      </c>
      <c r="J154" s="205">
        <v>0</v>
      </c>
      <c r="K154" s="205">
        <v>1613824</v>
      </c>
      <c r="L154" s="205">
        <v>3159442</v>
      </c>
      <c r="M154" s="205">
        <v>0</v>
      </c>
      <c r="N154" s="205">
        <v>0</v>
      </c>
      <c r="O154" s="205">
        <v>3159442</v>
      </c>
      <c r="P154" s="205">
        <v>121132033</v>
      </c>
      <c r="Q154" s="205">
        <v>0</v>
      </c>
      <c r="R154" s="205">
        <v>0</v>
      </c>
      <c r="S154" s="205">
        <v>121132033</v>
      </c>
      <c r="T154" s="205">
        <v>0</v>
      </c>
      <c r="U154" s="205">
        <v>0</v>
      </c>
      <c r="V154" s="205">
        <v>0</v>
      </c>
      <c r="W154" s="205">
        <v>0</v>
      </c>
      <c r="X154" s="205">
        <v>0</v>
      </c>
      <c r="Y154" s="205">
        <v>0</v>
      </c>
      <c r="Z154" s="205">
        <v>0</v>
      </c>
      <c r="AA154" s="205">
        <v>0</v>
      </c>
      <c r="AB154" s="205">
        <v>0</v>
      </c>
      <c r="AC154" s="205">
        <v>0</v>
      </c>
      <c r="AD154" s="205">
        <v>0</v>
      </c>
    </row>
    <row r="155" spans="1:30" ht="12.75">
      <c r="A155" s="169">
        <v>148</v>
      </c>
      <c r="B155" s="172" t="s">
        <v>204</v>
      </c>
      <c r="C155" s="258" t="s">
        <v>205</v>
      </c>
      <c r="D155" s="205">
        <v>52715124</v>
      </c>
      <c r="E155" s="205">
        <v>0</v>
      </c>
      <c r="F155" s="205">
        <v>0</v>
      </c>
      <c r="G155" s="205">
        <v>52715124</v>
      </c>
      <c r="H155" s="205">
        <v>1000000</v>
      </c>
      <c r="I155" s="205">
        <v>0</v>
      </c>
      <c r="J155" s="205">
        <v>0</v>
      </c>
      <c r="K155" s="205">
        <v>1000000</v>
      </c>
      <c r="L155" s="205">
        <v>5144942</v>
      </c>
      <c r="M155" s="205">
        <v>0</v>
      </c>
      <c r="N155" s="205">
        <v>0</v>
      </c>
      <c r="O155" s="205">
        <v>5144942</v>
      </c>
      <c r="P155" s="205">
        <v>46570182</v>
      </c>
      <c r="Q155" s="205">
        <v>0</v>
      </c>
      <c r="R155" s="205">
        <v>0</v>
      </c>
      <c r="S155" s="205">
        <v>46570182</v>
      </c>
      <c r="T155" s="205">
        <v>0</v>
      </c>
      <c r="U155" s="205">
        <v>0</v>
      </c>
      <c r="V155" s="205">
        <v>0</v>
      </c>
      <c r="W155" s="205">
        <v>0</v>
      </c>
      <c r="X155" s="205">
        <v>0</v>
      </c>
      <c r="Y155" s="205">
        <v>0</v>
      </c>
      <c r="Z155" s="205">
        <v>0</v>
      </c>
      <c r="AA155" s="205">
        <v>0</v>
      </c>
      <c r="AB155" s="205">
        <v>0</v>
      </c>
      <c r="AC155" s="205">
        <v>0</v>
      </c>
      <c r="AD155" s="205">
        <v>0</v>
      </c>
    </row>
    <row r="156" spans="1:30" ht="12.75">
      <c r="A156" s="169">
        <v>149</v>
      </c>
      <c r="B156" s="172" t="s">
        <v>206</v>
      </c>
      <c r="C156" s="258" t="s">
        <v>207</v>
      </c>
      <c r="D156" s="205">
        <v>382487469</v>
      </c>
      <c r="E156" s="205">
        <v>0</v>
      </c>
      <c r="F156" s="205">
        <v>817490</v>
      </c>
      <c r="G156" s="205">
        <v>383304959</v>
      </c>
      <c r="H156" s="205">
        <v>4563411</v>
      </c>
      <c r="I156" s="205">
        <v>0</v>
      </c>
      <c r="J156" s="205">
        <v>0</v>
      </c>
      <c r="K156" s="205">
        <v>4563411</v>
      </c>
      <c r="L156" s="205">
        <v>5909609</v>
      </c>
      <c r="M156" s="205">
        <v>0</v>
      </c>
      <c r="N156" s="205">
        <v>0</v>
      </c>
      <c r="O156" s="205">
        <v>5909609</v>
      </c>
      <c r="P156" s="205">
        <v>372014449</v>
      </c>
      <c r="Q156" s="205">
        <v>0</v>
      </c>
      <c r="R156" s="205">
        <v>817490</v>
      </c>
      <c r="S156" s="205">
        <v>372831939</v>
      </c>
      <c r="T156" s="205">
        <v>0</v>
      </c>
      <c r="U156" s="205">
        <v>0</v>
      </c>
      <c r="V156" s="205">
        <v>0</v>
      </c>
      <c r="W156" s="205">
        <v>0</v>
      </c>
      <c r="X156" s="205">
        <v>0</v>
      </c>
      <c r="Y156" s="205">
        <v>0</v>
      </c>
      <c r="Z156" s="205">
        <v>0</v>
      </c>
      <c r="AA156" s="205">
        <v>922611</v>
      </c>
      <c r="AB156" s="205">
        <v>0</v>
      </c>
      <c r="AC156" s="205">
        <v>0</v>
      </c>
      <c r="AD156" s="205">
        <v>0</v>
      </c>
    </row>
    <row r="157" spans="1:30" ht="12.75">
      <c r="A157" s="169">
        <v>150</v>
      </c>
      <c r="B157" s="172" t="s">
        <v>208</v>
      </c>
      <c r="C157" s="258" t="s">
        <v>209</v>
      </c>
      <c r="D157" s="205">
        <v>103464630</v>
      </c>
      <c r="E157" s="205">
        <v>0</v>
      </c>
      <c r="F157" s="205">
        <v>0</v>
      </c>
      <c r="G157" s="205">
        <v>103464630</v>
      </c>
      <c r="H157" s="205">
        <v>1138110.93</v>
      </c>
      <c r="I157" s="205">
        <v>0</v>
      </c>
      <c r="J157" s="205">
        <v>0</v>
      </c>
      <c r="K157" s="205">
        <v>1138110.93</v>
      </c>
      <c r="L157" s="205">
        <v>575000</v>
      </c>
      <c r="M157" s="205">
        <v>0</v>
      </c>
      <c r="N157" s="205">
        <v>0</v>
      </c>
      <c r="O157" s="205">
        <v>575000</v>
      </c>
      <c r="P157" s="205">
        <v>101751519</v>
      </c>
      <c r="Q157" s="205">
        <v>0</v>
      </c>
      <c r="R157" s="205">
        <v>0</v>
      </c>
      <c r="S157" s="205">
        <v>101751519</v>
      </c>
      <c r="T157" s="205">
        <v>0</v>
      </c>
      <c r="U157" s="205">
        <v>0</v>
      </c>
      <c r="V157" s="205">
        <v>0</v>
      </c>
      <c r="W157" s="205">
        <v>0</v>
      </c>
      <c r="X157" s="205">
        <v>0</v>
      </c>
      <c r="Y157" s="205">
        <v>0</v>
      </c>
      <c r="Z157" s="205">
        <v>0</v>
      </c>
      <c r="AA157" s="205">
        <v>0</v>
      </c>
      <c r="AB157" s="205">
        <v>0</v>
      </c>
      <c r="AC157" s="205">
        <v>0</v>
      </c>
      <c r="AD157" s="205">
        <v>0</v>
      </c>
    </row>
    <row r="158" spans="1:30" ht="12.75">
      <c r="A158" s="169">
        <v>151</v>
      </c>
      <c r="B158" s="172" t="s">
        <v>210</v>
      </c>
      <c r="C158" s="258" t="s">
        <v>211</v>
      </c>
      <c r="D158" s="205">
        <v>23941285</v>
      </c>
      <c r="E158" s="205">
        <v>0</v>
      </c>
      <c r="F158" s="205">
        <v>0</v>
      </c>
      <c r="G158" s="205">
        <v>23941285</v>
      </c>
      <c r="H158" s="205">
        <v>180000</v>
      </c>
      <c r="I158" s="205">
        <v>0</v>
      </c>
      <c r="J158" s="205">
        <v>0</v>
      </c>
      <c r="K158" s="205">
        <v>180000</v>
      </c>
      <c r="L158" s="205">
        <v>350000</v>
      </c>
      <c r="M158" s="205">
        <v>0</v>
      </c>
      <c r="N158" s="205">
        <v>0</v>
      </c>
      <c r="O158" s="205">
        <v>350000</v>
      </c>
      <c r="P158" s="205">
        <v>23411285</v>
      </c>
      <c r="Q158" s="205">
        <v>0</v>
      </c>
      <c r="R158" s="205">
        <v>0</v>
      </c>
      <c r="S158" s="205">
        <v>23411285</v>
      </c>
      <c r="T158" s="205">
        <v>0</v>
      </c>
      <c r="U158" s="205">
        <v>0</v>
      </c>
      <c r="V158" s="205">
        <v>0</v>
      </c>
      <c r="W158" s="205">
        <v>0</v>
      </c>
      <c r="X158" s="205">
        <v>0</v>
      </c>
      <c r="Y158" s="205">
        <v>0</v>
      </c>
      <c r="Z158" s="205">
        <v>0</v>
      </c>
      <c r="AA158" s="205">
        <v>0</v>
      </c>
      <c r="AB158" s="205">
        <v>0</v>
      </c>
      <c r="AC158" s="205">
        <v>0</v>
      </c>
      <c r="AD158" s="205">
        <v>0</v>
      </c>
    </row>
    <row r="159" spans="1:30" ht="12.75">
      <c r="A159" s="169">
        <v>152</v>
      </c>
      <c r="B159" s="172" t="s">
        <v>212</v>
      </c>
      <c r="C159" s="258" t="s">
        <v>213</v>
      </c>
      <c r="D159" s="205">
        <v>51398975.6</v>
      </c>
      <c r="E159" s="205">
        <v>0</v>
      </c>
      <c r="F159" s="205">
        <v>0</v>
      </c>
      <c r="G159" s="205">
        <v>51398975.6</v>
      </c>
      <c r="H159" s="205">
        <v>1730056</v>
      </c>
      <c r="I159" s="205">
        <v>0</v>
      </c>
      <c r="J159" s="205">
        <v>0</v>
      </c>
      <c r="K159" s="205">
        <v>1730056</v>
      </c>
      <c r="L159" s="205">
        <v>3201337</v>
      </c>
      <c r="M159" s="205">
        <v>0</v>
      </c>
      <c r="N159" s="205">
        <v>0</v>
      </c>
      <c r="O159" s="205">
        <v>3201337</v>
      </c>
      <c r="P159" s="205">
        <v>46467582.6</v>
      </c>
      <c r="Q159" s="205">
        <v>0</v>
      </c>
      <c r="R159" s="205">
        <v>0</v>
      </c>
      <c r="S159" s="205">
        <v>46467582.6</v>
      </c>
      <c r="T159" s="205">
        <v>0</v>
      </c>
      <c r="U159" s="205">
        <v>0</v>
      </c>
      <c r="V159" s="205">
        <v>0</v>
      </c>
      <c r="W159" s="205">
        <v>0</v>
      </c>
      <c r="X159" s="205">
        <v>0</v>
      </c>
      <c r="Y159" s="205">
        <v>0</v>
      </c>
      <c r="Z159" s="205">
        <v>0</v>
      </c>
      <c r="AA159" s="205">
        <v>0</v>
      </c>
      <c r="AB159" s="205">
        <v>0</v>
      </c>
      <c r="AC159" s="205">
        <v>0</v>
      </c>
      <c r="AD159" s="205">
        <v>0</v>
      </c>
    </row>
    <row r="160" spans="1:30" ht="12.75">
      <c r="A160" s="169">
        <v>153</v>
      </c>
      <c r="B160" s="172" t="s">
        <v>214</v>
      </c>
      <c r="C160" s="258" t="s">
        <v>215</v>
      </c>
      <c r="D160" s="205">
        <v>32113505</v>
      </c>
      <c r="E160" s="205">
        <v>0</v>
      </c>
      <c r="F160" s="205">
        <v>0</v>
      </c>
      <c r="G160" s="205">
        <v>32113505</v>
      </c>
      <c r="H160" s="205">
        <v>321000</v>
      </c>
      <c r="I160" s="205">
        <v>0</v>
      </c>
      <c r="J160" s="205">
        <v>0</v>
      </c>
      <c r="K160" s="205">
        <v>321000</v>
      </c>
      <c r="L160" s="205">
        <v>445000</v>
      </c>
      <c r="M160" s="205">
        <v>0</v>
      </c>
      <c r="N160" s="205">
        <v>0</v>
      </c>
      <c r="O160" s="205">
        <v>445000</v>
      </c>
      <c r="P160" s="205">
        <v>31347505</v>
      </c>
      <c r="Q160" s="205">
        <v>0</v>
      </c>
      <c r="R160" s="205">
        <v>0</v>
      </c>
      <c r="S160" s="205">
        <v>31347505</v>
      </c>
      <c r="T160" s="205">
        <v>0</v>
      </c>
      <c r="U160" s="205">
        <v>0</v>
      </c>
      <c r="V160" s="205">
        <v>0</v>
      </c>
      <c r="W160" s="205">
        <v>0</v>
      </c>
      <c r="X160" s="205">
        <v>0</v>
      </c>
      <c r="Y160" s="205">
        <v>0</v>
      </c>
      <c r="Z160" s="205">
        <v>0</v>
      </c>
      <c r="AA160" s="205">
        <v>0</v>
      </c>
      <c r="AB160" s="205">
        <v>0</v>
      </c>
      <c r="AC160" s="205">
        <v>0</v>
      </c>
      <c r="AD160" s="205">
        <v>0</v>
      </c>
    </row>
    <row r="161" spans="1:30" ht="12.75">
      <c r="A161" s="169">
        <v>154</v>
      </c>
      <c r="B161" s="172" t="s">
        <v>216</v>
      </c>
      <c r="C161" s="258" t="s">
        <v>217</v>
      </c>
      <c r="D161" s="205">
        <v>42118472</v>
      </c>
      <c r="E161" s="205">
        <v>0</v>
      </c>
      <c r="F161" s="205">
        <v>0</v>
      </c>
      <c r="G161" s="205">
        <v>42118472</v>
      </c>
      <c r="H161" s="205">
        <v>250000</v>
      </c>
      <c r="I161" s="205">
        <v>0</v>
      </c>
      <c r="J161" s="205">
        <v>0</v>
      </c>
      <c r="K161" s="205">
        <v>250000</v>
      </c>
      <c r="L161" s="205">
        <v>791000</v>
      </c>
      <c r="M161" s="205">
        <v>0</v>
      </c>
      <c r="N161" s="205">
        <v>0</v>
      </c>
      <c r="O161" s="205">
        <v>791000</v>
      </c>
      <c r="P161" s="205">
        <v>41077472</v>
      </c>
      <c r="Q161" s="205">
        <v>0</v>
      </c>
      <c r="R161" s="205">
        <v>0</v>
      </c>
      <c r="S161" s="205">
        <v>41077472</v>
      </c>
      <c r="T161" s="205">
        <v>0</v>
      </c>
      <c r="U161" s="205">
        <v>0</v>
      </c>
      <c r="V161" s="205">
        <v>0</v>
      </c>
      <c r="W161" s="205">
        <v>0</v>
      </c>
      <c r="X161" s="205">
        <v>0</v>
      </c>
      <c r="Y161" s="205">
        <v>0</v>
      </c>
      <c r="Z161" s="205">
        <v>0</v>
      </c>
      <c r="AA161" s="205">
        <v>0</v>
      </c>
      <c r="AB161" s="205">
        <v>0</v>
      </c>
      <c r="AC161" s="205">
        <v>0</v>
      </c>
      <c r="AD161" s="205">
        <v>0</v>
      </c>
    </row>
    <row r="162" spans="1:30" ht="12.75">
      <c r="A162" s="169">
        <v>155</v>
      </c>
      <c r="B162" s="172" t="s">
        <v>218</v>
      </c>
      <c r="C162" s="258" t="s">
        <v>219</v>
      </c>
      <c r="D162" s="205">
        <v>165901746</v>
      </c>
      <c r="E162" s="205">
        <v>0</v>
      </c>
      <c r="F162" s="205">
        <v>34052028</v>
      </c>
      <c r="G162" s="205">
        <v>199953774</v>
      </c>
      <c r="H162" s="205">
        <v>3318034.92</v>
      </c>
      <c r="I162" s="205">
        <v>0</v>
      </c>
      <c r="J162" s="205">
        <v>681040.56</v>
      </c>
      <c r="K162" s="205">
        <v>3999075.48</v>
      </c>
      <c r="L162" s="205">
        <v>3555000</v>
      </c>
      <c r="M162" s="205">
        <v>0</v>
      </c>
      <c r="N162" s="205">
        <v>945000</v>
      </c>
      <c r="O162" s="205">
        <v>4500000</v>
      </c>
      <c r="P162" s="205">
        <v>159028711</v>
      </c>
      <c r="Q162" s="205">
        <v>0</v>
      </c>
      <c r="R162" s="205">
        <v>32425987.4</v>
      </c>
      <c r="S162" s="205">
        <v>191454699</v>
      </c>
      <c r="T162" s="205">
        <v>0</v>
      </c>
      <c r="U162" s="205">
        <v>0</v>
      </c>
      <c r="V162" s="205">
        <v>0</v>
      </c>
      <c r="W162" s="205">
        <v>0</v>
      </c>
      <c r="X162" s="205">
        <v>0</v>
      </c>
      <c r="Y162" s="205">
        <v>47968</v>
      </c>
      <c r="Z162" s="205">
        <v>0</v>
      </c>
      <c r="AA162" s="205">
        <v>33516376.9</v>
      </c>
      <c r="AB162" s="205">
        <v>0</v>
      </c>
      <c r="AC162" s="205">
        <v>0</v>
      </c>
      <c r="AD162" s="205">
        <v>0</v>
      </c>
    </row>
    <row r="163" spans="1:30" ht="12.75">
      <c r="A163" s="169">
        <v>156</v>
      </c>
      <c r="B163" s="172" t="s">
        <v>220</v>
      </c>
      <c r="C163" s="258" t="s">
        <v>221</v>
      </c>
      <c r="D163" s="205">
        <v>69213227.4</v>
      </c>
      <c r="E163" s="205">
        <v>0</v>
      </c>
      <c r="F163" s="205">
        <v>0</v>
      </c>
      <c r="G163" s="205">
        <v>69213227.4</v>
      </c>
      <c r="H163" s="205">
        <v>5442000</v>
      </c>
      <c r="I163" s="205">
        <v>0</v>
      </c>
      <c r="J163" s="205">
        <v>0</v>
      </c>
      <c r="K163" s="205">
        <v>5442000</v>
      </c>
      <c r="L163" s="205">
        <v>3253778.45</v>
      </c>
      <c r="M163" s="205">
        <v>0</v>
      </c>
      <c r="N163" s="205">
        <v>0</v>
      </c>
      <c r="O163" s="205">
        <v>3253778.45</v>
      </c>
      <c r="P163" s="205">
        <v>60517449</v>
      </c>
      <c r="Q163" s="205">
        <v>0</v>
      </c>
      <c r="R163" s="205">
        <v>0</v>
      </c>
      <c r="S163" s="205">
        <v>60517449</v>
      </c>
      <c r="T163" s="205">
        <v>0</v>
      </c>
      <c r="U163" s="205">
        <v>0</v>
      </c>
      <c r="V163" s="205">
        <v>0</v>
      </c>
      <c r="W163" s="205">
        <v>0</v>
      </c>
      <c r="X163" s="205">
        <v>0</v>
      </c>
      <c r="Y163" s="205">
        <v>0</v>
      </c>
      <c r="Z163" s="205">
        <v>0</v>
      </c>
      <c r="AA163" s="205">
        <v>0</v>
      </c>
      <c r="AB163" s="205">
        <v>0</v>
      </c>
      <c r="AC163" s="205">
        <v>0</v>
      </c>
      <c r="AD163" s="205">
        <v>0</v>
      </c>
    </row>
    <row r="164" spans="1:30" ht="12.75">
      <c r="A164" s="169">
        <v>157</v>
      </c>
      <c r="B164" s="172" t="s">
        <v>222</v>
      </c>
      <c r="C164" s="258" t="s">
        <v>223</v>
      </c>
      <c r="D164" s="205">
        <v>57025319</v>
      </c>
      <c r="E164" s="205">
        <v>0</v>
      </c>
      <c r="F164" s="205">
        <v>0</v>
      </c>
      <c r="G164" s="205">
        <v>57025319</v>
      </c>
      <c r="H164" s="205">
        <v>855670</v>
      </c>
      <c r="I164" s="205">
        <v>0</v>
      </c>
      <c r="J164" s="205">
        <v>0</v>
      </c>
      <c r="K164" s="205">
        <v>855670</v>
      </c>
      <c r="L164" s="205">
        <v>500000</v>
      </c>
      <c r="M164" s="205">
        <v>0</v>
      </c>
      <c r="N164" s="205">
        <v>0</v>
      </c>
      <c r="O164" s="205">
        <v>500000</v>
      </c>
      <c r="P164" s="205">
        <v>55669649</v>
      </c>
      <c r="Q164" s="205">
        <v>0</v>
      </c>
      <c r="R164" s="205">
        <v>0</v>
      </c>
      <c r="S164" s="205">
        <v>55669649</v>
      </c>
      <c r="T164" s="205">
        <v>0</v>
      </c>
      <c r="U164" s="205">
        <v>0</v>
      </c>
      <c r="V164" s="205">
        <v>0</v>
      </c>
      <c r="W164" s="205">
        <v>0</v>
      </c>
      <c r="X164" s="205">
        <v>0</v>
      </c>
      <c r="Y164" s="205">
        <v>0</v>
      </c>
      <c r="Z164" s="205">
        <v>0</v>
      </c>
      <c r="AA164" s="205">
        <v>0</v>
      </c>
      <c r="AB164" s="205">
        <v>0</v>
      </c>
      <c r="AC164" s="205">
        <v>0</v>
      </c>
      <c r="AD164" s="205">
        <v>0</v>
      </c>
    </row>
    <row r="165" spans="1:30" ht="12.75">
      <c r="A165" s="169">
        <v>158</v>
      </c>
      <c r="B165" s="172" t="s">
        <v>224</v>
      </c>
      <c r="C165" s="258" t="s">
        <v>225</v>
      </c>
      <c r="D165" s="205">
        <v>13724303.5</v>
      </c>
      <c r="E165" s="205">
        <v>0</v>
      </c>
      <c r="F165" s="205">
        <v>0</v>
      </c>
      <c r="G165" s="205">
        <v>13724303.5</v>
      </c>
      <c r="H165" s="205">
        <v>195200</v>
      </c>
      <c r="I165" s="205">
        <v>0</v>
      </c>
      <c r="J165" s="205">
        <v>0</v>
      </c>
      <c r="K165" s="205">
        <v>195200</v>
      </c>
      <c r="L165" s="205">
        <v>0</v>
      </c>
      <c r="M165" s="205">
        <v>0</v>
      </c>
      <c r="N165" s="205">
        <v>0</v>
      </c>
      <c r="O165" s="205">
        <v>0</v>
      </c>
      <c r="P165" s="205">
        <v>13529103.5</v>
      </c>
      <c r="Q165" s="205">
        <v>0</v>
      </c>
      <c r="R165" s="205">
        <v>0</v>
      </c>
      <c r="S165" s="205">
        <v>13529103.5</v>
      </c>
      <c r="T165" s="205">
        <v>399920</v>
      </c>
      <c r="U165" s="205">
        <v>0</v>
      </c>
      <c r="V165" s="205">
        <v>0</v>
      </c>
      <c r="W165" s="205">
        <v>399920</v>
      </c>
      <c r="X165" s="205">
        <v>0</v>
      </c>
      <c r="Y165" s="205">
        <v>0</v>
      </c>
      <c r="Z165" s="205">
        <v>0</v>
      </c>
      <c r="AA165" s="205">
        <v>0</v>
      </c>
      <c r="AB165" s="205">
        <v>0</v>
      </c>
      <c r="AC165" s="205">
        <v>0</v>
      </c>
      <c r="AD165" s="205">
        <v>399920</v>
      </c>
    </row>
    <row r="166" spans="1:30" ht="12.75">
      <c r="A166" s="169">
        <v>159</v>
      </c>
      <c r="B166" s="172" t="s">
        <v>226</v>
      </c>
      <c r="C166" s="258" t="s">
        <v>227</v>
      </c>
      <c r="D166" s="205">
        <v>15498783</v>
      </c>
      <c r="E166" s="205">
        <v>0</v>
      </c>
      <c r="F166" s="205">
        <v>0</v>
      </c>
      <c r="G166" s="205">
        <v>15498783</v>
      </c>
      <c r="H166" s="205">
        <v>154987.83</v>
      </c>
      <c r="I166" s="205">
        <v>0</v>
      </c>
      <c r="J166" s="205">
        <v>0</v>
      </c>
      <c r="K166" s="205">
        <v>154987.83</v>
      </c>
      <c r="L166" s="205">
        <v>188927</v>
      </c>
      <c r="M166" s="205">
        <v>0</v>
      </c>
      <c r="N166" s="205">
        <v>0</v>
      </c>
      <c r="O166" s="205">
        <v>188927</v>
      </c>
      <c r="P166" s="205">
        <v>15154868.2</v>
      </c>
      <c r="Q166" s="205">
        <v>0</v>
      </c>
      <c r="R166" s="205">
        <v>0</v>
      </c>
      <c r="S166" s="205">
        <v>15154868.2</v>
      </c>
      <c r="T166" s="205">
        <v>0</v>
      </c>
      <c r="U166" s="205">
        <v>0</v>
      </c>
      <c r="V166" s="205">
        <v>0</v>
      </c>
      <c r="W166" s="205">
        <v>0</v>
      </c>
      <c r="X166" s="205">
        <v>0</v>
      </c>
      <c r="Y166" s="205">
        <v>0</v>
      </c>
      <c r="Z166" s="205">
        <v>0</v>
      </c>
      <c r="AA166" s="205">
        <v>0</v>
      </c>
      <c r="AB166" s="205">
        <v>0</v>
      </c>
      <c r="AC166" s="205">
        <v>0</v>
      </c>
      <c r="AD166" s="205">
        <v>0</v>
      </c>
    </row>
    <row r="167" spans="1:30" ht="12.75">
      <c r="A167" s="169">
        <v>160</v>
      </c>
      <c r="B167" s="172" t="s">
        <v>228</v>
      </c>
      <c r="C167" s="258" t="s">
        <v>229</v>
      </c>
      <c r="D167" s="205">
        <v>331461958</v>
      </c>
      <c r="E167" s="205">
        <v>0</v>
      </c>
      <c r="F167" s="205">
        <v>5747067</v>
      </c>
      <c r="G167" s="205">
        <v>337209025</v>
      </c>
      <c r="H167" s="205">
        <v>7001024</v>
      </c>
      <c r="I167" s="205">
        <v>0</v>
      </c>
      <c r="J167" s="205">
        <v>0</v>
      </c>
      <c r="K167" s="205">
        <v>7001024</v>
      </c>
      <c r="L167" s="205">
        <v>19637304</v>
      </c>
      <c r="M167" s="205">
        <v>0</v>
      </c>
      <c r="N167" s="205">
        <v>0</v>
      </c>
      <c r="O167" s="205">
        <v>19637304</v>
      </c>
      <c r="P167" s="205">
        <v>304823630</v>
      </c>
      <c r="Q167" s="205">
        <v>0</v>
      </c>
      <c r="R167" s="205">
        <v>5747067</v>
      </c>
      <c r="S167" s="205">
        <v>310570697</v>
      </c>
      <c r="T167" s="205">
        <v>0</v>
      </c>
      <c r="U167" s="205">
        <v>0</v>
      </c>
      <c r="V167" s="205">
        <v>0</v>
      </c>
      <c r="W167" s="205">
        <v>0</v>
      </c>
      <c r="X167" s="205">
        <v>0</v>
      </c>
      <c r="Y167" s="205">
        <v>233</v>
      </c>
      <c r="Z167" s="205">
        <v>0</v>
      </c>
      <c r="AA167" s="205">
        <v>5747300</v>
      </c>
      <c r="AB167" s="205">
        <v>0</v>
      </c>
      <c r="AC167" s="205">
        <v>0</v>
      </c>
      <c r="AD167" s="205">
        <v>0</v>
      </c>
    </row>
    <row r="168" spans="1:30" ht="12.75">
      <c r="A168" s="169">
        <v>161</v>
      </c>
      <c r="B168" s="172" t="s">
        <v>230</v>
      </c>
      <c r="C168" s="258" t="s">
        <v>231</v>
      </c>
      <c r="D168" s="205">
        <v>29565112</v>
      </c>
      <c r="E168" s="205">
        <v>0</v>
      </c>
      <c r="F168" s="205">
        <v>0</v>
      </c>
      <c r="G168" s="205">
        <v>29565112</v>
      </c>
      <c r="H168" s="205">
        <v>600000</v>
      </c>
      <c r="I168" s="205">
        <v>0</v>
      </c>
      <c r="J168" s="205">
        <v>0</v>
      </c>
      <c r="K168" s="205">
        <v>600000</v>
      </c>
      <c r="L168" s="205">
        <v>115000</v>
      </c>
      <c r="M168" s="205">
        <v>0</v>
      </c>
      <c r="N168" s="205">
        <v>0</v>
      </c>
      <c r="O168" s="205">
        <v>115000</v>
      </c>
      <c r="P168" s="205">
        <v>28850112</v>
      </c>
      <c r="Q168" s="205">
        <v>0</v>
      </c>
      <c r="R168" s="205">
        <v>0</v>
      </c>
      <c r="S168" s="205">
        <v>28850112</v>
      </c>
      <c r="T168" s="205">
        <v>0</v>
      </c>
      <c r="U168" s="205">
        <v>0</v>
      </c>
      <c r="V168" s="205">
        <v>0</v>
      </c>
      <c r="W168" s="205">
        <v>0</v>
      </c>
      <c r="X168" s="205">
        <v>0</v>
      </c>
      <c r="Y168" s="205">
        <v>0</v>
      </c>
      <c r="Z168" s="205">
        <v>0</v>
      </c>
      <c r="AA168" s="205">
        <v>0</v>
      </c>
      <c r="AB168" s="205">
        <v>0</v>
      </c>
      <c r="AC168" s="205">
        <v>0</v>
      </c>
      <c r="AD168" s="205">
        <v>0</v>
      </c>
    </row>
    <row r="169" spans="1:30" ht="12.75">
      <c r="A169" s="169">
        <v>162</v>
      </c>
      <c r="B169" s="172" t="s">
        <v>232</v>
      </c>
      <c r="C169" s="258" t="s">
        <v>233</v>
      </c>
      <c r="D169" s="205">
        <v>89399292.7</v>
      </c>
      <c r="E169" s="205">
        <v>0</v>
      </c>
      <c r="F169" s="205">
        <v>0</v>
      </c>
      <c r="G169" s="205">
        <v>89399292.7</v>
      </c>
      <c r="H169" s="205">
        <v>980000</v>
      </c>
      <c r="I169" s="205">
        <v>0</v>
      </c>
      <c r="J169" s="205">
        <v>0</v>
      </c>
      <c r="K169" s="205">
        <v>980000</v>
      </c>
      <c r="L169" s="205">
        <v>3158022</v>
      </c>
      <c r="M169" s="205">
        <v>0</v>
      </c>
      <c r="N169" s="205">
        <v>0</v>
      </c>
      <c r="O169" s="205">
        <v>3158022</v>
      </c>
      <c r="P169" s="205">
        <v>85261270.7</v>
      </c>
      <c r="Q169" s="205">
        <v>0</v>
      </c>
      <c r="R169" s="205">
        <v>0</v>
      </c>
      <c r="S169" s="205">
        <v>85261270.7</v>
      </c>
      <c r="T169" s="205">
        <v>0</v>
      </c>
      <c r="U169" s="205">
        <v>0</v>
      </c>
      <c r="V169" s="205">
        <v>0</v>
      </c>
      <c r="W169" s="205">
        <v>0</v>
      </c>
      <c r="X169" s="205">
        <v>0</v>
      </c>
      <c r="Y169" s="205">
        <v>0</v>
      </c>
      <c r="Z169" s="205">
        <v>0</v>
      </c>
      <c r="AA169" s="205">
        <v>0</v>
      </c>
      <c r="AB169" s="205">
        <v>0</v>
      </c>
      <c r="AC169" s="205">
        <v>0</v>
      </c>
      <c r="AD169" s="205">
        <v>0</v>
      </c>
    </row>
    <row r="170" spans="1:30" ht="12.75">
      <c r="A170" s="169">
        <v>163</v>
      </c>
      <c r="B170" s="172" t="s">
        <v>234</v>
      </c>
      <c r="C170" s="258" t="s">
        <v>235</v>
      </c>
      <c r="D170" s="205">
        <v>12635125</v>
      </c>
      <c r="E170" s="205">
        <v>0</v>
      </c>
      <c r="F170" s="205">
        <v>0</v>
      </c>
      <c r="G170" s="205">
        <v>12635125</v>
      </c>
      <c r="H170" s="205">
        <v>94538</v>
      </c>
      <c r="I170" s="205">
        <v>0</v>
      </c>
      <c r="J170" s="205">
        <v>0</v>
      </c>
      <c r="K170" s="205">
        <v>94538</v>
      </c>
      <c r="L170" s="205">
        <v>130000</v>
      </c>
      <c r="M170" s="205">
        <v>0</v>
      </c>
      <c r="N170" s="205">
        <v>0</v>
      </c>
      <c r="O170" s="205">
        <v>130000</v>
      </c>
      <c r="P170" s="205">
        <v>12410587</v>
      </c>
      <c r="Q170" s="205">
        <v>0</v>
      </c>
      <c r="R170" s="205">
        <v>0</v>
      </c>
      <c r="S170" s="205">
        <v>12410587</v>
      </c>
      <c r="T170" s="205">
        <v>0</v>
      </c>
      <c r="U170" s="205">
        <v>0</v>
      </c>
      <c r="V170" s="205">
        <v>0</v>
      </c>
      <c r="W170" s="205">
        <v>0</v>
      </c>
      <c r="X170" s="205">
        <v>0</v>
      </c>
      <c r="Y170" s="205">
        <v>0</v>
      </c>
      <c r="Z170" s="205">
        <v>0</v>
      </c>
      <c r="AA170" s="205">
        <v>0</v>
      </c>
      <c r="AB170" s="205">
        <v>0</v>
      </c>
      <c r="AC170" s="205">
        <v>0</v>
      </c>
      <c r="AD170" s="205">
        <v>0</v>
      </c>
    </row>
    <row r="171" spans="1:30" ht="12.75">
      <c r="A171" s="169">
        <v>164</v>
      </c>
      <c r="B171" s="172" t="s">
        <v>236</v>
      </c>
      <c r="C171" s="258" t="s">
        <v>237</v>
      </c>
      <c r="D171" s="205">
        <v>34448358.8</v>
      </c>
      <c r="E171" s="205">
        <v>0</v>
      </c>
      <c r="F171" s="205">
        <v>0</v>
      </c>
      <c r="G171" s="205">
        <v>34448358.8</v>
      </c>
      <c r="H171" s="205">
        <v>111041</v>
      </c>
      <c r="I171" s="205">
        <v>0</v>
      </c>
      <c r="J171" s="205">
        <v>0</v>
      </c>
      <c r="K171" s="205">
        <v>111041</v>
      </c>
      <c r="L171" s="205">
        <v>1253113</v>
      </c>
      <c r="M171" s="205">
        <v>0</v>
      </c>
      <c r="N171" s="205">
        <v>0</v>
      </c>
      <c r="O171" s="205">
        <v>1253113</v>
      </c>
      <c r="P171" s="205">
        <v>33084204.8</v>
      </c>
      <c r="Q171" s="205">
        <v>0</v>
      </c>
      <c r="R171" s="205">
        <v>0</v>
      </c>
      <c r="S171" s="205">
        <v>33084204.8</v>
      </c>
      <c r="T171" s="205">
        <v>0</v>
      </c>
      <c r="U171" s="205">
        <v>0</v>
      </c>
      <c r="V171" s="205">
        <v>0</v>
      </c>
      <c r="W171" s="205">
        <v>0</v>
      </c>
      <c r="X171" s="205">
        <v>0</v>
      </c>
      <c r="Y171" s="205">
        <v>0</v>
      </c>
      <c r="Z171" s="205">
        <v>0</v>
      </c>
      <c r="AA171" s="205">
        <v>0</v>
      </c>
      <c r="AB171" s="205">
        <v>0</v>
      </c>
      <c r="AC171" s="205">
        <v>0</v>
      </c>
      <c r="AD171" s="205">
        <v>0</v>
      </c>
    </row>
    <row r="172" spans="1:30" ht="12.75">
      <c r="A172" s="169">
        <v>165</v>
      </c>
      <c r="B172" s="172" t="s">
        <v>238</v>
      </c>
      <c r="C172" s="258" t="s">
        <v>239</v>
      </c>
      <c r="D172" s="205">
        <v>86882690</v>
      </c>
      <c r="E172" s="205">
        <v>0</v>
      </c>
      <c r="F172" s="205">
        <v>0</v>
      </c>
      <c r="G172" s="205">
        <v>86882690</v>
      </c>
      <c r="H172" s="205">
        <v>1283611</v>
      </c>
      <c r="I172" s="205">
        <v>0</v>
      </c>
      <c r="J172" s="205">
        <v>0</v>
      </c>
      <c r="K172" s="205">
        <v>1283611</v>
      </c>
      <c r="L172" s="205">
        <v>1092044</v>
      </c>
      <c r="M172" s="205">
        <v>0</v>
      </c>
      <c r="N172" s="205">
        <v>0</v>
      </c>
      <c r="O172" s="205">
        <v>1092044</v>
      </c>
      <c r="P172" s="205">
        <v>84507035</v>
      </c>
      <c r="Q172" s="205">
        <v>0</v>
      </c>
      <c r="R172" s="205">
        <v>0</v>
      </c>
      <c r="S172" s="205">
        <v>84507035</v>
      </c>
      <c r="T172" s="205">
        <v>0</v>
      </c>
      <c r="U172" s="205">
        <v>0</v>
      </c>
      <c r="V172" s="205">
        <v>0</v>
      </c>
      <c r="W172" s="205">
        <v>0</v>
      </c>
      <c r="X172" s="205">
        <v>0</v>
      </c>
      <c r="Y172" s="205">
        <v>0</v>
      </c>
      <c r="Z172" s="205">
        <v>0</v>
      </c>
      <c r="AA172" s="205">
        <v>0</v>
      </c>
      <c r="AB172" s="205">
        <v>0</v>
      </c>
      <c r="AC172" s="205">
        <v>0</v>
      </c>
      <c r="AD172" s="205">
        <v>0</v>
      </c>
    </row>
    <row r="173" spans="1:30" ht="12.75">
      <c r="A173" s="169">
        <v>166</v>
      </c>
      <c r="B173" s="172" t="s">
        <v>240</v>
      </c>
      <c r="C173" s="258" t="s">
        <v>241</v>
      </c>
      <c r="D173" s="205">
        <v>14923136.1</v>
      </c>
      <c r="E173" s="205">
        <v>0</v>
      </c>
      <c r="F173" s="205">
        <v>0</v>
      </c>
      <c r="G173" s="205">
        <v>14923136.1</v>
      </c>
      <c r="H173" s="205">
        <v>160000</v>
      </c>
      <c r="I173" s="205">
        <v>0</v>
      </c>
      <c r="J173" s="205">
        <v>0</v>
      </c>
      <c r="K173" s="205">
        <v>160000</v>
      </c>
      <c r="L173" s="205">
        <v>215030</v>
      </c>
      <c r="M173" s="205">
        <v>0</v>
      </c>
      <c r="N173" s="205">
        <v>0</v>
      </c>
      <c r="O173" s="205">
        <v>215030</v>
      </c>
      <c r="P173" s="205">
        <v>14548106.1</v>
      </c>
      <c r="Q173" s="205">
        <v>0</v>
      </c>
      <c r="R173" s="205">
        <v>0</v>
      </c>
      <c r="S173" s="205">
        <v>14548106.1</v>
      </c>
      <c r="T173" s="205">
        <v>42000</v>
      </c>
      <c r="U173" s="205">
        <v>0</v>
      </c>
      <c r="V173" s="205">
        <v>0</v>
      </c>
      <c r="W173" s="205">
        <v>42000</v>
      </c>
      <c r="X173" s="205">
        <v>0</v>
      </c>
      <c r="Y173" s="205">
        <v>0</v>
      </c>
      <c r="Z173" s="205">
        <v>0</v>
      </c>
      <c r="AA173" s="205">
        <v>0</v>
      </c>
      <c r="AB173" s="205">
        <v>0</v>
      </c>
      <c r="AC173" s="205">
        <v>0</v>
      </c>
      <c r="AD173" s="205">
        <v>42000</v>
      </c>
    </row>
    <row r="174" spans="1:30" ht="12.75">
      <c r="A174" s="169">
        <v>167</v>
      </c>
      <c r="B174" s="172" t="s">
        <v>242</v>
      </c>
      <c r="C174" s="258" t="s">
        <v>243</v>
      </c>
      <c r="D174" s="205">
        <v>21832291.6</v>
      </c>
      <c r="E174" s="205">
        <v>0</v>
      </c>
      <c r="F174" s="205">
        <v>0</v>
      </c>
      <c r="G174" s="205">
        <v>21832291.6</v>
      </c>
      <c r="H174" s="205">
        <v>218322.92</v>
      </c>
      <c r="I174" s="205">
        <v>0</v>
      </c>
      <c r="J174" s="205">
        <v>0</v>
      </c>
      <c r="K174" s="205">
        <v>218322.92</v>
      </c>
      <c r="L174" s="205">
        <v>91558.31</v>
      </c>
      <c r="M174" s="205">
        <v>0</v>
      </c>
      <c r="N174" s="205">
        <v>0</v>
      </c>
      <c r="O174" s="205">
        <v>91558.31</v>
      </c>
      <c r="P174" s="205">
        <v>21522410.4</v>
      </c>
      <c r="Q174" s="205">
        <v>0</v>
      </c>
      <c r="R174" s="205">
        <v>0</v>
      </c>
      <c r="S174" s="205">
        <v>21522410.4</v>
      </c>
      <c r="T174" s="205">
        <v>51092</v>
      </c>
      <c r="U174" s="205">
        <v>0</v>
      </c>
      <c r="V174" s="205">
        <v>0</v>
      </c>
      <c r="W174" s="205">
        <v>51092</v>
      </c>
      <c r="X174" s="205">
        <v>0</v>
      </c>
      <c r="Y174" s="205">
        <v>0</v>
      </c>
      <c r="Z174" s="205">
        <v>0</v>
      </c>
      <c r="AA174" s="205">
        <v>0</v>
      </c>
      <c r="AB174" s="205">
        <v>0</v>
      </c>
      <c r="AC174" s="205">
        <v>0</v>
      </c>
      <c r="AD174" s="205">
        <v>51092</v>
      </c>
    </row>
    <row r="175" spans="1:30" ht="12.75">
      <c r="A175" s="169">
        <v>168</v>
      </c>
      <c r="B175" s="172" t="s">
        <v>244</v>
      </c>
      <c r="C175" s="258" t="s">
        <v>245</v>
      </c>
      <c r="D175" s="205">
        <v>42472605.2</v>
      </c>
      <c r="E175" s="205">
        <v>0</v>
      </c>
      <c r="F175" s="205">
        <v>0</v>
      </c>
      <c r="G175" s="205">
        <v>42472605.2</v>
      </c>
      <c r="H175" s="205">
        <v>424728.91</v>
      </c>
      <c r="I175" s="205">
        <v>0</v>
      </c>
      <c r="J175" s="205">
        <v>0</v>
      </c>
      <c r="K175" s="205">
        <v>424728.91</v>
      </c>
      <c r="L175" s="205">
        <v>200000</v>
      </c>
      <c r="M175" s="205">
        <v>0</v>
      </c>
      <c r="N175" s="205">
        <v>0</v>
      </c>
      <c r="O175" s="205">
        <v>200000</v>
      </c>
      <c r="P175" s="205">
        <v>41847876.2</v>
      </c>
      <c r="Q175" s="205">
        <v>0</v>
      </c>
      <c r="R175" s="205">
        <v>0</v>
      </c>
      <c r="S175" s="205">
        <v>41847876.2</v>
      </c>
      <c r="T175" s="205">
        <v>0</v>
      </c>
      <c r="U175" s="205">
        <v>0</v>
      </c>
      <c r="V175" s="205">
        <v>0</v>
      </c>
      <c r="W175" s="205">
        <v>0</v>
      </c>
      <c r="X175" s="205">
        <v>0</v>
      </c>
      <c r="Y175" s="205">
        <v>0</v>
      </c>
      <c r="Z175" s="205">
        <v>0</v>
      </c>
      <c r="AA175" s="205">
        <v>0</v>
      </c>
      <c r="AB175" s="205">
        <v>0</v>
      </c>
      <c r="AC175" s="205">
        <v>0</v>
      </c>
      <c r="AD175" s="205">
        <v>0</v>
      </c>
    </row>
    <row r="176" spans="1:30" ht="12.75">
      <c r="A176" s="169">
        <v>169</v>
      </c>
      <c r="B176" s="172" t="s">
        <v>246</v>
      </c>
      <c r="C176" s="258" t="s">
        <v>247</v>
      </c>
      <c r="D176" s="205">
        <v>41932524.6</v>
      </c>
      <c r="E176" s="205">
        <v>0</v>
      </c>
      <c r="F176" s="205">
        <v>0</v>
      </c>
      <c r="G176" s="205">
        <v>41932524.6</v>
      </c>
      <c r="H176" s="205">
        <v>700000</v>
      </c>
      <c r="I176" s="205">
        <v>0</v>
      </c>
      <c r="J176" s="205">
        <v>0</v>
      </c>
      <c r="K176" s="205">
        <v>700000</v>
      </c>
      <c r="L176" s="205">
        <v>2287979.42</v>
      </c>
      <c r="M176" s="205">
        <v>0</v>
      </c>
      <c r="N176" s="205">
        <v>0</v>
      </c>
      <c r="O176" s="205">
        <v>2287979.42</v>
      </c>
      <c r="P176" s="205">
        <v>38944545.2</v>
      </c>
      <c r="Q176" s="205">
        <v>0</v>
      </c>
      <c r="R176" s="205">
        <v>0</v>
      </c>
      <c r="S176" s="205">
        <v>38944545.2</v>
      </c>
      <c r="T176" s="205">
        <v>0</v>
      </c>
      <c r="U176" s="205">
        <v>0</v>
      </c>
      <c r="V176" s="205">
        <v>0</v>
      </c>
      <c r="W176" s="205">
        <v>0</v>
      </c>
      <c r="X176" s="205">
        <v>0</v>
      </c>
      <c r="Y176" s="205">
        <v>0</v>
      </c>
      <c r="Z176" s="205">
        <v>0</v>
      </c>
      <c r="AA176" s="205">
        <v>0</v>
      </c>
      <c r="AB176" s="205">
        <v>0</v>
      </c>
      <c r="AC176" s="205">
        <v>0</v>
      </c>
      <c r="AD176" s="205">
        <v>0</v>
      </c>
    </row>
    <row r="177" spans="1:30" ht="12.75">
      <c r="A177" s="169">
        <v>170</v>
      </c>
      <c r="B177" s="172" t="s">
        <v>248</v>
      </c>
      <c r="C177" s="258" t="s">
        <v>249</v>
      </c>
      <c r="D177" s="205">
        <v>153089870</v>
      </c>
      <c r="E177" s="205">
        <v>0</v>
      </c>
      <c r="F177" s="205">
        <v>0</v>
      </c>
      <c r="G177" s="205">
        <v>153089870</v>
      </c>
      <c r="H177" s="205">
        <v>1500000</v>
      </c>
      <c r="I177" s="205">
        <v>0</v>
      </c>
      <c r="J177" s="205">
        <v>0</v>
      </c>
      <c r="K177" s="205">
        <v>1500000</v>
      </c>
      <c r="L177" s="205">
        <v>9000000</v>
      </c>
      <c r="M177" s="205">
        <v>0</v>
      </c>
      <c r="N177" s="205">
        <v>0</v>
      </c>
      <c r="O177" s="205">
        <v>9000000</v>
      </c>
      <c r="P177" s="205">
        <v>142589870</v>
      </c>
      <c r="Q177" s="205">
        <v>0</v>
      </c>
      <c r="R177" s="205">
        <v>0</v>
      </c>
      <c r="S177" s="205">
        <v>142589870</v>
      </c>
      <c r="T177" s="205">
        <v>0</v>
      </c>
      <c r="U177" s="205">
        <v>0</v>
      </c>
      <c r="V177" s="205">
        <v>0</v>
      </c>
      <c r="W177" s="205">
        <v>0</v>
      </c>
      <c r="X177" s="205">
        <v>0</v>
      </c>
      <c r="Y177" s="205">
        <v>0</v>
      </c>
      <c r="Z177" s="205">
        <v>0</v>
      </c>
      <c r="AA177" s="205">
        <v>0</v>
      </c>
      <c r="AB177" s="205">
        <v>0</v>
      </c>
      <c r="AC177" s="205">
        <v>0</v>
      </c>
      <c r="AD177" s="205">
        <v>0</v>
      </c>
    </row>
    <row r="178" spans="1:30" ht="12.75">
      <c r="A178" s="169">
        <v>171</v>
      </c>
      <c r="B178" s="172" t="s">
        <v>250</v>
      </c>
      <c r="C178" s="258" t="s">
        <v>251</v>
      </c>
      <c r="D178" s="205">
        <v>36342328</v>
      </c>
      <c r="E178" s="205">
        <v>0</v>
      </c>
      <c r="F178" s="205">
        <v>0</v>
      </c>
      <c r="G178" s="205">
        <v>36342328</v>
      </c>
      <c r="H178" s="205">
        <v>195000</v>
      </c>
      <c r="I178" s="205">
        <v>0</v>
      </c>
      <c r="J178" s="205">
        <v>0</v>
      </c>
      <c r="K178" s="205">
        <v>195000</v>
      </c>
      <c r="L178" s="205">
        <v>440000</v>
      </c>
      <c r="M178" s="205">
        <v>0</v>
      </c>
      <c r="N178" s="205">
        <v>0</v>
      </c>
      <c r="O178" s="205">
        <v>440000</v>
      </c>
      <c r="P178" s="205">
        <v>35707328</v>
      </c>
      <c r="Q178" s="205">
        <v>0</v>
      </c>
      <c r="R178" s="205">
        <v>0</v>
      </c>
      <c r="S178" s="205">
        <v>35707328</v>
      </c>
      <c r="T178" s="205">
        <v>0</v>
      </c>
      <c r="U178" s="205">
        <v>0</v>
      </c>
      <c r="V178" s="205">
        <v>0</v>
      </c>
      <c r="W178" s="205">
        <v>0</v>
      </c>
      <c r="X178" s="205">
        <v>0</v>
      </c>
      <c r="Y178" s="205">
        <v>0</v>
      </c>
      <c r="Z178" s="205">
        <v>0</v>
      </c>
      <c r="AA178" s="205">
        <v>0</v>
      </c>
      <c r="AB178" s="205">
        <v>0</v>
      </c>
      <c r="AC178" s="205">
        <v>0</v>
      </c>
      <c r="AD178" s="205">
        <v>0</v>
      </c>
    </row>
    <row r="179" spans="1:30" ht="12.75">
      <c r="A179" s="169">
        <v>172</v>
      </c>
      <c r="B179" s="172" t="s">
        <v>252</v>
      </c>
      <c r="C179" s="258" t="s">
        <v>253</v>
      </c>
      <c r="D179" s="205">
        <v>63411438.3</v>
      </c>
      <c r="E179" s="205">
        <v>0</v>
      </c>
      <c r="F179" s="205">
        <v>0</v>
      </c>
      <c r="G179" s="205">
        <v>63411438.3</v>
      </c>
      <c r="H179" s="205">
        <v>324132</v>
      </c>
      <c r="I179" s="205">
        <v>0</v>
      </c>
      <c r="J179" s="205">
        <v>0</v>
      </c>
      <c r="K179" s="205">
        <v>324132</v>
      </c>
      <c r="L179" s="205">
        <v>1691527</v>
      </c>
      <c r="M179" s="205">
        <v>0</v>
      </c>
      <c r="N179" s="205">
        <v>0</v>
      </c>
      <c r="O179" s="205">
        <v>1691527</v>
      </c>
      <c r="P179" s="205">
        <v>61395779.3</v>
      </c>
      <c r="Q179" s="205">
        <v>0</v>
      </c>
      <c r="R179" s="205">
        <v>0</v>
      </c>
      <c r="S179" s="205">
        <v>61395779.3</v>
      </c>
      <c r="T179" s="205">
        <v>10000</v>
      </c>
      <c r="U179" s="205">
        <v>0</v>
      </c>
      <c r="V179" s="205">
        <v>0</v>
      </c>
      <c r="W179" s="205">
        <v>10000</v>
      </c>
      <c r="X179" s="205">
        <v>0</v>
      </c>
      <c r="Y179" s="205">
        <v>0</v>
      </c>
      <c r="Z179" s="205">
        <v>0</v>
      </c>
      <c r="AA179" s="205">
        <v>0</v>
      </c>
      <c r="AB179" s="205">
        <v>0</v>
      </c>
      <c r="AC179" s="205">
        <v>0</v>
      </c>
      <c r="AD179" s="205">
        <v>10000</v>
      </c>
    </row>
    <row r="180" spans="1:30" ht="12.75">
      <c r="A180" s="169">
        <v>173</v>
      </c>
      <c r="B180" s="172" t="s">
        <v>254</v>
      </c>
      <c r="C180" s="258" t="s">
        <v>255</v>
      </c>
      <c r="D180" s="205">
        <v>39267391</v>
      </c>
      <c r="E180" s="205">
        <v>0</v>
      </c>
      <c r="F180" s="205">
        <v>0</v>
      </c>
      <c r="G180" s="205">
        <v>39267391</v>
      </c>
      <c r="H180" s="205">
        <v>382765</v>
      </c>
      <c r="I180" s="205">
        <v>0</v>
      </c>
      <c r="J180" s="205">
        <v>0</v>
      </c>
      <c r="K180" s="205">
        <v>382765</v>
      </c>
      <c r="L180" s="205">
        <v>354195</v>
      </c>
      <c r="M180" s="205">
        <v>0</v>
      </c>
      <c r="N180" s="205">
        <v>0</v>
      </c>
      <c r="O180" s="205">
        <v>354195</v>
      </c>
      <c r="P180" s="205">
        <v>38530431</v>
      </c>
      <c r="Q180" s="205">
        <v>0</v>
      </c>
      <c r="R180" s="205">
        <v>0</v>
      </c>
      <c r="S180" s="205">
        <v>38530431</v>
      </c>
      <c r="T180" s="205">
        <v>0</v>
      </c>
      <c r="U180" s="205">
        <v>0</v>
      </c>
      <c r="V180" s="205">
        <v>0</v>
      </c>
      <c r="W180" s="205">
        <v>0</v>
      </c>
      <c r="X180" s="205">
        <v>0</v>
      </c>
      <c r="Y180" s="205">
        <v>0</v>
      </c>
      <c r="Z180" s="205">
        <v>0</v>
      </c>
      <c r="AA180" s="205">
        <v>0</v>
      </c>
      <c r="AB180" s="205">
        <v>0</v>
      </c>
      <c r="AC180" s="205">
        <v>0</v>
      </c>
      <c r="AD180" s="205">
        <v>0</v>
      </c>
    </row>
    <row r="181" spans="1:30" ht="12.75">
      <c r="A181" s="169">
        <v>174</v>
      </c>
      <c r="B181" s="172" t="s">
        <v>256</v>
      </c>
      <c r="C181" s="258" t="s">
        <v>257</v>
      </c>
      <c r="D181" s="205">
        <v>147840015</v>
      </c>
      <c r="E181" s="205">
        <v>6790398</v>
      </c>
      <c r="F181" s="205">
        <v>629173</v>
      </c>
      <c r="G181" s="205">
        <v>155259586</v>
      </c>
      <c r="H181" s="205">
        <v>2069760.21</v>
      </c>
      <c r="I181" s="205">
        <v>95065.57</v>
      </c>
      <c r="J181" s="205">
        <v>8808.42</v>
      </c>
      <c r="K181" s="205">
        <v>2173634.2</v>
      </c>
      <c r="L181" s="205">
        <v>2237698</v>
      </c>
      <c r="M181" s="205">
        <v>102780</v>
      </c>
      <c r="N181" s="205">
        <v>9522</v>
      </c>
      <c r="O181" s="205">
        <v>2350000</v>
      </c>
      <c r="P181" s="205">
        <v>143532557</v>
      </c>
      <c r="Q181" s="205">
        <v>6592552</v>
      </c>
      <c r="R181" s="205">
        <v>610843</v>
      </c>
      <c r="S181" s="205">
        <v>150735952</v>
      </c>
      <c r="T181" s="205">
        <v>0</v>
      </c>
      <c r="U181" s="205">
        <v>0</v>
      </c>
      <c r="V181" s="205">
        <v>0</v>
      </c>
      <c r="W181" s="205">
        <v>0</v>
      </c>
      <c r="X181" s="205">
        <v>-82</v>
      </c>
      <c r="Y181" s="205">
        <v>0</v>
      </c>
      <c r="Z181" s="205">
        <v>5707806</v>
      </c>
      <c r="AA181" s="205">
        <v>66105.15</v>
      </c>
      <c r="AB181" s="205">
        <v>884664</v>
      </c>
      <c r="AC181" s="205">
        <v>544738</v>
      </c>
      <c r="AD181" s="205">
        <v>0</v>
      </c>
    </row>
    <row r="182" spans="1:30" ht="12.75">
      <c r="A182" s="169">
        <v>175</v>
      </c>
      <c r="B182" s="172" t="s">
        <v>258</v>
      </c>
      <c r="C182" s="258" t="s">
        <v>259</v>
      </c>
      <c r="D182" s="205">
        <v>33684954.9</v>
      </c>
      <c r="E182" s="205">
        <v>0</v>
      </c>
      <c r="F182" s="205">
        <v>0</v>
      </c>
      <c r="G182" s="205">
        <v>33684954.9</v>
      </c>
      <c r="H182" s="205">
        <v>350000</v>
      </c>
      <c r="I182" s="205">
        <v>0</v>
      </c>
      <c r="J182" s="205">
        <v>0</v>
      </c>
      <c r="K182" s="205">
        <v>350000</v>
      </c>
      <c r="L182" s="205">
        <v>626600</v>
      </c>
      <c r="M182" s="205">
        <v>0</v>
      </c>
      <c r="N182" s="205">
        <v>0</v>
      </c>
      <c r="O182" s="205">
        <v>626600</v>
      </c>
      <c r="P182" s="205">
        <v>32708354.9</v>
      </c>
      <c r="Q182" s="205">
        <v>0</v>
      </c>
      <c r="R182" s="205">
        <v>0</v>
      </c>
      <c r="S182" s="205">
        <v>32708354.9</v>
      </c>
      <c r="T182" s="205">
        <v>0</v>
      </c>
      <c r="U182" s="205">
        <v>0</v>
      </c>
      <c r="V182" s="205">
        <v>0</v>
      </c>
      <c r="W182" s="205">
        <v>0</v>
      </c>
      <c r="X182" s="205">
        <v>0</v>
      </c>
      <c r="Y182" s="205">
        <v>0</v>
      </c>
      <c r="Z182" s="205">
        <v>0</v>
      </c>
      <c r="AA182" s="205">
        <v>0</v>
      </c>
      <c r="AB182" s="205">
        <v>0</v>
      </c>
      <c r="AC182" s="205">
        <v>0</v>
      </c>
      <c r="AD182" s="205">
        <v>0</v>
      </c>
    </row>
    <row r="183" spans="1:30" ht="12.75">
      <c r="A183" s="169">
        <v>176</v>
      </c>
      <c r="B183" s="172" t="s">
        <v>260</v>
      </c>
      <c r="C183" s="258" t="s">
        <v>261</v>
      </c>
      <c r="D183" s="205">
        <v>135374832</v>
      </c>
      <c r="E183" s="205">
        <v>0</v>
      </c>
      <c r="F183" s="205">
        <v>308752.07</v>
      </c>
      <c r="G183" s="205">
        <v>135683584</v>
      </c>
      <c r="H183" s="205">
        <v>1274851.08</v>
      </c>
      <c r="I183" s="205">
        <v>0</v>
      </c>
      <c r="J183" s="205">
        <v>0</v>
      </c>
      <c r="K183" s="205">
        <v>1274851.08</v>
      </c>
      <c r="L183" s="205">
        <v>5000000</v>
      </c>
      <c r="M183" s="205">
        <v>0</v>
      </c>
      <c r="N183" s="205">
        <v>0</v>
      </c>
      <c r="O183" s="205">
        <v>5000000</v>
      </c>
      <c r="P183" s="205">
        <v>129099981</v>
      </c>
      <c r="Q183" s="205">
        <v>0</v>
      </c>
      <c r="R183" s="205">
        <v>308752.07</v>
      </c>
      <c r="S183" s="205">
        <v>129408733</v>
      </c>
      <c r="T183" s="205">
        <v>0</v>
      </c>
      <c r="U183" s="205">
        <v>0</v>
      </c>
      <c r="V183" s="205">
        <v>0</v>
      </c>
      <c r="W183" s="205">
        <v>0</v>
      </c>
      <c r="X183" s="205">
        <v>0</v>
      </c>
      <c r="Y183" s="205">
        <v>278.43</v>
      </c>
      <c r="Z183" s="205">
        <v>0</v>
      </c>
      <c r="AA183" s="205">
        <v>0</v>
      </c>
      <c r="AB183" s="205">
        <v>0</v>
      </c>
      <c r="AC183" s="205">
        <v>309030.5</v>
      </c>
      <c r="AD183" s="205">
        <v>0</v>
      </c>
    </row>
    <row r="184" spans="1:30" ht="12.75">
      <c r="A184" s="169">
        <v>177</v>
      </c>
      <c r="B184" s="172" t="s">
        <v>262</v>
      </c>
      <c r="C184" s="258" t="s">
        <v>263</v>
      </c>
      <c r="D184" s="205">
        <v>32197570</v>
      </c>
      <c r="E184" s="205">
        <v>0</v>
      </c>
      <c r="F184" s="205">
        <v>0</v>
      </c>
      <c r="G184" s="205">
        <v>32197570</v>
      </c>
      <c r="H184" s="205">
        <v>321976</v>
      </c>
      <c r="I184" s="205">
        <v>0</v>
      </c>
      <c r="J184" s="205">
        <v>0</v>
      </c>
      <c r="K184" s="205">
        <v>321976</v>
      </c>
      <c r="L184" s="205">
        <v>225383</v>
      </c>
      <c r="M184" s="205">
        <v>0</v>
      </c>
      <c r="N184" s="205">
        <v>0</v>
      </c>
      <c r="O184" s="205">
        <v>225383</v>
      </c>
      <c r="P184" s="205">
        <v>31650211</v>
      </c>
      <c r="Q184" s="205">
        <v>0</v>
      </c>
      <c r="R184" s="205">
        <v>0</v>
      </c>
      <c r="S184" s="205">
        <v>31650211</v>
      </c>
      <c r="T184" s="205">
        <v>25000</v>
      </c>
      <c r="U184" s="205">
        <v>0</v>
      </c>
      <c r="V184" s="205">
        <v>0</v>
      </c>
      <c r="W184" s="205">
        <v>25000</v>
      </c>
      <c r="X184" s="205">
        <v>0</v>
      </c>
      <c r="Y184" s="205">
        <v>0</v>
      </c>
      <c r="Z184" s="205">
        <v>0</v>
      </c>
      <c r="AA184" s="205">
        <v>0</v>
      </c>
      <c r="AB184" s="205">
        <v>0</v>
      </c>
      <c r="AC184" s="205">
        <v>0</v>
      </c>
      <c r="AD184" s="205">
        <v>25000</v>
      </c>
    </row>
    <row r="185" spans="1:30" ht="12.75">
      <c r="A185" s="169">
        <v>178</v>
      </c>
      <c r="B185" s="172" t="s">
        <v>264</v>
      </c>
      <c r="C185" s="258" t="s">
        <v>265</v>
      </c>
      <c r="D185" s="205">
        <v>13470623</v>
      </c>
      <c r="E185" s="205">
        <v>0</v>
      </c>
      <c r="F185" s="205">
        <v>0</v>
      </c>
      <c r="G185" s="205">
        <v>13470623</v>
      </c>
      <c r="H185" s="205">
        <v>269412</v>
      </c>
      <c r="I185" s="205">
        <v>0</v>
      </c>
      <c r="J185" s="205">
        <v>0</v>
      </c>
      <c r="K185" s="205">
        <v>269412</v>
      </c>
      <c r="L185" s="205">
        <v>122390.54</v>
      </c>
      <c r="M185" s="205">
        <v>0</v>
      </c>
      <c r="N185" s="205">
        <v>0</v>
      </c>
      <c r="O185" s="205">
        <v>122390.54</v>
      </c>
      <c r="P185" s="205">
        <v>13078820.5</v>
      </c>
      <c r="Q185" s="205">
        <v>0</v>
      </c>
      <c r="R185" s="205">
        <v>0</v>
      </c>
      <c r="S185" s="205">
        <v>13078820.5</v>
      </c>
      <c r="T185" s="205">
        <v>0</v>
      </c>
      <c r="U185" s="205">
        <v>0</v>
      </c>
      <c r="V185" s="205">
        <v>0</v>
      </c>
      <c r="W185" s="205">
        <v>0</v>
      </c>
      <c r="X185" s="205">
        <v>0</v>
      </c>
      <c r="Y185" s="205">
        <v>0</v>
      </c>
      <c r="Z185" s="205">
        <v>0</v>
      </c>
      <c r="AA185" s="205">
        <v>0</v>
      </c>
      <c r="AB185" s="205">
        <v>0</v>
      </c>
      <c r="AC185" s="205">
        <v>0</v>
      </c>
      <c r="AD185" s="205">
        <v>0</v>
      </c>
    </row>
    <row r="186" spans="1:30" ht="12.75">
      <c r="A186" s="169">
        <v>179</v>
      </c>
      <c r="B186" s="172" t="s">
        <v>266</v>
      </c>
      <c r="C186" s="258" t="s">
        <v>267</v>
      </c>
      <c r="D186" s="205">
        <v>16032533</v>
      </c>
      <c r="E186" s="205">
        <v>0</v>
      </c>
      <c r="F186" s="205">
        <v>0</v>
      </c>
      <c r="G186" s="205">
        <v>16032533</v>
      </c>
      <c r="H186" s="205">
        <v>200407</v>
      </c>
      <c r="I186" s="205">
        <v>0</v>
      </c>
      <c r="J186" s="205">
        <v>0</v>
      </c>
      <c r="K186" s="205">
        <v>200407</v>
      </c>
      <c r="L186" s="205">
        <v>435347</v>
      </c>
      <c r="M186" s="205">
        <v>0</v>
      </c>
      <c r="N186" s="205">
        <v>0</v>
      </c>
      <c r="O186" s="205">
        <v>435347</v>
      </c>
      <c r="P186" s="205">
        <v>15396779</v>
      </c>
      <c r="Q186" s="205">
        <v>0</v>
      </c>
      <c r="R186" s="205">
        <v>0</v>
      </c>
      <c r="S186" s="205">
        <v>15396779</v>
      </c>
      <c r="T186" s="205">
        <v>0</v>
      </c>
      <c r="U186" s="205">
        <v>0</v>
      </c>
      <c r="V186" s="205">
        <v>0</v>
      </c>
      <c r="W186" s="205">
        <v>0</v>
      </c>
      <c r="X186" s="205">
        <v>0</v>
      </c>
      <c r="Y186" s="205">
        <v>0</v>
      </c>
      <c r="Z186" s="205">
        <v>0</v>
      </c>
      <c r="AA186" s="205">
        <v>0</v>
      </c>
      <c r="AB186" s="205">
        <v>0</v>
      </c>
      <c r="AC186" s="205">
        <v>0</v>
      </c>
      <c r="AD186" s="205">
        <v>0</v>
      </c>
    </row>
    <row r="187" spans="1:30" ht="12.75">
      <c r="A187" s="169">
        <v>180</v>
      </c>
      <c r="B187" s="172" t="s">
        <v>268</v>
      </c>
      <c r="C187" s="258" t="s">
        <v>269</v>
      </c>
      <c r="D187" s="205">
        <v>68539916</v>
      </c>
      <c r="E187" s="205">
        <v>0</v>
      </c>
      <c r="F187" s="205">
        <v>0</v>
      </c>
      <c r="G187" s="205">
        <v>68539916</v>
      </c>
      <c r="H187" s="205">
        <v>685399</v>
      </c>
      <c r="I187" s="205">
        <v>0</v>
      </c>
      <c r="J187" s="205">
        <v>0</v>
      </c>
      <c r="K187" s="205">
        <v>685399</v>
      </c>
      <c r="L187" s="205">
        <v>2040017</v>
      </c>
      <c r="M187" s="205">
        <v>0</v>
      </c>
      <c r="N187" s="205">
        <v>0</v>
      </c>
      <c r="O187" s="205">
        <v>2040017</v>
      </c>
      <c r="P187" s="205">
        <v>65814500</v>
      </c>
      <c r="Q187" s="205">
        <v>0</v>
      </c>
      <c r="R187" s="205">
        <v>0</v>
      </c>
      <c r="S187" s="205">
        <v>65814500</v>
      </c>
      <c r="T187" s="205">
        <v>0</v>
      </c>
      <c r="U187" s="205">
        <v>0</v>
      </c>
      <c r="V187" s="205">
        <v>0</v>
      </c>
      <c r="W187" s="205">
        <v>0</v>
      </c>
      <c r="X187" s="205">
        <v>0</v>
      </c>
      <c r="Y187" s="205">
        <v>0</v>
      </c>
      <c r="Z187" s="205">
        <v>0</v>
      </c>
      <c r="AA187" s="205">
        <v>0</v>
      </c>
      <c r="AB187" s="205">
        <v>0</v>
      </c>
      <c r="AC187" s="205">
        <v>0</v>
      </c>
      <c r="AD187" s="205">
        <v>0</v>
      </c>
    </row>
    <row r="188" spans="1:30" ht="12.75">
      <c r="A188" s="169">
        <v>181</v>
      </c>
      <c r="B188" s="172" t="s">
        <v>270</v>
      </c>
      <c r="C188" s="258" t="s">
        <v>271</v>
      </c>
      <c r="D188" s="205">
        <v>38337464</v>
      </c>
      <c r="E188" s="205">
        <v>0</v>
      </c>
      <c r="F188" s="205">
        <v>0</v>
      </c>
      <c r="G188" s="205">
        <v>38337464</v>
      </c>
      <c r="H188" s="205">
        <v>470000</v>
      </c>
      <c r="I188" s="205">
        <v>0</v>
      </c>
      <c r="J188" s="205">
        <v>0</v>
      </c>
      <c r="K188" s="205">
        <v>470000</v>
      </c>
      <c r="L188" s="205">
        <v>200000</v>
      </c>
      <c r="M188" s="205">
        <v>0</v>
      </c>
      <c r="N188" s="205">
        <v>0</v>
      </c>
      <c r="O188" s="205">
        <v>200000</v>
      </c>
      <c r="P188" s="205">
        <v>37667464</v>
      </c>
      <c r="Q188" s="205">
        <v>0</v>
      </c>
      <c r="R188" s="205">
        <v>0</v>
      </c>
      <c r="S188" s="205">
        <v>37667464</v>
      </c>
      <c r="T188" s="205">
        <v>0</v>
      </c>
      <c r="U188" s="205">
        <v>0</v>
      </c>
      <c r="V188" s="205">
        <v>0</v>
      </c>
      <c r="W188" s="205">
        <v>0</v>
      </c>
      <c r="X188" s="205">
        <v>0</v>
      </c>
      <c r="Y188" s="205">
        <v>0</v>
      </c>
      <c r="Z188" s="205">
        <v>0</v>
      </c>
      <c r="AA188" s="205">
        <v>0</v>
      </c>
      <c r="AB188" s="205">
        <v>0</v>
      </c>
      <c r="AC188" s="205">
        <v>0</v>
      </c>
      <c r="AD188" s="205">
        <v>0</v>
      </c>
    </row>
    <row r="189" spans="1:30" ht="12.75">
      <c r="A189" s="169">
        <v>182</v>
      </c>
      <c r="B189" s="172" t="s">
        <v>272</v>
      </c>
      <c r="C189" s="258" t="s">
        <v>273</v>
      </c>
      <c r="D189" s="205">
        <v>23655681</v>
      </c>
      <c r="E189" s="205">
        <v>0</v>
      </c>
      <c r="F189" s="205">
        <v>0</v>
      </c>
      <c r="G189" s="205">
        <v>23655681</v>
      </c>
      <c r="H189" s="205">
        <v>145000</v>
      </c>
      <c r="I189" s="205">
        <v>0</v>
      </c>
      <c r="J189" s="205">
        <v>0</v>
      </c>
      <c r="K189" s="205">
        <v>145000</v>
      </c>
      <c r="L189" s="205">
        <v>416000</v>
      </c>
      <c r="M189" s="205">
        <v>0</v>
      </c>
      <c r="N189" s="205">
        <v>0</v>
      </c>
      <c r="O189" s="205">
        <v>416000</v>
      </c>
      <c r="P189" s="205">
        <v>23094681</v>
      </c>
      <c r="Q189" s="205">
        <v>0</v>
      </c>
      <c r="R189" s="205">
        <v>0</v>
      </c>
      <c r="S189" s="205">
        <v>23094681</v>
      </c>
      <c r="T189" s="205">
        <v>300000</v>
      </c>
      <c r="U189" s="205">
        <v>0</v>
      </c>
      <c r="V189" s="205">
        <v>0</v>
      </c>
      <c r="W189" s="205">
        <v>300000</v>
      </c>
      <c r="X189" s="205">
        <v>0</v>
      </c>
      <c r="Y189" s="205">
        <v>0</v>
      </c>
      <c r="Z189" s="205">
        <v>0</v>
      </c>
      <c r="AA189" s="205">
        <v>0</v>
      </c>
      <c r="AB189" s="205">
        <v>0</v>
      </c>
      <c r="AC189" s="205">
        <v>0</v>
      </c>
      <c r="AD189" s="205">
        <v>300000</v>
      </c>
    </row>
    <row r="190" spans="1:30" ht="12.75">
      <c r="A190" s="169">
        <v>183</v>
      </c>
      <c r="B190" s="172" t="s">
        <v>274</v>
      </c>
      <c r="C190" s="258" t="s">
        <v>275</v>
      </c>
      <c r="D190" s="205">
        <v>90085153.5</v>
      </c>
      <c r="E190" s="205">
        <v>0</v>
      </c>
      <c r="F190" s="205">
        <v>0</v>
      </c>
      <c r="G190" s="205">
        <v>90085153.5</v>
      </c>
      <c r="H190" s="205">
        <v>606500</v>
      </c>
      <c r="I190" s="205">
        <v>0</v>
      </c>
      <c r="J190" s="205">
        <v>0</v>
      </c>
      <c r="K190" s="205">
        <v>606500</v>
      </c>
      <c r="L190" s="205">
        <v>5750000</v>
      </c>
      <c r="M190" s="205">
        <v>0</v>
      </c>
      <c r="N190" s="205">
        <v>0</v>
      </c>
      <c r="O190" s="205">
        <v>5750000</v>
      </c>
      <c r="P190" s="205">
        <v>83728653.5</v>
      </c>
      <c r="Q190" s="205">
        <v>0</v>
      </c>
      <c r="R190" s="205">
        <v>0</v>
      </c>
      <c r="S190" s="205">
        <v>83728653.5</v>
      </c>
      <c r="T190" s="205">
        <v>832660</v>
      </c>
      <c r="U190" s="205">
        <v>0</v>
      </c>
      <c r="V190" s="205">
        <v>0</v>
      </c>
      <c r="W190" s="205">
        <v>832660</v>
      </c>
      <c r="X190" s="205">
        <v>0</v>
      </c>
      <c r="Y190" s="205">
        <v>0</v>
      </c>
      <c r="Z190" s="205">
        <v>0</v>
      </c>
      <c r="AA190" s="205">
        <v>0</v>
      </c>
      <c r="AB190" s="205">
        <v>0</v>
      </c>
      <c r="AC190" s="205">
        <v>0</v>
      </c>
      <c r="AD190" s="205">
        <v>832660</v>
      </c>
    </row>
    <row r="191" spans="1:30" ht="12.75">
      <c r="A191" s="169">
        <v>184</v>
      </c>
      <c r="B191" s="172" t="s">
        <v>276</v>
      </c>
      <c r="C191" s="258" t="s">
        <v>277</v>
      </c>
      <c r="D191" s="205">
        <v>24626221</v>
      </c>
      <c r="E191" s="205">
        <v>0</v>
      </c>
      <c r="F191" s="205">
        <v>0</v>
      </c>
      <c r="G191" s="205">
        <v>24626221</v>
      </c>
      <c r="H191" s="205">
        <v>85000</v>
      </c>
      <c r="I191" s="205">
        <v>0</v>
      </c>
      <c r="J191" s="205">
        <v>0</v>
      </c>
      <c r="K191" s="205">
        <v>85000</v>
      </c>
      <c r="L191" s="205">
        <v>130741</v>
      </c>
      <c r="M191" s="205">
        <v>0</v>
      </c>
      <c r="N191" s="205">
        <v>0</v>
      </c>
      <c r="O191" s="205">
        <v>130741</v>
      </c>
      <c r="P191" s="205">
        <v>24410480</v>
      </c>
      <c r="Q191" s="205">
        <v>0</v>
      </c>
      <c r="R191" s="205">
        <v>0</v>
      </c>
      <c r="S191" s="205">
        <v>24410480</v>
      </c>
      <c r="T191" s="205">
        <v>46012</v>
      </c>
      <c r="U191" s="205">
        <v>0</v>
      </c>
      <c r="V191" s="205">
        <v>0</v>
      </c>
      <c r="W191" s="205">
        <v>46012</v>
      </c>
      <c r="X191" s="205">
        <v>0</v>
      </c>
      <c r="Y191" s="205">
        <v>0</v>
      </c>
      <c r="Z191" s="205">
        <v>0</v>
      </c>
      <c r="AA191" s="205">
        <v>0</v>
      </c>
      <c r="AB191" s="205">
        <v>0</v>
      </c>
      <c r="AC191" s="205">
        <v>0</v>
      </c>
      <c r="AD191" s="205">
        <v>46012</v>
      </c>
    </row>
    <row r="192" spans="1:30" ht="12.75">
      <c r="A192" s="169">
        <v>185</v>
      </c>
      <c r="B192" s="172" t="s">
        <v>278</v>
      </c>
      <c r="C192" s="258" t="s">
        <v>279</v>
      </c>
      <c r="D192" s="205">
        <v>57978652</v>
      </c>
      <c r="E192" s="205">
        <v>340712</v>
      </c>
      <c r="F192" s="205">
        <v>0</v>
      </c>
      <c r="G192" s="205">
        <v>58319364</v>
      </c>
      <c r="H192" s="205">
        <v>674157</v>
      </c>
      <c r="I192" s="205">
        <v>3933</v>
      </c>
      <c r="J192" s="205">
        <v>0</v>
      </c>
      <c r="K192" s="205">
        <v>678090</v>
      </c>
      <c r="L192" s="205">
        <v>1626844</v>
      </c>
      <c r="M192" s="205">
        <v>6836</v>
      </c>
      <c r="N192" s="205">
        <v>0</v>
      </c>
      <c r="O192" s="205">
        <v>1633680</v>
      </c>
      <c r="P192" s="205">
        <v>55677651</v>
      </c>
      <c r="Q192" s="205">
        <v>329943</v>
      </c>
      <c r="R192" s="205">
        <v>0</v>
      </c>
      <c r="S192" s="205">
        <v>56007594</v>
      </c>
      <c r="T192" s="205">
        <v>0</v>
      </c>
      <c r="U192" s="205">
        <v>0</v>
      </c>
      <c r="V192" s="205">
        <v>0</v>
      </c>
      <c r="W192" s="205">
        <v>0</v>
      </c>
      <c r="X192" s="205">
        <v>385</v>
      </c>
      <c r="Y192" s="205">
        <v>0</v>
      </c>
      <c r="Z192" s="205">
        <v>194973</v>
      </c>
      <c r="AA192" s="205">
        <v>0</v>
      </c>
      <c r="AB192" s="205">
        <v>135355</v>
      </c>
      <c r="AC192" s="205">
        <v>0</v>
      </c>
      <c r="AD192" s="205">
        <v>0</v>
      </c>
    </row>
    <row r="193" spans="1:30" ht="12.75">
      <c r="A193" s="169">
        <v>186</v>
      </c>
      <c r="B193" s="172" t="s">
        <v>280</v>
      </c>
      <c r="C193" s="258" t="s">
        <v>281</v>
      </c>
      <c r="D193" s="205">
        <v>59193494</v>
      </c>
      <c r="E193" s="205">
        <v>0</v>
      </c>
      <c r="F193" s="205">
        <v>546061</v>
      </c>
      <c r="G193" s="205">
        <v>59739555</v>
      </c>
      <c r="H193" s="205">
        <v>950000</v>
      </c>
      <c r="I193" s="205">
        <v>0</v>
      </c>
      <c r="J193" s="205">
        <v>0</v>
      </c>
      <c r="K193" s="205">
        <v>950000</v>
      </c>
      <c r="L193" s="205">
        <v>1900000</v>
      </c>
      <c r="M193" s="205">
        <v>0</v>
      </c>
      <c r="N193" s="205">
        <v>0</v>
      </c>
      <c r="O193" s="205">
        <v>1900000</v>
      </c>
      <c r="P193" s="205">
        <v>56343494</v>
      </c>
      <c r="Q193" s="205">
        <v>0</v>
      </c>
      <c r="R193" s="205">
        <v>546061</v>
      </c>
      <c r="S193" s="205">
        <v>56889555</v>
      </c>
      <c r="T193" s="205">
        <v>0</v>
      </c>
      <c r="U193" s="205">
        <v>0</v>
      </c>
      <c r="V193" s="205">
        <v>0</v>
      </c>
      <c r="W193" s="205">
        <v>0</v>
      </c>
      <c r="X193" s="205">
        <v>0</v>
      </c>
      <c r="Y193" s="205">
        <v>0</v>
      </c>
      <c r="Z193" s="205">
        <v>0</v>
      </c>
      <c r="AA193" s="205">
        <v>526228</v>
      </c>
      <c r="AB193" s="205">
        <v>0</v>
      </c>
      <c r="AC193" s="205">
        <v>19833</v>
      </c>
      <c r="AD193" s="205">
        <v>0</v>
      </c>
    </row>
    <row r="194" spans="1:30" ht="12.75">
      <c r="A194" s="169">
        <v>187</v>
      </c>
      <c r="B194" s="172" t="s">
        <v>282</v>
      </c>
      <c r="C194" s="258" t="s">
        <v>283</v>
      </c>
      <c r="D194" s="205">
        <v>42608719</v>
      </c>
      <c r="E194" s="205">
        <v>0</v>
      </c>
      <c r="F194" s="205">
        <v>0</v>
      </c>
      <c r="G194" s="205">
        <v>42608719</v>
      </c>
      <c r="H194" s="205">
        <v>130000</v>
      </c>
      <c r="I194" s="205">
        <v>0</v>
      </c>
      <c r="J194" s="205">
        <v>0</v>
      </c>
      <c r="K194" s="205">
        <v>130000</v>
      </c>
      <c r="L194" s="205">
        <v>650000</v>
      </c>
      <c r="M194" s="205">
        <v>0</v>
      </c>
      <c r="N194" s="205">
        <v>0</v>
      </c>
      <c r="O194" s="205">
        <v>650000</v>
      </c>
      <c r="P194" s="205">
        <v>41828719</v>
      </c>
      <c r="Q194" s="205">
        <v>0</v>
      </c>
      <c r="R194" s="205">
        <v>0</v>
      </c>
      <c r="S194" s="205">
        <v>41828719</v>
      </c>
      <c r="T194" s="205">
        <v>0</v>
      </c>
      <c r="U194" s="205">
        <v>0</v>
      </c>
      <c r="V194" s="205">
        <v>0</v>
      </c>
      <c r="W194" s="205">
        <v>0</v>
      </c>
      <c r="X194" s="205">
        <v>0</v>
      </c>
      <c r="Y194" s="205">
        <v>0</v>
      </c>
      <c r="Z194" s="205">
        <v>0</v>
      </c>
      <c r="AA194" s="205">
        <v>0</v>
      </c>
      <c r="AB194" s="205">
        <v>0</v>
      </c>
      <c r="AC194" s="205">
        <v>0</v>
      </c>
      <c r="AD194" s="205">
        <v>0</v>
      </c>
    </row>
    <row r="195" spans="1:30" ht="12.75">
      <c r="A195" s="169">
        <v>188</v>
      </c>
      <c r="B195" s="172" t="s">
        <v>305</v>
      </c>
      <c r="C195" s="258" t="s">
        <v>306</v>
      </c>
      <c r="D195" s="205">
        <v>50996804.5</v>
      </c>
      <c r="E195" s="205">
        <v>0</v>
      </c>
      <c r="F195" s="205">
        <v>0</v>
      </c>
      <c r="G195" s="205">
        <v>50996804.5</v>
      </c>
      <c r="H195" s="205">
        <v>510000</v>
      </c>
      <c r="I195" s="205">
        <v>0</v>
      </c>
      <c r="J195" s="205">
        <v>0</v>
      </c>
      <c r="K195" s="205">
        <v>510000</v>
      </c>
      <c r="L195" s="205">
        <v>475107</v>
      </c>
      <c r="M195" s="205">
        <v>0</v>
      </c>
      <c r="N195" s="205">
        <v>0</v>
      </c>
      <c r="O195" s="205">
        <v>475107</v>
      </c>
      <c r="P195" s="205">
        <v>50011697.5</v>
      </c>
      <c r="Q195" s="205">
        <v>0</v>
      </c>
      <c r="R195" s="205">
        <v>0</v>
      </c>
      <c r="S195" s="205">
        <v>50011697.5</v>
      </c>
      <c r="T195" s="205">
        <v>0</v>
      </c>
      <c r="U195" s="205">
        <v>0</v>
      </c>
      <c r="V195" s="205">
        <v>0</v>
      </c>
      <c r="W195" s="205">
        <v>0</v>
      </c>
      <c r="X195" s="205">
        <v>0</v>
      </c>
      <c r="Y195" s="205">
        <v>0</v>
      </c>
      <c r="Z195" s="205">
        <v>0</v>
      </c>
      <c r="AA195" s="205">
        <v>0</v>
      </c>
      <c r="AB195" s="205">
        <v>0</v>
      </c>
      <c r="AC195" s="205">
        <v>0</v>
      </c>
      <c r="AD195" s="205">
        <v>0</v>
      </c>
    </row>
    <row r="196" spans="1:30" ht="12.75">
      <c r="A196" s="169">
        <v>189</v>
      </c>
      <c r="B196" s="172" t="s">
        <v>307</v>
      </c>
      <c r="C196" s="258" t="s">
        <v>308</v>
      </c>
      <c r="D196" s="205">
        <v>101842189</v>
      </c>
      <c r="E196" s="205">
        <v>0</v>
      </c>
      <c r="F196" s="205">
        <v>3488303</v>
      </c>
      <c r="G196" s="205">
        <v>105330492</v>
      </c>
      <c r="H196" s="205">
        <v>856621</v>
      </c>
      <c r="I196" s="205">
        <v>0</v>
      </c>
      <c r="J196" s="205">
        <v>0</v>
      </c>
      <c r="K196" s="205">
        <v>856621</v>
      </c>
      <c r="L196" s="205">
        <v>241469</v>
      </c>
      <c r="M196" s="205">
        <v>0</v>
      </c>
      <c r="N196" s="205">
        <v>0</v>
      </c>
      <c r="O196" s="205">
        <v>241469</v>
      </c>
      <c r="P196" s="205">
        <v>100744099</v>
      </c>
      <c r="Q196" s="205">
        <v>0</v>
      </c>
      <c r="R196" s="205">
        <v>3488303</v>
      </c>
      <c r="S196" s="205">
        <v>104232402</v>
      </c>
      <c r="T196" s="205">
        <v>0</v>
      </c>
      <c r="U196" s="205">
        <v>0</v>
      </c>
      <c r="V196" s="205">
        <v>0</v>
      </c>
      <c r="W196" s="205">
        <v>0</v>
      </c>
      <c r="X196" s="205">
        <v>0</v>
      </c>
      <c r="Y196" s="205">
        <v>0</v>
      </c>
      <c r="Z196" s="205">
        <v>0</v>
      </c>
      <c r="AA196" s="205">
        <v>3194482</v>
      </c>
      <c r="AB196" s="205">
        <v>0</v>
      </c>
      <c r="AC196" s="205">
        <v>293821</v>
      </c>
      <c r="AD196" s="205">
        <v>0</v>
      </c>
    </row>
    <row r="197" spans="1:30" ht="12.75">
      <c r="A197" s="169">
        <v>190</v>
      </c>
      <c r="B197" s="172" t="s">
        <v>309</v>
      </c>
      <c r="C197" s="258" t="s">
        <v>310</v>
      </c>
      <c r="D197" s="205">
        <v>78704824.8</v>
      </c>
      <c r="E197" s="205">
        <v>0</v>
      </c>
      <c r="F197" s="205">
        <v>21902</v>
      </c>
      <c r="G197" s="205">
        <v>78726726.8</v>
      </c>
      <c r="H197" s="205">
        <v>1350930</v>
      </c>
      <c r="I197" s="205">
        <v>0</v>
      </c>
      <c r="J197" s="205">
        <v>0</v>
      </c>
      <c r="K197" s="205">
        <v>1350930</v>
      </c>
      <c r="L197" s="205">
        <v>1020073.95</v>
      </c>
      <c r="M197" s="205">
        <v>0</v>
      </c>
      <c r="N197" s="205">
        <v>0</v>
      </c>
      <c r="O197" s="205">
        <v>1020073.95</v>
      </c>
      <c r="P197" s="205">
        <v>76333820.8</v>
      </c>
      <c r="Q197" s="205">
        <v>0</v>
      </c>
      <c r="R197" s="205">
        <v>21902</v>
      </c>
      <c r="S197" s="205">
        <v>76355722.8</v>
      </c>
      <c r="T197" s="205">
        <v>1050760</v>
      </c>
      <c r="U197" s="205">
        <v>0</v>
      </c>
      <c r="V197" s="205">
        <v>0</v>
      </c>
      <c r="W197" s="205">
        <v>1050760</v>
      </c>
      <c r="X197" s="205">
        <v>0</v>
      </c>
      <c r="Y197" s="205">
        <v>0</v>
      </c>
      <c r="Z197" s="205">
        <v>0</v>
      </c>
      <c r="AA197" s="205">
        <v>11107</v>
      </c>
      <c r="AB197" s="205">
        <v>0</v>
      </c>
      <c r="AC197" s="205">
        <v>10795</v>
      </c>
      <c r="AD197" s="205">
        <v>1050760</v>
      </c>
    </row>
    <row r="198" spans="1:30" ht="12.75">
      <c r="A198" s="169">
        <v>191</v>
      </c>
      <c r="B198" s="172" t="s">
        <v>311</v>
      </c>
      <c r="C198" s="258" t="s">
        <v>312</v>
      </c>
      <c r="D198" s="205">
        <v>79305927</v>
      </c>
      <c r="E198" s="205">
        <v>0</v>
      </c>
      <c r="F198" s="205">
        <v>0</v>
      </c>
      <c r="G198" s="205">
        <v>79305927</v>
      </c>
      <c r="H198" s="205">
        <v>840000</v>
      </c>
      <c r="I198" s="205">
        <v>0</v>
      </c>
      <c r="J198" s="205">
        <v>0</v>
      </c>
      <c r="K198" s="205">
        <v>840000</v>
      </c>
      <c r="L198" s="205">
        <v>1382145</v>
      </c>
      <c r="M198" s="205">
        <v>0</v>
      </c>
      <c r="N198" s="205">
        <v>0</v>
      </c>
      <c r="O198" s="205">
        <v>1382145</v>
      </c>
      <c r="P198" s="205">
        <v>77083782</v>
      </c>
      <c r="Q198" s="205">
        <v>0</v>
      </c>
      <c r="R198" s="205">
        <v>0</v>
      </c>
      <c r="S198" s="205">
        <v>77083782</v>
      </c>
      <c r="T198" s="205">
        <v>0</v>
      </c>
      <c r="U198" s="205">
        <v>0</v>
      </c>
      <c r="V198" s="205">
        <v>0</v>
      </c>
      <c r="W198" s="205">
        <v>0</v>
      </c>
      <c r="X198" s="205">
        <v>0</v>
      </c>
      <c r="Y198" s="205">
        <v>0</v>
      </c>
      <c r="Z198" s="205">
        <v>0</v>
      </c>
      <c r="AA198" s="205">
        <v>0</v>
      </c>
      <c r="AB198" s="205">
        <v>0</v>
      </c>
      <c r="AC198" s="205">
        <v>0</v>
      </c>
      <c r="AD198" s="205">
        <v>0</v>
      </c>
    </row>
    <row r="199" spans="1:30" ht="12.75">
      <c r="A199" s="169">
        <v>192</v>
      </c>
      <c r="B199" s="172" t="s">
        <v>313</v>
      </c>
      <c r="C199" s="258" t="s">
        <v>314</v>
      </c>
      <c r="D199" s="205">
        <v>119054813</v>
      </c>
      <c r="E199" s="205">
        <v>6032992</v>
      </c>
      <c r="F199" s="205">
        <v>4038114</v>
      </c>
      <c r="G199" s="205">
        <v>129125919</v>
      </c>
      <c r="H199" s="205">
        <v>1800000</v>
      </c>
      <c r="I199" s="205">
        <v>100000</v>
      </c>
      <c r="J199" s="205">
        <v>0</v>
      </c>
      <c r="K199" s="205">
        <v>1900000</v>
      </c>
      <c r="L199" s="205">
        <v>5225000</v>
      </c>
      <c r="M199" s="205">
        <v>275000</v>
      </c>
      <c r="N199" s="205">
        <v>5000</v>
      </c>
      <c r="O199" s="205">
        <v>5505000</v>
      </c>
      <c r="P199" s="205">
        <v>112029813</v>
      </c>
      <c r="Q199" s="205">
        <v>5657992</v>
      </c>
      <c r="R199" s="205">
        <v>4033114</v>
      </c>
      <c r="S199" s="205">
        <v>121720919</v>
      </c>
      <c r="T199" s="205">
        <v>0</v>
      </c>
      <c r="U199" s="205">
        <v>0</v>
      </c>
      <c r="V199" s="205">
        <v>0</v>
      </c>
      <c r="W199" s="205">
        <v>0</v>
      </c>
      <c r="X199" s="205">
        <v>-31250</v>
      </c>
      <c r="Y199" s="205">
        <v>0</v>
      </c>
      <c r="Z199" s="205">
        <v>5594250</v>
      </c>
      <c r="AA199" s="205">
        <v>3920161</v>
      </c>
      <c r="AB199" s="205">
        <v>32492</v>
      </c>
      <c r="AC199" s="205">
        <v>112953</v>
      </c>
      <c r="AD199" s="205">
        <v>0</v>
      </c>
    </row>
    <row r="200" spans="1:30" ht="12.75">
      <c r="A200" s="169">
        <v>193</v>
      </c>
      <c r="B200" s="172" t="s">
        <v>315</v>
      </c>
      <c r="C200" s="258" t="s">
        <v>316</v>
      </c>
      <c r="D200" s="205">
        <v>34905717</v>
      </c>
      <c r="E200" s="205">
        <v>0</v>
      </c>
      <c r="F200" s="205">
        <v>0</v>
      </c>
      <c r="G200" s="205">
        <v>34905717</v>
      </c>
      <c r="H200" s="205">
        <v>698114</v>
      </c>
      <c r="I200" s="205">
        <v>0</v>
      </c>
      <c r="J200" s="205">
        <v>0</v>
      </c>
      <c r="K200" s="205">
        <v>698114</v>
      </c>
      <c r="L200" s="205">
        <v>248368</v>
      </c>
      <c r="M200" s="205">
        <v>0</v>
      </c>
      <c r="N200" s="205">
        <v>0</v>
      </c>
      <c r="O200" s="205">
        <v>248368</v>
      </c>
      <c r="P200" s="205">
        <v>33959235</v>
      </c>
      <c r="Q200" s="205">
        <v>0</v>
      </c>
      <c r="R200" s="205">
        <v>0</v>
      </c>
      <c r="S200" s="205">
        <v>33959235</v>
      </c>
      <c r="T200" s="205">
        <v>0</v>
      </c>
      <c r="U200" s="205">
        <v>0</v>
      </c>
      <c r="V200" s="205">
        <v>0</v>
      </c>
      <c r="W200" s="205">
        <v>0</v>
      </c>
      <c r="X200" s="205">
        <v>0</v>
      </c>
      <c r="Y200" s="205">
        <v>0</v>
      </c>
      <c r="Z200" s="205">
        <v>0</v>
      </c>
      <c r="AA200" s="205">
        <v>0</v>
      </c>
      <c r="AB200" s="205">
        <v>0</v>
      </c>
      <c r="AC200" s="205">
        <v>0</v>
      </c>
      <c r="AD200" s="205">
        <v>0</v>
      </c>
    </row>
    <row r="201" spans="1:30" ht="12.75">
      <c r="A201" s="169">
        <v>194</v>
      </c>
      <c r="B201" s="172" t="s">
        <v>317</v>
      </c>
      <c r="C201" s="258" t="s">
        <v>318</v>
      </c>
      <c r="D201" s="205">
        <v>11929601</v>
      </c>
      <c r="E201" s="205">
        <v>0</v>
      </c>
      <c r="F201" s="205">
        <v>0</v>
      </c>
      <c r="G201" s="205">
        <v>11929601</v>
      </c>
      <c r="H201" s="205">
        <v>70000</v>
      </c>
      <c r="I201" s="205">
        <v>0</v>
      </c>
      <c r="J201" s="205">
        <v>0</v>
      </c>
      <c r="K201" s="205">
        <v>70000</v>
      </c>
      <c r="L201" s="205">
        <v>110271</v>
      </c>
      <c r="M201" s="205">
        <v>0</v>
      </c>
      <c r="N201" s="205">
        <v>0</v>
      </c>
      <c r="O201" s="205">
        <v>110271</v>
      </c>
      <c r="P201" s="205">
        <v>11749330</v>
      </c>
      <c r="Q201" s="205">
        <v>0</v>
      </c>
      <c r="R201" s="205">
        <v>0</v>
      </c>
      <c r="S201" s="205">
        <v>11749330</v>
      </c>
      <c r="T201" s="205">
        <v>0</v>
      </c>
      <c r="U201" s="205">
        <v>0</v>
      </c>
      <c r="V201" s="205">
        <v>0</v>
      </c>
      <c r="W201" s="205">
        <v>0</v>
      </c>
      <c r="X201" s="205">
        <v>0</v>
      </c>
      <c r="Y201" s="205">
        <v>0</v>
      </c>
      <c r="Z201" s="205">
        <v>0</v>
      </c>
      <c r="AA201" s="205">
        <v>0</v>
      </c>
      <c r="AB201" s="205">
        <v>0</v>
      </c>
      <c r="AC201" s="205">
        <v>0</v>
      </c>
      <c r="AD201" s="205">
        <v>0</v>
      </c>
    </row>
    <row r="202" spans="1:30" ht="12.75">
      <c r="A202" s="169">
        <v>195</v>
      </c>
      <c r="B202" s="172" t="s">
        <v>319</v>
      </c>
      <c r="C202" s="258" t="s">
        <v>320</v>
      </c>
      <c r="D202" s="205">
        <v>59754575</v>
      </c>
      <c r="E202" s="205">
        <v>0</v>
      </c>
      <c r="F202" s="205">
        <v>0</v>
      </c>
      <c r="G202" s="205">
        <v>59754575</v>
      </c>
      <c r="H202" s="205">
        <v>1589472</v>
      </c>
      <c r="I202" s="205">
        <v>0</v>
      </c>
      <c r="J202" s="205">
        <v>0</v>
      </c>
      <c r="K202" s="205">
        <v>1589472</v>
      </c>
      <c r="L202" s="205">
        <v>721882</v>
      </c>
      <c r="M202" s="205">
        <v>0</v>
      </c>
      <c r="N202" s="205">
        <v>0</v>
      </c>
      <c r="O202" s="205">
        <v>721882</v>
      </c>
      <c r="P202" s="205">
        <v>57443221</v>
      </c>
      <c r="Q202" s="205">
        <v>0</v>
      </c>
      <c r="R202" s="205">
        <v>0</v>
      </c>
      <c r="S202" s="205">
        <v>57443221</v>
      </c>
      <c r="T202" s="205">
        <v>0</v>
      </c>
      <c r="U202" s="205">
        <v>0</v>
      </c>
      <c r="V202" s="205">
        <v>0</v>
      </c>
      <c r="W202" s="205">
        <v>0</v>
      </c>
      <c r="X202" s="205">
        <v>0</v>
      </c>
      <c r="Y202" s="205">
        <v>0</v>
      </c>
      <c r="Z202" s="205">
        <v>0</v>
      </c>
      <c r="AA202" s="205">
        <v>0</v>
      </c>
      <c r="AB202" s="205">
        <v>0</v>
      </c>
      <c r="AC202" s="205">
        <v>0</v>
      </c>
      <c r="AD202" s="205">
        <v>0</v>
      </c>
    </row>
    <row r="203" spans="1:30" ht="12.75">
      <c r="A203" s="169">
        <v>196</v>
      </c>
      <c r="B203" s="172" t="s">
        <v>321</v>
      </c>
      <c r="C203" s="258" t="s">
        <v>322</v>
      </c>
      <c r="D203" s="205">
        <v>86162233</v>
      </c>
      <c r="E203" s="205">
        <v>0</v>
      </c>
      <c r="F203" s="205">
        <v>0</v>
      </c>
      <c r="G203" s="205">
        <v>86162233</v>
      </c>
      <c r="H203" s="205">
        <v>861622</v>
      </c>
      <c r="I203" s="205">
        <v>0</v>
      </c>
      <c r="J203" s="205">
        <v>0</v>
      </c>
      <c r="K203" s="205">
        <v>861622</v>
      </c>
      <c r="L203" s="205">
        <v>1020749</v>
      </c>
      <c r="M203" s="205">
        <v>0</v>
      </c>
      <c r="N203" s="205">
        <v>0</v>
      </c>
      <c r="O203" s="205">
        <v>1020749</v>
      </c>
      <c r="P203" s="205">
        <v>84279862</v>
      </c>
      <c r="Q203" s="205">
        <v>0</v>
      </c>
      <c r="R203" s="205">
        <v>0</v>
      </c>
      <c r="S203" s="205">
        <v>84279862</v>
      </c>
      <c r="T203" s="205">
        <v>0</v>
      </c>
      <c r="U203" s="205">
        <v>0</v>
      </c>
      <c r="V203" s="205">
        <v>0</v>
      </c>
      <c r="W203" s="205">
        <v>0</v>
      </c>
      <c r="X203" s="205">
        <v>0</v>
      </c>
      <c r="Y203" s="205">
        <v>0</v>
      </c>
      <c r="Z203" s="205">
        <v>0</v>
      </c>
      <c r="AA203" s="205">
        <v>0</v>
      </c>
      <c r="AB203" s="205">
        <v>0</v>
      </c>
      <c r="AC203" s="205">
        <v>0</v>
      </c>
      <c r="AD203" s="205">
        <v>0</v>
      </c>
    </row>
    <row r="204" spans="1:30" ht="12.75">
      <c r="A204" s="169">
        <v>197</v>
      </c>
      <c r="B204" s="172" t="s">
        <v>323</v>
      </c>
      <c r="C204" s="258" t="s">
        <v>324</v>
      </c>
      <c r="D204" s="205">
        <v>19479343</v>
      </c>
      <c r="E204" s="205">
        <v>0</v>
      </c>
      <c r="F204" s="205">
        <v>0</v>
      </c>
      <c r="G204" s="205">
        <v>19479343</v>
      </c>
      <c r="H204" s="205">
        <v>584380</v>
      </c>
      <c r="I204" s="205">
        <v>0</v>
      </c>
      <c r="J204" s="205">
        <v>0</v>
      </c>
      <c r="K204" s="205">
        <v>584380</v>
      </c>
      <c r="L204" s="205">
        <v>400000</v>
      </c>
      <c r="M204" s="205">
        <v>0</v>
      </c>
      <c r="N204" s="205">
        <v>0</v>
      </c>
      <c r="O204" s="205">
        <v>400000</v>
      </c>
      <c r="P204" s="205">
        <v>18494963</v>
      </c>
      <c r="Q204" s="205">
        <v>0</v>
      </c>
      <c r="R204" s="205">
        <v>0</v>
      </c>
      <c r="S204" s="205">
        <v>18494963</v>
      </c>
      <c r="T204" s="205">
        <v>0</v>
      </c>
      <c r="U204" s="205">
        <v>0</v>
      </c>
      <c r="V204" s="205">
        <v>0</v>
      </c>
      <c r="W204" s="205">
        <v>0</v>
      </c>
      <c r="X204" s="205">
        <v>0</v>
      </c>
      <c r="Y204" s="205">
        <v>0</v>
      </c>
      <c r="Z204" s="205">
        <v>0</v>
      </c>
      <c r="AA204" s="205">
        <v>0</v>
      </c>
      <c r="AB204" s="205">
        <v>0</v>
      </c>
      <c r="AC204" s="205">
        <v>0</v>
      </c>
      <c r="AD204" s="205">
        <v>0</v>
      </c>
    </row>
    <row r="205" spans="1:30" ht="12.75">
      <c r="A205" s="169">
        <v>198</v>
      </c>
      <c r="B205" s="172" t="s">
        <v>325</v>
      </c>
      <c r="C205" s="258" t="s">
        <v>326</v>
      </c>
      <c r="D205" s="205">
        <v>94870327</v>
      </c>
      <c r="E205" s="205">
        <v>0</v>
      </c>
      <c r="F205" s="205">
        <v>0</v>
      </c>
      <c r="G205" s="205">
        <v>94870327</v>
      </c>
      <c r="H205" s="205">
        <v>1076002</v>
      </c>
      <c r="I205" s="205">
        <v>0</v>
      </c>
      <c r="J205" s="205">
        <v>0</v>
      </c>
      <c r="K205" s="205">
        <v>1076002</v>
      </c>
      <c r="L205" s="205">
        <v>2750300</v>
      </c>
      <c r="M205" s="205">
        <v>0</v>
      </c>
      <c r="N205" s="205">
        <v>0</v>
      </c>
      <c r="O205" s="205">
        <v>2750300</v>
      </c>
      <c r="P205" s="205">
        <v>91044025</v>
      </c>
      <c r="Q205" s="205">
        <v>0</v>
      </c>
      <c r="R205" s="205">
        <v>0</v>
      </c>
      <c r="S205" s="205">
        <v>91044025</v>
      </c>
      <c r="T205" s="205">
        <v>0</v>
      </c>
      <c r="U205" s="205">
        <v>0</v>
      </c>
      <c r="V205" s="205">
        <v>0</v>
      </c>
      <c r="W205" s="205">
        <v>0</v>
      </c>
      <c r="X205" s="205">
        <v>0</v>
      </c>
      <c r="Y205" s="205">
        <v>0</v>
      </c>
      <c r="Z205" s="205">
        <v>0</v>
      </c>
      <c r="AA205" s="205">
        <v>0</v>
      </c>
      <c r="AB205" s="205">
        <v>0</v>
      </c>
      <c r="AC205" s="205">
        <v>0</v>
      </c>
      <c r="AD205" s="205">
        <v>0</v>
      </c>
    </row>
    <row r="206" spans="1:30" ht="12.75">
      <c r="A206" s="169">
        <v>199</v>
      </c>
      <c r="B206" s="172" t="s">
        <v>327</v>
      </c>
      <c r="C206" s="258" t="s">
        <v>328</v>
      </c>
      <c r="D206" s="205">
        <v>89915176</v>
      </c>
      <c r="E206" s="205">
        <v>0</v>
      </c>
      <c r="F206" s="205">
        <v>0</v>
      </c>
      <c r="G206" s="205">
        <v>89915176</v>
      </c>
      <c r="H206" s="205">
        <v>1123940</v>
      </c>
      <c r="I206" s="205">
        <v>0</v>
      </c>
      <c r="J206" s="205">
        <v>0</v>
      </c>
      <c r="K206" s="205">
        <v>1123940</v>
      </c>
      <c r="L206" s="205">
        <v>297801.25</v>
      </c>
      <c r="M206" s="205">
        <v>0</v>
      </c>
      <c r="N206" s="205">
        <v>0</v>
      </c>
      <c r="O206" s="205">
        <v>297801.25</v>
      </c>
      <c r="P206" s="205">
        <v>88493434.8</v>
      </c>
      <c r="Q206" s="205">
        <v>0</v>
      </c>
      <c r="R206" s="205">
        <v>0</v>
      </c>
      <c r="S206" s="205">
        <v>88493434.8</v>
      </c>
      <c r="T206" s="205">
        <v>208433</v>
      </c>
      <c r="U206" s="205">
        <v>0</v>
      </c>
      <c r="V206" s="205">
        <v>0</v>
      </c>
      <c r="W206" s="205">
        <v>208433</v>
      </c>
      <c r="X206" s="205">
        <v>0</v>
      </c>
      <c r="Y206" s="205">
        <v>0</v>
      </c>
      <c r="Z206" s="205">
        <v>0</v>
      </c>
      <c r="AA206" s="205">
        <v>0</v>
      </c>
      <c r="AB206" s="205">
        <v>0</v>
      </c>
      <c r="AC206" s="205">
        <v>0</v>
      </c>
      <c r="AD206" s="205">
        <v>208433</v>
      </c>
    </row>
    <row r="207" spans="1:30" ht="12.75">
      <c r="A207" s="169">
        <v>200</v>
      </c>
      <c r="B207" s="172" t="s">
        <v>329</v>
      </c>
      <c r="C207" s="258" t="s">
        <v>330</v>
      </c>
      <c r="D207" s="205">
        <v>59903826.8</v>
      </c>
      <c r="E207" s="205">
        <v>0</v>
      </c>
      <c r="F207" s="205">
        <v>0</v>
      </c>
      <c r="G207" s="205">
        <v>59903826.8</v>
      </c>
      <c r="H207" s="205">
        <v>500000</v>
      </c>
      <c r="I207" s="205">
        <v>0</v>
      </c>
      <c r="J207" s="205">
        <v>0</v>
      </c>
      <c r="K207" s="205">
        <v>500000</v>
      </c>
      <c r="L207" s="205">
        <v>800000</v>
      </c>
      <c r="M207" s="205">
        <v>0</v>
      </c>
      <c r="N207" s="205">
        <v>0</v>
      </c>
      <c r="O207" s="205">
        <v>800000</v>
      </c>
      <c r="P207" s="205">
        <v>58603826.8</v>
      </c>
      <c r="Q207" s="205">
        <v>0</v>
      </c>
      <c r="R207" s="205">
        <v>0</v>
      </c>
      <c r="S207" s="205">
        <v>58603826.8</v>
      </c>
      <c r="T207" s="205">
        <v>0</v>
      </c>
      <c r="U207" s="205">
        <v>0</v>
      </c>
      <c r="V207" s="205">
        <v>0</v>
      </c>
      <c r="W207" s="205">
        <v>0</v>
      </c>
      <c r="X207" s="205">
        <v>0</v>
      </c>
      <c r="Y207" s="205">
        <v>0</v>
      </c>
      <c r="Z207" s="205">
        <v>0</v>
      </c>
      <c r="AA207" s="205">
        <v>0</v>
      </c>
      <c r="AB207" s="205">
        <v>0</v>
      </c>
      <c r="AC207" s="205">
        <v>0</v>
      </c>
      <c r="AD207" s="205">
        <v>0</v>
      </c>
    </row>
    <row r="208" spans="1:30" ht="12.75">
      <c r="A208" s="169">
        <v>201</v>
      </c>
      <c r="B208" s="172" t="s">
        <v>331</v>
      </c>
      <c r="C208" s="258" t="s">
        <v>332</v>
      </c>
      <c r="D208" s="205">
        <v>85901415</v>
      </c>
      <c r="E208" s="205">
        <v>0</v>
      </c>
      <c r="F208" s="205">
        <v>0</v>
      </c>
      <c r="G208" s="205">
        <v>85901415</v>
      </c>
      <c r="H208" s="205">
        <v>987800</v>
      </c>
      <c r="I208" s="205">
        <v>0</v>
      </c>
      <c r="J208" s="205">
        <v>0</v>
      </c>
      <c r="K208" s="205">
        <v>987800</v>
      </c>
      <c r="L208" s="205">
        <v>3586738</v>
      </c>
      <c r="M208" s="205">
        <v>0</v>
      </c>
      <c r="N208" s="205">
        <v>0</v>
      </c>
      <c r="O208" s="205">
        <v>3586738</v>
      </c>
      <c r="P208" s="205">
        <v>81326877</v>
      </c>
      <c r="Q208" s="205">
        <v>0</v>
      </c>
      <c r="R208" s="205">
        <v>0</v>
      </c>
      <c r="S208" s="205">
        <v>81326877</v>
      </c>
      <c r="T208" s="205">
        <v>0</v>
      </c>
      <c r="U208" s="205">
        <v>0</v>
      </c>
      <c r="V208" s="205">
        <v>0</v>
      </c>
      <c r="W208" s="205">
        <v>0</v>
      </c>
      <c r="X208" s="205">
        <v>0</v>
      </c>
      <c r="Y208" s="205">
        <v>0</v>
      </c>
      <c r="Z208" s="205">
        <v>0</v>
      </c>
      <c r="AA208" s="205">
        <v>0</v>
      </c>
      <c r="AB208" s="205">
        <v>0</v>
      </c>
      <c r="AC208" s="205">
        <v>0</v>
      </c>
      <c r="AD208" s="205">
        <v>0</v>
      </c>
    </row>
    <row r="209" spans="1:30" ht="12.75">
      <c r="A209" s="169">
        <v>202</v>
      </c>
      <c r="B209" s="172" t="s">
        <v>333</v>
      </c>
      <c r="C209" s="258" t="s">
        <v>334</v>
      </c>
      <c r="D209" s="205">
        <v>68339395.6</v>
      </c>
      <c r="E209" s="205">
        <v>0</v>
      </c>
      <c r="F209" s="205">
        <v>0</v>
      </c>
      <c r="G209" s="205">
        <v>68339395.6</v>
      </c>
      <c r="H209" s="205">
        <v>990921</v>
      </c>
      <c r="I209" s="205">
        <v>0</v>
      </c>
      <c r="J209" s="205">
        <v>0</v>
      </c>
      <c r="K209" s="205">
        <v>990921</v>
      </c>
      <c r="L209" s="205">
        <v>1780339</v>
      </c>
      <c r="M209" s="205">
        <v>0</v>
      </c>
      <c r="N209" s="205">
        <v>0</v>
      </c>
      <c r="O209" s="205">
        <v>1780339</v>
      </c>
      <c r="P209" s="205">
        <v>65568135.6</v>
      </c>
      <c r="Q209" s="205">
        <v>0</v>
      </c>
      <c r="R209" s="205">
        <v>0</v>
      </c>
      <c r="S209" s="205">
        <v>65568135.6</v>
      </c>
      <c r="T209" s="205">
        <v>0</v>
      </c>
      <c r="U209" s="205">
        <v>0</v>
      </c>
      <c r="V209" s="205">
        <v>0</v>
      </c>
      <c r="W209" s="205">
        <v>0</v>
      </c>
      <c r="X209" s="205">
        <v>0</v>
      </c>
      <c r="Y209" s="205">
        <v>0</v>
      </c>
      <c r="Z209" s="205">
        <v>0</v>
      </c>
      <c r="AA209" s="205">
        <v>0</v>
      </c>
      <c r="AB209" s="205">
        <v>0</v>
      </c>
      <c r="AC209" s="205">
        <v>0</v>
      </c>
      <c r="AD209" s="205">
        <v>0</v>
      </c>
    </row>
    <row r="210" spans="1:30" ht="12.75">
      <c r="A210" s="169">
        <v>203</v>
      </c>
      <c r="B210" s="172" t="s">
        <v>335</v>
      </c>
      <c r="C210" s="258" t="s">
        <v>336</v>
      </c>
      <c r="D210" s="205">
        <v>17173614</v>
      </c>
      <c r="E210" s="205">
        <v>0</v>
      </c>
      <c r="F210" s="205">
        <v>0</v>
      </c>
      <c r="G210" s="205">
        <v>17173614</v>
      </c>
      <c r="H210" s="205">
        <v>34000</v>
      </c>
      <c r="I210" s="205">
        <v>0</v>
      </c>
      <c r="J210" s="205">
        <v>0</v>
      </c>
      <c r="K210" s="205">
        <v>34000</v>
      </c>
      <c r="L210" s="205">
        <v>690084</v>
      </c>
      <c r="M210" s="205">
        <v>0</v>
      </c>
      <c r="N210" s="205">
        <v>0</v>
      </c>
      <c r="O210" s="205">
        <v>690084</v>
      </c>
      <c r="P210" s="205">
        <v>16449530</v>
      </c>
      <c r="Q210" s="205">
        <v>0</v>
      </c>
      <c r="R210" s="205">
        <v>0</v>
      </c>
      <c r="S210" s="205">
        <v>16449530</v>
      </c>
      <c r="T210" s="205">
        <v>0</v>
      </c>
      <c r="U210" s="205">
        <v>0</v>
      </c>
      <c r="V210" s="205">
        <v>0</v>
      </c>
      <c r="W210" s="205">
        <v>0</v>
      </c>
      <c r="X210" s="205">
        <v>0</v>
      </c>
      <c r="Y210" s="205">
        <v>0</v>
      </c>
      <c r="Z210" s="205">
        <v>0</v>
      </c>
      <c r="AA210" s="205">
        <v>0</v>
      </c>
      <c r="AB210" s="205">
        <v>0</v>
      </c>
      <c r="AC210" s="205">
        <v>0</v>
      </c>
      <c r="AD210" s="205">
        <v>0</v>
      </c>
    </row>
    <row r="211" spans="1:30" ht="12.75">
      <c r="A211" s="169">
        <v>204</v>
      </c>
      <c r="B211" s="172" t="s">
        <v>337</v>
      </c>
      <c r="C211" s="258" t="s">
        <v>338</v>
      </c>
      <c r="D211" s="205">
        <v>109015642</v>
      </c>
      <c r="E211" s="205">
        <v>0</v>
      </c>
      <c r="F211" s="205">
        <v>0</v>
      </c>
      <c r="G211" s="205">
        <v>109015642</v>
      </c>
      <c r="H211" s="205">
        <v>3231595</v>
      </c>
      <c r="I211" s="205">
        <v>0</v>
      </c>
      <c r="J211" s="205">
        <v>0</v>
      </c>
      <c r="K211" s="205">
        <v>3231595</v>
      </c>
      <c r="L211" s="205">
        <v>5578578.59</v>
      </c>
      <c r="M211" s="205">
        <v>0</v>
      </c>
      <c r="N211" s="205">
        <v>0</v>
      </c>
      <c r="O211" s="205">
        <v>5578578.59</v>
      </c>
      <c r="P211" s="205">
        <v>100205468</v>
      </c>
      <c r="Q211" s="205">
        <v>0</v>
      </c>
      <c r="R211" s="205">
        <v>0</v>
      </c>
      <c r="S211" s="205">
        <v>100205468</v>
      </c>
      <c r="T211" s="205">
        <v>0</v>
      </c>
      <c r="U211" s="205">
        <v>0</v>
      </c>
      <c r="V211" s="205">
        <v>0</v>
      </c>
      <c r="W211" s="205">
        <v>0</v>
      </c>
      <c r="X211" s="205">
        <v>0</v>
      </c>
      <c r="Y211" s="205">
        <v>0</v>
      </c>
      <c r="Z211" s="205">
        <v>0</v>
      </c>
      <c r="AA211" s="205">
        <v>0</v>
      </c>
      <c r="AB211" s="205">
        <v>0</v>
      </c>
      <c r="AC211" s="205">
        <v>0</v>
      </c>
      <c r="AD211" s="205">
        <v>0</v>
      </c>
    </row>
    <row r="212" spans="1:30" ht="12.75">
      <c r="A212" s="169">
        <v>205</v>
      </c>
      <c r="B212" s="172" t="s">
        <v>339</v>
      </c>
      <c r="C212" s="258" t="s">
        <v>340</v>
      </c>
      <c r="D212" s="205">
        <v>53392229</v>
      </c>
      <c r="E212" s="205">
        <v>0</v>
      </c>
      <c r="F212" s="205">
        <v>0</v>
      </c>
      <c r="G212" s="205">
        <v>53392229</v>
      </c>
      <c r="H212" s="205">
        <v>1359156</v>
      </c>
      <c r="I212" s="205">
        <v>0</v>
      </c>
      <c r="J212" s="205">
        <v>0</v>
      </c>
      <c r="K212" s="205">
        <v>1359156</v>
      </c>
      <c r="L212" s="205">
        <v>4100000</v>
      </c>
      <c r="M212" s="205">
        <v>0</v>
      </c>
      <c r="N212" s="205">
        <v>0</v>
      </c>
      <c r="O212" s="205">
        <v>4100000</v>
      </c>
      <c r="P212" s="205">
        <v>47933073</v>
      </c>
      <c r="Q212" s="205">
        <v>0</v>
      </c>
      <c r="R212" s="205">
        <v>0</v>
      </c>
      <c r="S212" s="205">
        <v>47933073</v>
      </c>
      <c r="T212" s="205">
        <v>0</v>
      </c>
      <c r="U212" s="205">
        <v>0</v>
      </c>
      <c r="V212" s="205">
        <v>0</v>
      </c>
      <c r="W212" s="205">
        <v>0</v>
      </c>
      <c r="X212" s="205">
        <v>0</v>
      </c>
      <c r="Y212" s="205">
        <v>0</v>
      </c>
      <c r="Z212" s="205">
        <v>0</v>
      </c>
      <c r="AA212" s="205">
        <v>0</v>
      </c>
      <c r="AB212" s="205">
        <v>0</v>
      </c>
      <c r="AC212" s="205">
        <v>0</v>
      </c>
      <c r="AD212" s="205">
        <v>0</v>
      </c>
    </row>
    <row r="213" spans="1:30" ht="12.75">
      <c r="A213" s="169">
        <v>206</v>
      </c>
      <c r="B213" s="172" t="s">
        <v>341</v>
      </c>
      <c r="C213" s="258" t="s">
        <v>342</v>
      </c>
      <c r="D213" s="205">
        <v>54361358</v>
      </c>
      <c r="E213" s="205">
        <v>0</v>
      </c>
      <c r="F213" s="205">
        <v>0</v>
      </c>
      <c r="G213" s="205">
        <v>54361358</v>
      </c>
      <c r="H213" s="205">
        <v>11365230</v>
      </c>
      <c r="I213" s="205">
        <v>0</v>
      </c>
      <c r="J213" s="205">
        <v>0</v>
      </c>
      <c r="K213" s="205">
        <v>11365230</v>
      </c>
      <c r="L213" s="205">
        <v>6554718</v>
      </c>
      <c r="M213" s="205">
        <v>0</v>
      </c>
      <c r="N213" s="205">
        <v>0</v>
      </c>
      <c r="O213" s="205">
        <v>6554718</v>
      </c>
      <c r="P213" s="205">
        <v>36441410</v>
      </c>
      <c r="Q213" s="205">
        <v>0</v>
      </c>
      <c r="R213" s="205">
        <v>0</v>
      </c>
      <c r="S213" s="205">
        <v>36441410</v>
      </c>
      <c r="T213" s="205">
        <v>0</v>
      </c>
      <c r="U213" s="205">
        <v>0</v>
      </c>
      <c r="V213" s="205">
        <v>0</v>
      </c>
      <c r="W213" s="205">
        <v>0</v>
      </c>
      <c r="X213" s="205">
        <v>0</v>
      </c>
      <c r="Y213" s="205">
        <v>0</v>
      </c>
      <c r="Z213" s="205">
        <v>0</v>
      </c>
      <c r="AA213" s="205">
        <v>0</v>
      </c>
      <c r="AB213" s="205">
        <v>0</v>
      </c>
      <c r="AC213" s="205">
        <v>0</v>
      </c>
      <c r="AD213" s="205">
        <v>0</v>
      </c>
    </row>
    <row r="214" spans="1:30" ht="12.75">
      <c r="A214" s="169">
        <v>207</v>
      </c>
      <c r="B214" s="172" t="s">
        <v>343</v>
      </c>
      <c r="C214" s="258" t="s">
        <v>344</v>
      </c>
      <c r="D214" s="205">
        <v>36176118.9</v>
      </c>
      <c r="E214" s="205">
        <v>0</v>
      </c>
      <c r="F214" s="205">
        <v>0</v>
      </c>
      <c r="G214" s="205">
        <v>36176118.9</v>
      </c>
      <c r="H214" s="205">
        <v>360000</v>
      </c>
      <c r="I214" s="205">
        <v>0</v>
      </c>
      <c r="J214" s="205">
        <v>0</v>
      </c>
      <c r="K214" s="205">
        <v>360000</v>
      </c>
      <c r="L214" s="205">
        <v>283000</v>
      </c>
      <c r="M214" s="205">
        <v>0</v>
      </c>
      <c r="N214" s="205">
        <v>0</v>
      </c>
      <c r="O214" s="205">
        <v>283000</v>
      </c>
      <c r="P214" s="205">
        <v>35533118.9</v>
      </c>
      <c r="Q214" s="205">
        <v>0</v>
      </c>
      <c r="R214" s="205">
        <v>0</v>
      </c>
      <c r="S214" s="205">
        <v>35533118.9</v>
      </c>
      <c r="T214" s="205">
        <v>0</v>
      </c>
      <c r="U214" s="205">
        <v>0</v>
      </c>
      <c r="V214" s="205">
        <v>0</v>
      </c>
      <c r="W214" s="205">
        <v>0</v>
      </c>
      <c r="X214" s="205">
        <v>0</v>
      </c>
      <c r="Y214" s="205">
        <v>0</v>
      </c>
      <c r="Z214" s="205">
        <v>0</v>
      </c>
      <c r="AA214" s="205">
        <v>0</v>
      </c>
      <c r="AB214" s="205">
        <v>0</v>
      </c>
      <c r="AC214" s="205">
        <v>0</v>
      </c>
      <c r="AD214" s="205">
        <v>0</v>
      </c>
    </row>
    <row r="215" spans="1:30" ht="12.75">
      <c r="A215" s="169">
        <v>208</v>
      </c>
      <c r="B215" s="172" t="s">
        <v>345</v>
      </c>
      <c r="C215" s="258" t="s">
        <v>346</v>
      </c>
      <c r="D215" s="205">
        <v>50243048</v>
      </c>
      <c r="E215" s="205">
        <v>0</v>
      </c>
      <c r="F215" s="205">
        <v>0</v>
      </c>
      <c r="G215" s="205">
        <v>50243048</v>
      </c>
      <c r="H215" s="205">
        <v>160000</v>
      </c>
      <c r="I215" s="205">
        <v>0</v>
      </c>
      <c r="J215" s="205">
        <v>0</v>
      </c>
      <c r="K215" s="205">
        <v>160000</v>
      </c>
      <c r="L215" s="205">
        <v>1766000</v>
      </c>
      <c r="M215" s="205">
        <v>0</v>
      </c>
      <c r="N215" s="205">
        <v>0</v>
      </c>
      <c r="O215" s="205">
        <v>1766000</v>
      </c>
      <c r="P215" s="205">
        <v>48317048</v>
      </c>
      <c r="Q215" s="205">
        <v>0</v>
      </c>
      <c r="R215" s="205">
        <v>0</v>
      </c>
      <c r="S215" s="205">
        <v>48317048</v>
      </c>
      <c r="T215" s="205">
        <v>0</v>
      </c>
      <c r="U215" s="205">
        <v>0</v>
      </c>
      <c r="V215" s="205">
        <v>0</v>
      </c>
      <c r="W215" s="205">
        <v>0</v>
      </c>
      <c r="X215" s="205">
        <v>0</v>
      </c>
      <c r="Y215" s="205">
        <v>0</v>
      </c>
      <c r="Z215" s="205">
        <v>0</v>
      </c>
      <c r="AA215" s="205">
        <v>0</v>
      </c>
      <c r="AB215" s="205">
        <v>0</v>
      </c>
      <c r="AC215" s="205">
        <v>0</v>
      </c>
      <c r="AD215" s="205">
        <v>0</v>
      </c>
    </row>
    <row r="216" spans="1:30" ht="12.75">
      <c r="A216" s="169">
        <v>209</v>
      </c>
      <c r="B216" s="172" t="s">
        <v>347</v>
      </c>
      <c r="C216" s="258" t="s">
        <v>348</v>
      </c>
      <c r="D216" s="205">
        <v>12387753</v>
      </c>
      <c r="E216" s="205">
        <v>0</v>
      </c>
      <c r="F216" s="205">
        <v>1836420</v>
      </c>
      <c r="G216" s="205">
        <v>14224173</v>
      </c>
      <c r="H216" s="205">
        <v>142242</v>
      </c>
      <c r="I216" s="205">
        <v>0</v>
      </c>
      <c r="J216" s="205">
        <v>0</v>
      </c>
      <c r="K216" s="205">
        <v>142242</v>
      </c>
      <c r="L216" s="205">
        <v>75637</v>
      </c>
      <c r="M216" s="205">
        <v>0</v>
      </c>
      <c r="N216" s="205">
        <v>0</v>
      </c>
      <c r="O216" s="205">
        <v>75637</v>
      </c>
      <c r="P216" s="205">
        <v>12169874</v>
      </c>
      <c r="Q216" s="205">
        <v>0</v>
      </c>
      <c r="R216" s="205">
        <v>1836420</v>
      </c>
      <c r="S216" s="205">
        <v>14006294</v>
      </c>
      <c r="T216" s="205">
        <v>0</v>
      </c>
      <c r="U216" s="205">
        <v>0</v>
      </c>
      <c r="V216" s="205">
        <v>0</v>
      </c>
      <c r="W216" s="205">
        <v>0</v>
      </c>
      <c r="X216" s="205">
        <v>0</v>
      </c>
      <c r="Y216" s="205">
        <v>0</v>
      </c>
      <c r="Z216" s="205">
        <v>0</v>
      </c>
      <c r="AA216" s="205">
        <v>1826412</v>
      </c>
      <c r="AB216" s="205">
        <v>0</v>
      </c>
      <c r="AC216" s="205">
        <v>10008</v>
      </c>
      <c r="AD216" s="205">
        <v>0</v>
      </c>
    </row>
    <row r="217" spans="1:30" ht="12.75">
      <c r="A217" s="169">
        <v>210</v>
      </c>
      <c r="B217" s="172" t="s">
        <v>349</v>
      </c>
      <c r="C217" s="258" t="s">
        <v>350</v>
      </c>
      <c r="D217" s="205">
        <v>86851083</v>
      </c>
      <c r="E217" s="205">
        <v>0</v>
      </c>
      <c r="F217" s="205">
        <v>0</v>
      </c>
      <c r="G217" s="205">
        <v>86851083</v>
      </c>
      <c r="H217" s="205">
        <v>1314000</v>
      </c>
      <c r="I217" s="205">
        <v>0</v>
      </c>
      <c r="J217" s="205">
        <v>0</v>
      </c>
      <c r="K217" s="205">
        <v>1314000</v>
      </c>
      <c r="L217" s="205">
        <v>3069079</v>
      </c>
      <c r="M217" s="205">
        <v>0</v>
      </c>
      <c r="N217" s="205">
        <v>0</v>
      </c>
      <c r="O217" s="205">
        <v>3069079</v>
      </c>
      <c r="P217" s="205">
        <v>82468004</v>
      </c>
      <c r="Q217" s="205">
        <v>0</v>
      </c>
      <c r="R217" s="205">
        <v>0</v>
      </c>
      <c r="S217" s="205">
        <v>82468004</v>
      </c>
      <c r="T217" s="205">
        <v>0</v>
      </c>
      <c r="U217" s="205">
        <v>0</v>
      </c>
      <c r="V217" s="205">
        <v>0</v>
      </c>
      <c r="W217" s="205">
        <v>0</v>
      </c>
      <c r="X217" s="205">
        <v>0</v>
      </c>
      <c r="Y217" s="205">
        <v>0</v>
      </c>
      <c r="Z217" s="205">
        <v>0</v>
      </c>
      <c r="AA217" s="205">
        <v>0</v>
      </c>
      <c r="AB217" s="205">
        <v>0</v>
      </c>
      <c r="AC217" s="205">
        <v>0</v>
      </c>
      <c r="AD217" s="205">
        <v>0</v>
      </c>
    </row>
    <row r="218" spans="1:30" ht="12.75">
      <c r="A218" s="169">
        <v>211</v>
      </c>
      <c r="B218" s="172" t="s">
        <v>351</v>
      </c>
      <c r="C218" s="258" t="s">
        <v>352</v>
      </c>
      <c r="D218" s="205">
        <v>13148670</v>
      </c>
      <c r="E218" s="205">
        <v>0</v>
      </c>
      <c r="F218" s="205">
        <v>0</v>
      </c>
      <c r="G218" s="205">
        <v>13148670</v>
      </c>
      <c r="H218" s="205">
        <v>200155</v>
      </c>
      <c r="I218" s="205">
        <v>0</v>
      </c>
      <c r="J218" s="205">
        <v>0</v>
      </c>
      <c r="K218" s="205">
        <v>200155</v>
      </c>
      <c r="L218" s="205">
        <v>300000</v>
      </c>
      <c r="M218" s="205">
        <v>0</v>
      </c>
      <c r="N218" s="205">
        <v>0</v>
      </c>
      <c r="O218" s="205">
        <v>300000</v>
      </c>
      <c r="P218" s="205">
        <v>12648515</v>
      </c>
      <c r="Q218" s="205">
        <v>0</v>
      </c>
      <c r="R218" s="205">
        <v>0</v>
      </c>
      <c r="S218" s="205">
        <v>12648515</v>
      </c>
      <c r="T218" s="205">
        <v>0</v>
      </c>
      <c r="U218" s="205">
        <v>0</v>
      </c>
      <c r="V218" s="205">
        <v>0</v>
      </c>
      <c r="W218" s="205">
        <v>0</v>
      </c>
      <c r="X218" s="205">
        <v>0</v>
      </c>
      <c r="Y218" s="205">
        <v>0</v>
      </c>
      <c r="Z218" s="205">
        <v>0</v>
      </c>
      <c r="AA218" s="205">
        <v>0</v>
      </c>
      <c r="AB218" s="205">
        <v>0</v>
      </c>
      <c r="AC218" s="205">
        <v>0</v>
      </c>
      <c r="AD218" s="205">
        <v>0</v>
      </c>
    </row>
    <row r="219" spans="1:30" ht="12.75">
      <c r="A219" s="169">
        <v>212</v>
      </c>
      <c r="B219" s="172" t="s">
        <v>353</v>
      </c>
      <c r="C219" s="258" t="s">
        <v>354</v>
      </c>
      <c r="D219" s="205">
        <v>63503529</v>
      </c>
      <c r="E219" s="205">
        <v>0</v>
      </c>
      <c r="F219" s="205">
        <v>0</v>
      </c>
      <c r="G219" s="205">
        <v>63503529</v>
      </c>
      <c r="H219" s="205">
        <v>1650000</v>
      </c>
      <c r="I219" s="205">
        <v>0</v>
      </c>
      <c r="J219" s="205">
        <v>0</v>
      </c>
      <c r="K219" s="205">
        <v>1650000</v>
      </c>
      <c r="L219" s="205">
        <v>1250000</v>
      </c>
      <c r="M219" s="205">
        <v>0</v>
      </c>
      <c r="N219" s="205">
        <v>0</v>
      </c>
      <c r="O219" s="205">
        <v>1250000</v>
      </c>
      <c r="P219" s="205">
        <v>60603529</v>
      </c>
      <c r="Q219" s="205">
        <v>0</v>
      </c>
      <c r="R219" s="205">
        <v>0</v>
      </c>
      <c r="S219" s="205">
        <v>60603529</v>
      </c>
      <c r="T219" s="205">
        <v>0</v>
      </c>
      <c r="U219" s="205">
        <v>0</v>
      </c>
      <c r="V219" s="205">
        <v>0</v>
      </c>
      <c r="W219" s="205">
        <v>0</v>
      </c>
      <c r="X219" s="205">
        <v>0</v>
      </c>
      <c r="Y219" s="205">
        <v>0</v>
      </c>
      <c r="Z219" s="205">
        <v>0</v>
      </c>
      <c r="AA219" s="205">
        <v>0</v>
      </c>
      <c r="AB219" s="205">
        <v>0</v>
      </c>
      <c r="AC219" s="205">
        <v>0</v>
      </c>
      <c r="AD219" s="205">
        <v>0</v>
      </c>
    </row>
    <row r="220" spans="1:30" ht="12.75">
      <c r="A220" s="169">
        <v>213</v>
      </c>
      <c r="B220" s="172" t="s">
        <v>355</v>
      </c>
      <c r="C220" s="258" t="s">
        <v>356</v>
      </c>
      <c r="D220" s="205">
        <v>16900493</v>
      </c>
      <c r="E220" s="205">
        <v>0</v>
      </c>
      <c r="F220" s="205">
        <v>0</v>
      </c>
      <c r="G220" s="205">
        <v>16900493</v>
      </c>
      <c r="H220" s="205">
        <v>90000</v>
      </c>
      <c r="I220" s="205">
        <v>0</v>
      </c>
      <c r="J220" s="205">
        <v>0</v>
      </c>
      <c r="K220" s="205">
        <v>90000</v>
      </c>
      <c r="L220" s="205">
        <v>128379</v>
      </c>
      <c r="M220" s="205">
        <v>0</v>
      </c>
      <c r="N220" s="205">
        <v>0</v>
      </c>
      <c r="O220" s="205">
        <v>128379</v>
      </c>
      <c r="P220" s="205">
        <v>16682114</v>
      </c>
      <c r="Q220" s="205">
        <v>0</v>
      </c>
      <c r="R220" s="205">
        <v>0</v>
      </c>
      <c r="S220" s="205">
        <v>16682114</v>
      </c>
      <c r="T220" s="205">
        <v>0</v>
      </c>
      <c r="U220" s="205">
        <v>0</v>
      </c>
      <c r="V220" s="205">
        <v>0</v>
      </c>
      <c r="W220" s="205">
        <v>0</v>
      </c>
      <c r="X220" s="205">
        <v>0</v>
      </c>
      <c r="Y220" s="205">
        <v>0</v>
      </c>
      <c r="Z220" s="205">
        <v>0</v>
      </c>
      <c r="AA220" s="205">
        <v>0</v>
      </c>
      <c r="AB220" s="205">
        <v>0</v>
      </c>
      <c r="AC220" s="205">
        <v>0</v>
      </c>
      <c r="AD220" s="205">
        <v>0</v>
      </c>
    </row>
    <row r="221" spans="1:30" ht="12.75">
      <c r="A221" s="169">
        <v>214</v>
      </c>
      <c r="B221" s="172" t="s">
        <v>357</v>
      </c>
      <c r="C221" s="258" t="s">
        <v>358</v>
      </c>
      <c r="D221" s="205">
        <v>13737932</v>
      </c>
      <c r="E221" s="205">
        <v>0</v>
      </c>
      <c r="F221" s="205">
        <v>0</v>
      </c>
      <c r="G221" s="205">
        <v>13737932</v>
      </c>
      <c r="H221" s="205">
        <v>653000</v>
      </c>
      <c r="I221" s="205">
        <v>0</v>
      </c>
      <c r="J221" s="205">
        <v>0</v>
      </c>
      <c r="K221" s="205">
        <v>653000</v>
      </c>
      <c r="L221" s="205">
        <v>250000</v>
      </c>
      <c r="M221" s="205">
        <v>0</v>
      </c>
      <c r="N221" s="205">
        <v>0</v>
      </c>
      <c r="O221" s="205">
        <v>250000</v>
      </c>
      <c r="P221" s="205">
        <v>12834932</v>
      </c>
      <c r="Q221" s="205">
        <v>0</v>
      </c>
      <c r="R221" s="205">
        <v>0</v>
      </c>
      <c r="S221" s="205">
        <v>12834932</v>
      </c>
      <c r="T221" s="205">
        <v>0</v>
      </c>
      <c r="U221" s="205">
        <v>0</v>
      </c>
      <c r="V221" s="205">
        <v>0</v>
      </c>
      <c r="W221" s="205">
        <v>0</v>
      </c>
      <c r="X221" s="205">
        <v>0</v>
      </c>
      <c r="Y221" s="205">
        <v>0</v>
      </c>
      <c r="Z221" s="205">
        <v>0</v>
      </c>
      <c r="AA221" s="205">
        <v>0</v>
      </c>
      <c r="AB221" s="205">
        <v>0</v>
      </c>
      <c r="AC221" s="205">
        <v>0</v>
      </c>
      <c r="AD221" s="205">
        <v>0</v>
      </c>
    </row>
    <row r="222" spans="1:30" ht="12.75">
      <c r="A222" s="169">
        <v>215</v>
      </c>
      <c r="B222" s="172" t="s">
        <v>359</v>
      </c>
      <c r="C222" s="258" t="s">
        <v>360</v>
      </c>
      <c r="D222" s="205">
        <v>16319973.7</v>
      </c>
      <c r="E222" s="205">
        <v>0</v>
      </c>
      <c r="F222" s="205">
        <v>0</v>
      </c>
      <c r="G222" s="205">
        <v>16319973.7</v>
      </c>
      <c r="H222" s="205">
        <v>165000</v>
      </c>
      <c r="I222" s="205">
        <v>0</v>
      </c>
      <c r="J222" s="205">
        <v>0</v>
      </c>
      <c r="K222" s="205">
        <v>165000</v>
      </c>
      <c r="L222" s="205">
        <v>170000</v>
      </c>
      <c r="M222" s="205">
        <v>0</v>
      </c>
      <c r="N222" s="205">
        <v>0</v>
      </c>
      <c r="O222" s="205">
        <v>170000</v>
      </c>
      <c r="P222" s="205">
        <v>15984973.7</v>
      </c>
      <c r="Q222" s="205">
        <v>0</v>
      </c>
      <c r="R222" s="205">
        <v>0</v>
      </c>
      <c r="S222" s="205">
        <v>15984973.7</v>
      </c>
      <c r="T222" s="205">
        <v>0</v>
      </c>
      <c r="U222" s="205">
        <v>0</v>
      </c>
      <c r="V222" s="205">
        <v>0</v>
      </c>
      <c r="W222" s="205">
        <v>0</v>
      </c>
      <c r="X222" s="205">
        <v>0</v>
      </c>
      <c r="Y222" s="205">
        <v>0</v>
      </c>
      <c r="Z222" s="205">
        <v>0</v>
      </c>
      <c r="AA222" s="205">
        <v>0</v>
      </c>
      <c r="AB222" s="205">
        <v>0</v>
      </c>
      <c r="AC222" s="205">
        <v>0</v>
      </c>
      <c r="AD222" s="205">
        <v>0</v>
      </c>
    </row>
    <row r="223" spans="1:30" ht="12.75">
      <c r="A223" s="169">
        <v>216</v>
      </c>
      <c r="B223" s="172" t="s">
        <v>361</v>
      </c>
      <c r="C223" s="258" t="s">
        <v>362</v>
      </c>
      <c r="D223" s="205">
        <v>75294333.7</v>
      </c>
      <c r="E223" s="205">
        <v>0</v>
      </c>
      <c r="F223" s="205">
        <v>0</v>
      </c>
      <c r="G223" s="205">
        <v>75294333.7</v>
      </c>
      <c r="H223" s="205">
        <v>750000</v>
      </c>
      <c r="I223" s="205">
        <v>0</v>
      </c>
      <c r="J223" s="205">
        <v>0</v>
      </c>
      <c r="K223" s="205">
        <v>750000</v>
      </c>
      <c r="L223" s="205">
        <v>2290000</v>
      </c>
      <c r="M223" s="205">
        <v>0</v>
      </c>
      <c r="N223" s="205">
        <v>0</v>
      </c>
      <c r="O223" s="205">
        <v>2290000</v>
      </c>
      <c r="P223" s="205">
        <v>72254333.7</v>
      </c>
      <c r="Q223" s="205">
        <v>0</v>
      </c>
      <c r="R223" s="205">
        <v>0</v>
      </c>
      <c r="S223" s="205">
        <v>72254333.7</v>
      </c>
      <c r="T223" s="205">
        <v>151830</v>
      </c>
      <c r="U223" s="205">
        <v>0</v>
      </c>
      <c r="V223" s="205">
        <v>0</v>
      </c>
      <c r="W223" s="205">
        <v>151830</v>
      </c>
      <c r="X223" s="205">
        <v>0</v>
      </c>
      <c r="Y223" s="205">
        <v>0</v>
      </c>
      <c r="Z223" s="205">
        <v>0</v>
      </c>
      <c r="AA223" s="205">
        <v>321921.36</v>
      </c>
      <c r="AB223" s="205">
        <v>0</v>
      </c>
      <c r="AC223" s="205">
        <v>0</v>
      </c>
      <c r="AD223" s="205">
        <v>151830</v>
      </c>
    </row>
    <row r="224" spans="1:30" ht="12.75">
      <c r="A224" s="169">
        <v>217</v>
      </c>
      <c r="B224" s="172" t="s">
        <v>363</v>
      </c>
      <c r="C224" s="258" t="s">
        <v>364</v>
      </c>
      <c r="D224" s="205">
        <v>41446223</v>
      </c>
      <c r="E224" s="205">
        <v>0</v>
      </c>
      <c r="F224" s="205">
        <v>0</v>
      </c>
      <c r="G224" s="205">
        <v>41446223</v>
      </c>
      <c r="H224" s="205">
        <v>156370</v>
      </c>
      <c r="I224" s="205">
        <v>0</v>
      </c>
      <c r="J224" s="205">
        <v>0</v>
      </c>
      <c r="K224" s="205">
        <v>156370</v>
      </c>
      <c r="L224" s="205">
        <v>0</v>
      </c>
      <c r="M224" s="205">
        <v>0</v>
      </c>
      <c r="N224" s="205">
        <v>0</v>
      </c>
      <c r="O224" s="205">
        <v>0</v>
      </c>
      <c r="P224" s="205">
        <v>41289853</v>
      </c>
      <c r="Q224" s="205">
        <v>0</v>
      </c>
      <c r="R224" s="205">
        <v>0</v>
      </c>
      <c r="S224" s="205">
        <v>41289853</v>
      </c>
      <c r="T224" s="205">
        <v>0</v>
      </c>
      <c r="U224" s="205">
        <v>0</v>
      </c>
      <c r="V224" s="205">
        <v>0</v>
      </c>
      <c r="W224" s="205">
        <v>0</v>
      </c>
      <c r="X224" s="205">
        <v>0</v>
      </c>
      <c r="Y224" s="205">
        <v>0</v>
      </c>
      <c r="Z224" s="205">
        <v>0</v>
      </c>
      <c r="AA224" s="205">
        <v>0</v>
      </c>
      <c r="AB224" s="205">
        <v>0</v>
      </c>
      <c r="AC224" s="205">
        <v>0</v>
      </c>
      <c r="AD224" s="205">
        <v>0</v>
      </c>
    </row>
    <row r="225" spans="1:30" ht="12.75">
      <c r="A225" s="169">
        <v>218</v>
      </c>
      <c r="B225" s="172" t="s">
        <v>365</v>
      </c>
      <c r="C225" s="258" t="s">
        <v>366</v>
      </c>
      <c r="D225" s="205">
        <v>44601723.6</v>
      </c>
      <c r="E225" s="205">
        <v>0</v>
      </c>
      <c r="F225" s="205">
        <v>0</v>
      </c>
      <c r="G225" s="205">
        <v>44601723.6</v>
      </c>
      <c r="H225" s="205">
        <v>448917.24</v>
      </c>
      <c r="I225" s="205">
        <v>0</v>
      </c>
      <c r="J225" s="205">
        <v>0</v>
      </c>
      <c r="K225" s="205">
        <v>448917.24</v>
      </c>
      <c r="L225" s="205">
        <v>210731.65</v>
      </c>
      <c r="M225" s="205">
        <v>0</v>
      </c>
      <c r="N225" s="205">
        <v>0</v>
      </c>
      <c r="O225" s="205">
        <v>210731.65</v>
      </c>
      <c r="P225" s="205">
        <v>43942074.7</v>
      </c>
      <c r="Q225" s="205">
        <v>0</v>
      </c>
      <c r="R225" s="205">
        <v>0</v>
      </c>
      <c r="S225" s="205">
        <v>43942074.7</v>
      </c>
      <c r="T225" s="205">
        <v>0</v>
      </c>
      <c r="U225" s="205">
        <v>0</v>
      </c>
      <c r="V225" s="205">
        <v>0</v>
      </c>
      <c r="W225" s="205">
        <v>0</v>
      </c>
      <c r="X225" s="205">
        <v>0</v>
      </c>
      <c r="Y225" s="205">
        <v>0</v>
      </c>
      <c r="Z225" s="205">
        <v>0</v>
      </c>
      <c r="AA225" s="205">
        <v>0</v>
      </c>
      <c r="AB225" s="205">
        <v>0</v>
      </c>
      <c r="AC225" s="205">
        <v>0</v>
      </c>
      <c r="AD225" s="205">
        <v>0</v>
      </c>
    </row>
    <row r="226" spans="1:30" ht="12.75">
      <c r="A226" s="169">
        <v>219</v>
      </c>
      <c r="B226" s="172" t="s">
        <v>367</v>
      </c>
      <c r="C226" s="258" t="s">
        <v>368</v>
      </c>
      <c r="D226" s="205">
        <v>27049930.3</v>
      </c>
      <c r="E226" s="205">
        <v>0</v>
      </c>
      <c r="F226" s="205">
        <v>0</v>
      </c>
      <c r="G226" s="205">
        <v>27049930.3</v>
      </c>
      <c r="H226" s="205">
        <v>230000</v>
      </c>
      <c r="I226" s="205">
        <v>0</v>
      </c>
      <c r="J226" s="205">
        <v>0</v>
      </c>
      <c r="K226" s="205">
        <v>230000</v>
      </c>
      <c r="L226" s="205">
        <v>330985</v>
      </c>
      <c r="M226" s="205">
        <v>0</v>
      </c>
      <c r="N226" s="205">
        <v>0</v>
      </c>
      <c r="O226" s="205">
        <v>330985</v>
      </c>
      <c r="P226" s="205">
        <v>26488945.3</v>
      </c>
      <c r="Q226" s="205">
        <v>0</v>
      </c>
      <c r="R226" s="205">
        <v>0</v>
      </c>
      <c r="S226" s="205">
        <v>26488945.3</v>
      </c>
      <c r="T226" s="205">
        <v>0</v>
      </c>
      <c r="U226" s="205">
        <v>0</v>
      </c>
      <c r="V226" s="205">
        <v>0</v>
      </c>
      <c r="W226" s="205">
        <v>0</v>
      </c>
      <c r="X226" s="205">
        <v>0</v>
      </c>
      <c r="Y226" s="205">
        <v>0</v>
      </c>
      <c r="Z226" s="205">
        <v>0</v>
      </c>
      <c r="AA226" s="205">
        <v>0</v>
      </c>
      <c r="AB226" s="205">
        <v>0</v>
      </c>
      <c r="AC226" s="205">
        <v>0</v>
      </c>
      <c r="AD226" s="205">
        <v>0</v>
      </c>
    </row>
    <row r="227" spans="1:30" ht="12.75">
      <c r="A227" s="169">
        <v>220</v>
      </c>
      <c r="B227" s="172" t="s">
        <v>369</v>
      </c>
      <c r="C227" s="258" t="s">
        <v>370</v>
      </c>
      <c r="D227" s="205">
        <v>46216458.2</v>
      </c>
      <c r="E227" s="205">
        <v>0</v>
      </c>
      <c r="F227" s="205">
        <v>0</v>
      </c>
      <c r="G227" s="205">
        <v>46216458.2</v>
      </c>
      <c r="H227" s="205">
        <v>693246.87</v>
      </c>
      <c r="I227" s="205">
        <v>0</v>
      </c>
      <c r="J227" s="205">
        <v>0</v>
      </c>
      <c r="K227" s="205">
        <v>693246.87</v>
      </c>
      <c r="L227" s="205">
        <v>5569400</v>
      </c>
      <c r="M227" s="205">
        <v>0</v>
      </c>
      <c r="N227" s="205">
        <v>0</v>
      </c>
      <c r="O227" s="205">
        <v>5569400</v>
      </c>
      <c r="P227" s="205">
        <v>39953811.4</v>
      </c>
      <c r="Q227" s="205">
        <v>0</v>
      </c>
      <c r="R227" s="205">
        <v>0</v>
      </c>
      <c r="S227" s="205">
        <v>39953811.4</v>
      </c>
      <c r="T227" s="205">
        <v>0</v>
      </c>
      <c r="U227" s="205">
        <v>0</v>
      </c>
      <c r="V227" s="205">
        <v>0</v>
      </c>
      <c r="W227" s="205">
        <v>0</v>
      </c>
      <c r="X227" s="205">
        <v>0</v>
      </c>
      <c r="Y227" s="205">
        <v>0</v>
      </c>
      <c r="Z227" s="205">
        <v>0</v>
      </c>
      <c r="AA227" s="205">
        <v>0</v>
      </c>
      <c r="AB227" s="205">
        <v>0</v>
      </c>
      <c r="AC227" s="205">
        <v>0</v>
      </c>
      <c r="AD227" s="205">
        <v>0</v>
      </c>
    </row>
    <row r="228" spans="1:30" ht="12.75">
      <c r="A228" s="169">
        <v>221</v>
      </c>
      <c r="B228" s="172" t="s">
        <v>371</v>
      </c>
      <c r="C228" s="258" t="s">
        <v>372</v>
      </c>
      <c r="D228" s="205">
        <v>10073966</v>
      </c>
      <c r="E228" s="205">
        <v>0</v>
      </c>
      <c r="F228" s="205">
        <v>0</v>
      </c>
      <c r="G228" s="205">
        <v>10073966</v>
      </c>
      <c r="H228" s="205">
        <v>101111</v>
      </c>
      <c r="I228" s="205">
        <v>0</v>
      </c>
      <c r="J228" s="205">
        <v>0</v>
      </c>
      <c r="K228" s="205">
        <v>101111</v>
      </c>
      <c r="L228" s="205">
        <v>18118</v>
      </c>
      <c r="M228" s="205">
        <v>0</v>
      </c>
      <c r="N228" s="205">
        <v>0</v>
      </c>
      <c r="O228" s="205">
        <v>18118</v>
      </c>
      <c r="P228" s="205">
        <v>9954737</v>
      </c>
      <c r="Q228" s="205">
        <v>0</v>
      </c>
      <c r="R228" s="205">
        <v>0</v>
      </c>
      <c r="S228" s="205">
        <v>9954737</v>
      </c>
      <c r="T228" s="205">
        <v>0</v>
      </c>
      <c r="U228" s="205">
        <v>0</v>
      </c>
      <c r="V228" s="205">
        <v>0</v>
      </c>
      <c r="W228" s="205">
        <v>0</v>
      </c>
      <c r="X228" s="205">
        <v>0</v>
      </c>
      <c r="Y228" s="205">
        <v>0</v>
      </c>
      <c r="Z228" s="205">
        <v>0</v>
      </c>
      <c r="AA228" s="205">
        <v>0</v>
      </c>
      <c r="AB228" s="205">
        <v>0</v>
      </c>
      <c r="AC228" s="205">
        <v>0</v>
      </c>
      <c r="AD228" s="205">
        <v>0</v>
      </c>
    </row>
    <row r="229" spans="1:30" ht="12.75">
      <c r="A229" s="169">
        <v>222</v>
      </c>
      <c r="B229" s="172" t="s">
        <v>373</v>
      </c>
      <c r="C229" s="258" t="s">
        <v>374</v>
      </c>
      <c r="D229" s="205">
        <v>16714686</v>
      </c>
      <c r="E229" s="205">
        <v>0</v>
      </c>
      <c r="F229" s="205">
        <v>0</v>
      </c>
      <c r="G229" s="205">
        <v>16714686</v>
      </c>
      <c r="H229" s="205">
        <v>200000</v>
      </c>
      <c r="I229" s="205">
        <v>0</v>
      </c>
      <c r="J229" s="205">
        <v>0</v>
      </c>
      <c r="K229" s="205">
        <v>200000</v>
      </c>
      <c r="L229" s="205">
        <v>272076</v>
      </c>
      <c r="M229" s="205">
        <v>0</v>
      </c>
      <c r="N229" s="205">
        <v>0</v>
      </c>
      <c r="O229" s="205">
        <v>272076</v>
      </c>
      <c r="P229" s="205">
        <v>16242610</v>
      </c>
      <c r="Q229" s="205">
        <v>0</v>
      </c>
      <c r="R229" s="205">
        <v>0</v>
      </c>
      <c r="S229" s="205">
        <v>16242610</v>
      </c>
      <c r="T229" s="205">
        <v>0</v>
      </c>
      <c r="U229" s="205">
        <v>0</v>
      </c>
      <c r="V229" s="205">
        <v>0</v>
      </c>
      <c r="W229" s="205">
        <v>0</v>
      </c>
      <c r="X229" s="205">
        <v>0</v>
      </c>
      <c r="Y229" s="205">
        <v>0</v>
      </c>
      <c r="Z229" s="205">
        <v>0</v>
      </c>
      <c r="AA229" s="205">
        <v>0</v>
      </c>
      <c r="AB229" s="205">
        <v>0</v>
      </c>
      <c r="AC229" s="205">
        <v>0</v>
      </c>
      <c r="AD229" s="205">
        <v>0</v>
      </c>
    </row>
    <row r="230" spans="1:30" ht="12.75">
      <c r="A230" s="169">
        <v>223</v>
      </c>
      <c r="B230" s="172" t="s">
        <v>375</v>
      </c>
      <c r="C230" s="258" t="s">
        <v>376</v>
      </c>
      <c r="D230" s="205">
        <v>99239748</v>
      </c>
      <c r="E230" s="205">
        <v>0</v>
      </c>
      <c r="F230" s="205">
        <v>0</v>
      </c>
      <c r="G230" s="205">
        <v>99239748</v>
      </c>
      <c r="H230" s="205">
        <v>2963000</v>
      </c>
      <c r="I230" s="205">
        <v>0</v>
      </c>
      <c r="J230" s="205">
        <v>0</v>
      </c>
      <c r="K230" s="205">
        <v>2963000</v>
      </c>
      <c r="L230" s="205">
        <v>6654000</v>
      </c>
      <c r="M230" s="205">
        <v>0</v>
      </c>
      <c r="N230" s="205">
        <v>0</v>
      </c>
      <c r="O230" s="205">
        <v>6654000</v>
      </c>
      <c r="P230" s="205">
        <v>89622748</v>
      </c>
      <c r="Q230" s="205">
        <v>0</v>
      </c>
      <c r="R230" s="205">
        <v>0</v>
      </c>
      <c r="S230" s="205">
        <v>89622748</v>
      </c>
      <c r="T230" s="205">
        <v>0</v>
      </c>
      <c r="U230" s="205">
        <v>0</v>
      </c>
      <c r="V230" s="205">
        <v>0</v>
      </c>
      <c r="W230" s="205">
        <v>0</v>
      </c>
      <c r="X230" s="205">
        <v>0</v>
      </c>
      <c r="Y230" s="205">
        <v>0</v>
      </c>
      <c r="Z230" s="205">
        <v>0</v>
      </c>
      <c r="AA230" s="205">
        <v>0</v>
      </c>
      <c r="AB230" s="205">
        <v>0</v>
      </c>
      <c r="AC230" s="205">
        <v>0</v>
      </c>
      <c r="AD230" s="205">
        <v>0</v>
      </c>
    </row>
    <row r="231" spans="1:30" ht="12.75">
      <c r="A231" s="169">
        <v>224</v>
      </c>
      <c r="B231" s="172" t="s">
        <v>377</v>
      </c>
      <c r="C231" s="258" t="s">
        <v>378</v>
      </c>
      <c r="D231" s="205">
        <v>105042455</v>
      </c>
      <c r="E231" s="205">
        <v>0</v>
      </c>
      <c r="F231" s="205">
        <v>0</v>
      </c>
      <c r="G231" s="205">
        <v>105042455</v>
      </c>
      <c r="H231" s="205">
        <v>1666264</v>
      </c>
      <c r="I231" s="205">
        <v>0</v>
      </c>
      <c r="J231" s="205">
        <v>0</v>
      </c>
      <c r="K231" s="205">
        <v>1666264</v>
      </c>
      <c r="L231" s="205">
        <v>2650812</v>
      </c>
      <c r="M231" s="205">
        <v>0</v>
      </c>
      <c r="N231" s="205">
        <v>0</v>
      </c>
      <c r="O231" s="205">
        <v>2650812</v>
      </c>
      <c r="P231" s="205">
        <v>100725379</v>
      </c>
      <c r="Q231" s="205">
        <v>0</v>
      </c>
      <c r="R231" s="205">
        <v>0</v>
      </c>
      <c r="S231" s="205">
        <v>100725379</v>
      </c>
      <c r="T231" s="205">
        <v>0</v>
      </c>
      <c r="U231" s="205">
        <v>0</v>
      </c>
      <c r="V231" s="205">
        <v>0</v>
      </c>
      <c r="W231" s="205">
        <v>0</v>
      </c>
      <c r="X231" s="205">
        <v>0</v>
      </c>
      <c r="Y231" s="205">
        <v>0</v>
      </c>
      <c r="Z231" s="205">
        <v>0</v>
      </c>
      <c r="AA231" s="205">
        <v>0</v>
      </c>
      <c r="AB231" s="205">
        <v>0</v>
      </c>
      <c r="AC231" s="205">
        <v>0</v>
      </c>
      <c r="AD231" s="205">
        <v>0</v>
      </c>
    </row>
    <row r="232" spans="1:30" ht="12.75">
      <c r="A232" s="169">
        <v>225</v>
      </c>
      <c r="B232" s="172" t="s">
        <v>379</v>
      </c>
      <c r="C232" s="258" t="s">
        <v>380</v>
      </c>
      <c r="D232" s="205">
        <v>33496353</v>
      </c>
      <c r="E232" s="205">
        <v>0</v>
      </c>
      <c r="F232" s="205">
        <v>0</v>
      </c>
      <c r="G232" s="205">
        <v>33496353</v>
      </c>
      <c r="H232" s="205">
        <v>418704</v>
      </c>
      <c r="I232" s="205">
        <v>0</v>
      </c>
      <c r="J232" s="205">
        <v>0</v>
      </c>
      <c r="K232" s="205">
        <v>418704</v>
      </c>
      <c r="L232" s="205">
        <v>351673</v>
      </c>
      <c r="M232" s="205">
        <v>0</v>
      </c>
      <c r="N232" s="205">
        <v>0</v>
      </c>
      <c r="O232" s="205">
        <v>351673</v>
      </c>
      <c r="P232" s="205">
        <v>32725976</v>
      </c>
      <c r="Q232" s="205">
        <v>0</v>
      </c>
      <c r="R232" s="205">
        <v>0</v>
      </c>
      <c r="S232" s="205">
        <v>32725976</v>
      </c>
      <c r="T232" s="205">
        <v>0</v>
      </c>
      <c r="U232" s="205">
        <v>0</v>
      </c>
      <c r="V232" s="205">
        <v>0</v>
      </c>
      <c r="W232" s="205">
        <v>0</v>
      </c>
      <c r="X232" s="205">
        <v>0</v>
      </c>
      <c r="Y232" s="205">
        <v>0</v>
      </c>
      <c r="Z232" s="205">
        <v>0</v>
      </c>
      <c r="AA232" s="205">
        <v>0</v>
      </c>
      <c r="AB232" s="205">
        <v>0</v>
      </c>
      <c r="AC232" s="205">
        <v>0</v>
      </c>
      <c r="AD232" s="205">
        <v>0</v>
      </c>
    </row>
    <row r="233" spans="1:30" ht="12.75">
      <c r="A233" s="169">
        <v>226</v>
      </c>
      <c r="B233" s="172" t="s">
        <v>381</v>
      </c>
      <c r="C233" s="258" t="s">
        <v>383</v>
      </c>
      <c r="D233" s="205">
        <v>36834892</v>
      </c>
      <c r="E233" s="205">
        <v>0</v>
      </c>
      <c r="F233" s="205">
        <v>0</v>
      </c>
      <c r="G233" s="205">
        <v>36834892</v>
      </c>
      <c r="H233" s="205">
        <v>379309</v>
      </c>
      <c r="I233" s="205">
        <v>0</v>
      </c>
      <c r="J233" s="205">
        <v>0</v>
      </c>
      <c r="K233" s="205">
        <v>379309</v>
      </c>
      <c r="L233" s="205">
        <v>854244</v>
      </c>
      <c r="M233" s="205">
        <v>0</v>
      </c>
      <c r="N233" s="205">
        <v>0</v>
      </c>
      <c r="O233" s="205">
        <v>854244</v>
      </c>
      <c r="P233" s="205">
        <v>35601339</v>
      </c>
      <c r="Q233" s="205">
        <v>0</v>
      </c>
      <c r="R233" s="205">
        <v>0</v>
      </c>
      <c r="S233" s="205">
        <v>35601339</v>
      </c>
      <c r="T233" s="205">
        <v>82580</v>
      </c>
      <c r="U233" s="205">
        <v>0</v>
      </c>
      <c r="V233" s="205">
        <v>0</v>
      </c>
      <c r="W233" s="205">
        <v>82580</v>
      </c>
      <c r="X233" s="205">
        <v>0</v>
      </c>
      <c r="Y233" s="205">
        <v>0</v>
      </c>
      <c r="Z233" s="205">
        <v>0</v>
      </c>
      <c r="AA233" s="205">
        <v>0</v>
      </c>
      <c r="AB233" s="205">
        <v>0</v>
      </c>
      <c r="AC233" s="205">
        <v>0</v>
      </c>
      <c r="AD233" s="205">
        <v>82580</v>
      </c>
    </row>
    <row r="234" spans="1:30" ht="12.75">
      <c r="A234" s="169">
        <v>227</v>
      </c>
      <c r="B234" s="172" t="s">
        <v>384</v>
      </c>
      <c r="C234" s="258" t="s">
        <v>385</v>
      </c>
      <c r="D234" s="205">
        <v>67411505</v>
      </c>
      <c r="E234" s="205">
        <v>0</v>
      </c>
      <c r="F234" s="205">
        <v>0</v>
      </c>
      <c r="G234" s="205">
        <v>67411505</v>
      </c>
      <c r="H234" s="205">
        <v>1461683</v>
      </c>
      <c r="I234" s="205">
        <v>0</v>
      </c>
      <c r="J234" s="205">
        <v>0</v>
      </c>
      <c r="K234" s="205">
        <v>1461683</v>
      </c>
      <c r="L234" s="205">
        <v>3758613</v>
      </c>
      <c r="M234" s="205">
        <v>0</v>
      </c>
      <c r="N234" s="205">
        <v>0</v>
      </c>
      <c r="O234" s="205">
        <v>3758613</v>
      </c>
      <c r="P234" s="205">
        <v>62191209</v>
      </c>
      <c r="Q234" s="205">
        <v>0</v>
      </c>
      <c r="R234" s="205">
        <v>0</v>
      </c>
      <c r="S234" s="205">
        <v>62191209</v>
      </c>
      <c r="T234" s="205">
        <v>0</v>
      </c>
      <c r="U234" s="205">
        <v>0</v>
      </c>
      <c r="V234" s="205">
        <v>0</v>
      </c>
      <c r="W234" s="205">
        <v>0</v>
      </c>
      <c r="X234" s="205">
        <v>0</v>
      </c>
      <c r="Y234" s="205">
        <v>0</v>
      </c>
      <c r="Z234" s="205">
        <v>0</v>
      </c>
      <c r="AA234" s="205">
        <v>0</v>
      </c>
      <c r="AB234" s="205">
        <v>0</v>
      </c>
      <c r="AC234" s="205">
        <v>0</v>
      </c>
      <c r="AD234" s="205">
        <v>0</v>
      </c>
    </row>
    <row r="235" spans="1:30" ht="12.75">
      <c r="A235" s="169">
        <v>228</v>
      </c>
      <c r="B235" s="172" t="s">
        <v>386</v>
      </c>
      <c r="C235" s="258" t="s">
        <v>387</v>
      </c>
      <c r="D235" s="205">
        <v>42283441.6</v>
      </c>
      <c r="E235" s="205">
        <v>0</v>
      </c>
      <c r="F235" s="205">
        <v>0</v>
      </c>
      <c r="G235" s="205">
        <v>42283441.6</v>
      </c>
      <c r="H235" s="205">
        <v>126850</v>
      </c>
      <c r="I235" s="205">
        <v>0</v>
      </c>
      <c r="J235" s="205">
        <v>0</v>
      </c>
      <c r="K235" s="205">
        <v>126850</v>
      </c>
      <c r="L235" s="205">
        <v>240967</v>
      </c>
      <c r="M235" s="205">
        <v>0</v>
      </c>
      <c r="N235" s="205">
        <v>0</v>
      </c>
      <c r="O235" s="205">
        <v>240967</v>
      </c>
      <c r="P235" s="205">
        <v>41915624.6</v>
      </c>
      <c r="Q235" s="205">
        <v>0</v>
      </c>
      <c r="R235" s="205">
        <v>0</v>
      </c>
      <c r="S235" s="205">
        <v>41915624.6</v>
      </c>
      <c r="T235" s="205">
        <v>19405</v>
      </c>
      <c r="U235" s="205">
        <v>0</v>
      </c>
      <c r="V235" s="205">
        <v>0</v>
      </c>
      <c r="W235" s="205">
        <v>19405</v>
      </c>
      <c r="X235" s="205">
        <v>0</v>
      </c>
      <c r="Y235" s="205">
        <v>0</v>
      </c>
      <c r="Z235" s="205">
        <v>0</v>
      </c>
      <c r="AA235" s="205">
        <v>0</v>
      </c>
      <c r="AB235" s="205">
        <v>0</v>
      </c>
      <c r="AC235" s="205">
        <v>0</v>
      </c>
      <c r="AD235" s="205">
        <v>19405</v>
      </c>
    </row>
    <row r="236" spans="1:30" ht="12.75">
      <c r="A236" s="169">
        <v>229</v>
      </c>
      <c r="B236" s="172" t="s">
        <v>388</v>
      </c>
      <c r="C236" s="258" t="s">
        <v>389</v>
      </c>
      <c r="D236" s="205">
        <v>35672099.7</v>
      </c>
      <c r="E236" s="205">
        <v>0</v>
      </c>
      <c r="F236" s="205">
        <v>0</v>
      </c>
      <c r="G236" s="205">
        <v>35672099.7</v>
      </c>
      <c r="H236" s="205">
        <v>550000</v>
      </c>
      <c r="I236" s="205">
        <v>0</v>
      </c>
      <c r="J236" s="205">
        <v>0</v>
      </c>
      <c r="K236" s="205">
        <v>550000</v>
      </c>
      <c r="L236" s="205">
        <v>2640000</v>
      </c>
      <c r="M236" s="205">
        <v>0</v>
      </c>
      <c r="N236" s="205">
        <v>0</v>
      </c>
      <c r="O236" s="205">
        <v>2640000</v>
      </c>
      <c r="P236" s="205">
        <v>32482099.7</v>
      </c>
      <c r="Q236" s="205">
        <v>0</v>
      </c>
      <c r="R236" s="205">
        <v>0</v>
      </c>
      <c r="S236" s="205">
        <v>32482099.7</v>
      </c>
      <c r="T236" s="205">
        <v>0</v>
      </c>
      <c r="U236" s="205">
        <v>0</v>
      </c>
      <c r="V236" s="205">
        <v>0</v>
      </c>
      <c r="W236" s="205">
        <v>0</v>
      </c>
      <c r="X236" s="205">
        <v>0</v>
      </c>
      <c r="Y236" s="205">
        <v>0</v>
      </c>
      <c r="Z236" s="205">
        <v>0</v>
      </c>
      <c r="AA236" s="205">
        <v>0</v>
      </c>
      <c r="AB236" s="205">
        <v>0</v>
      </c>
      <c r="AC236" s="205">
        <v>0</v>
      </c>
      <c r="AD236" s="205">
        <v>0</v>
      </c>
    </row>
    <row r="237" spans="1:30" ht="12.75">
      <c r="A237" s="169">
        <v>230</v>
      </c>
      <c r="B237" s="172" t="s">
        <v>390</v>
      </c>
      <c r="C237" s="258" t="s">
        <v>391</v>
      </c>
      <c r="D237" s="205">
        <v>210383790</v>
      </c>
      <c r="E237" s="205">
        <v>1153682</v>
      </c>
      <c r="F237" s="205">
        <v>1487179</v>
      </c>
      <c r="G237" s="205">
        <v>213024651</v>
      </c>
      <c r="H237" s="205">
        <v>1444063.27</v>
      </c>
      <c r="I237" s="205">
        <v>7918.81</v>
      </c>
      <c r="J237" s="205">
        <v>10207.92</v>
      </c>
      <c r="K237" s="205">
        <v>1462190</v>
      </c>
      <c r="L237" s="205">
        <v>5017971.67</v>
      </c>
      <c r="M237" s="205">
        <v>9536</v>
      </c>
      <c r="N237" s="205">
        <v>0</v>
      </c>
      <c r="O237" s="205">
        <v>5027507.67</v>
      </c>
      <c r="P237" s="205">
        <v>203921755</v>
      </c>
      <c r="Q237" s="205">
        <v>1136227.19</v>
      </c>
      <c r="R237" s="205">
        <v>1476971.08</v>
      </c>
      <c r="S237" s="205">
        <v>206534953</v>
      </c>
      <c r="T237" s="205">
        <v>0</v>
      </c>
      <c r="U237" s="205">
        <v>0</v>
      </c>
      <c r="V237" s="205">
        <v>0</v>
      </c>
      <c r="W237" s="205">
        <v>0</v>
      </c>
      <c r="X237" s="205">
        <v>0</v>
      </c>
      <c r="Y237" s="205">
        <v>0</v>
      </c>
      <c r="Z237" s="205">
        <v>1510810.97</v>
      </c>
      <c r="AA237" s="205">
        <v>1606914.06</v>
      </c>
      <c r="AB237" s="205">
        <v>0</v>
      </c>
      <c r="AC237" s="205">
        <v>0</v>
      </c>
      <c r="AD237" s="205">
        <v>0</v>
      </c>
    </row>
    <row r="238" spans="1:30" ht="12.75">
      <c r="A238" s="169">
        <v>231</v>
      </c>
      <c r="B238" s="172" t="s">
        <v>392</v>
      </c>
      <c r="C238" s="258" t="s">
        <v>393</v>
      </c>
      <c r="D238" s="205">
        <v>26786703.1</v>
      </c>
      <c r="E238" s="205">
        <v>0</v>
      </c>
      <c r="F238" s="205">
        <v>0</v>
      </c>
      <c r="G238" s="205">
        <v>26786703.1</v>
      </c>
      <c r="H238" s="205">
        <v>432895</v>
      </c>
      <c r="I238" s="205">
        <v>0</v>
      </c>
      <c r="J238" s="205">
        <v>0</v>
      </c>
      <c r="K238" s="205">
        <v>432895</v>
      </c>
      <c r="L238" s="205">
        <v>365516.38</v>
      </c>
      <c r="M238" s="205">
        <v>0</v>
      </c>
      <c r="N238" s="205">
        <v>0</v>
      </c>
      <c r="O238" s="205">
        <v>365516.38</v>
      </c>
      <c r="P238" s="205">
        <v>25988291.7</v>
      </c>
      <c r="Q238" s="205">
        <v>0</v>
      </c>
      <c r="R238" s="205">
        <v>0</v>
      </c>
      <c r="S238" s="205">
        <v>25988291.7</v>
      </c>
      <c r="T238" s="205">
        <v>0</v>
      </c>
      <c r="U238" s="205">
        <v>0</v>
      </c>
      <c r="V238" s="205">
        <v>0</v>
      </c>
      <c r="W238" s="205">
        <v>0</v>
      </c>
      <c r="X238" s="205">
        <v>0</v>
      </c>
      <c r="Y238" s="205">
        <v>0</v>
      </c>
      <c r="Z238" s="205">
        <v>0</v>
      </c>
      <c r="AA238" s="205">
        <v>0</v>
      </c>
      <c r="AB238" s="205">
        <v>0</v>
      </c>
      <c r="AC238" s="205">
        <v>0</v>
      </c>
      <c r="AD238" s="205">
        <v>0</v>
      </c>
    </row>
    <row r="239" spans="1:30" ht="12.75">
      <c r="A239" s="169">
        <v>232</v>
      </c>
      <c r="B239" s="172" t="s">
        <v>394</v>
      </c>
      <c r="C239" s="258" t="s">
        <v>395</v>
      </c>
      <c r="D239" s="205">
        <v>77886908.2</v>
      </c>
      <c r="E239" s="205">
        <v>0</v>
      </c>
      <c r="F239" s="205">
        <v>0</v>
      </c>
      <c r="G239" s="205">
        <v>77886908.2</v>
      </c>
      <c r="H239" s="205">
        <v>778869</v>
      </c>
      <c r="I239" s="205">
        <v>0</v>
      </c>
      <c r="J239" s="205">
        <v>0</v>
      </c>
      <c r="K239" s="205">
        <v>778869</v>
      </c>
      <c r="L239" s="205">
        <v>454420.78</v>
      </c>
      <c r="M239" s="205">
        <v>0</v>
      </c>
      <c r="N239" s="205">
        <v>0</v>
      </c>
      <c r="O239" s="205">
        <v>454420.78</v>
      </c>
      <c r="P239" s="205">
        <v>76653618.4</v>
      </c>
      <c r="Q239" s="205">
        <v>0</v>
      </c>
      <c r="R239" s="205">
        <v>0</v>
      </c>
      <c r="S239" s="205">
        <v>76653618.4</v>
      </c>
      <c r="T239" s="205">
        <v>0</v>
      </c>
      <c r="U239" s="205">
        <v>0</v>
      </c>
      <c r="V239" s="205">
        <v>0</v>
      </c>
      <c r="W239" s="205">
        <v>0</v>
      </c>
      <c r="X239" s="205">
        <v>0</v>
      </c>
      <c r="Y239" s="205">
        <v>0</v>
      </c>
      <c r="Z239" s="205">
        <v>0</v>
      </c>
      <c r="AA239" s="205">
        <v>0</v>
      </c>
      <c r="AB239" s="205">
        <v>0</v>
      </c>
      <c r="AC239" s="205">
        <v>0</v>
      </c>
      <c r="AD239" s="205">
        <v>0</v>
      </c>
    </row>
    <row r="240" spans="1:30" ht="12.75">
      <c r="A240" s="169">
        <v>233</v>
      </c>
      <c r="B240" s="172" t="s">
        <v>396</v>
      </c>
      <c r="C240" s="258" t="s">
        <v>397</v>
      </c>
      <c r="D240" s="205">
        <v>95311411</v>
      </c>
      <c r="E240" s="205">
        <v>0</v>
      </c>
      <c r="F240" s="205">
        <v>0</v>
      </c>
      <c r="G240" s="205">
        <v>95311411</v>
      </c>
      <c r="H240" s="205">
        <v>1906228</v>
      </c>
      <c r="I240" s="205">
        <v>0</v>
      </c>
      <c r="J240" s="205">
        <v>0</v>
      </c>
      <c r="K240" s="205">
        <v>1906228</v>
      </c>
      <c r="L240" s="205">
        <v>1069795</v>
      </c>
      <c r="M240" s="205">
        <v>0</v>
      </c>
      <c r="N240" s="205">
        <v>0</v>
      </c>
      <c r="O240" s="205">
        <v>1069795</v>
      </c>
      <c r="P240" s="205">
        <v>92335388</v>
      </c>
      <c r="Q240" s="205">
        <v>0</v>
      </c>
      <c r="R240" s="205">
        <v>0</v>
      </c>
      <c r="S240" s="205">
        <v>92335388</v>
      </c>
      <c r="T240" s="205">
        <v>0</v>
      </c>
      <c r="U240" s="205">
        <v>0</v>
      </c>
      <c r="V240" s="205">
        <v>0</v>
      </c>
      <c r="W240" s="205">
        <v>0</v>
      </c>
      <c r="X240" s="205">
        <v>0</v>
      </c>
      <c r="Y240" s="205">
        <v>0</v>
      </c>
      <c r="Z240" s="205">
        <v>0</v>
      </c>
      <c r="AA240" s="205">
        <v>0</v>
      </c>
      <c r="AB240" s="205">
        <v>0</v>
      </c>
      <c r="AC240" s="205">
        <v>0</v>
      </c>
      <c r="AD240" s="205">
        <v>0</v>
      </c>
    </row>
    <row r="241" spans="1:30" ht="12.75">
      <c r="A241" s="169">
        <v>234</v>
      </c>
      <c r="B241" s="172" t="s">
        <v>398</v>
      </c>
      <c r="C241" s="258" t="s">
        <v>399</v>
      </c>
      <c r="D241" s="205">
        <v>115239299</v>
      </c>
      <c r="E241" s="205">
        <v>0</v>
      </c>
      <c r="F241" s="205">
        <v>0</v>
      </c>
      <c r="G241" s="205">
        <v>115239299</v>
      </c>
      <c r="H241" s="205">
        <v>377000</v>
      </c>
      <c r="I241" s="205">
        <v>0</v>
      </c>
      <c r="J241" s="205">
        <v>0</v>
      </c>
      <c r="K241" s="205">
        <v>377000</v>
      </c>
      <c r="L241" s="205">
        <v>781068</v>
      </c>
      <c r="M241" s="205">
        <v>0</v>
      </c>
      <c r="N241" s="205">
        <v>0</v>
      </c>
      <c r="O241" s="205">
        <v>781068</v>
      </c>
      <c r="P241" s="205">
        <v>114081231</v>
      </c>
      <c r="Q241" s="205">
        <v>0</v>
      </c>
      <c r="R241" s="205">
        <v>0</v>
      </c>
      <c r="S241" s="205">
        <v>114081231</v>
      </c>
      <c r="T241" s="205">
        <v>0</v>
      </c>
      <c r="U241" s="205">
        <v>0</v>
      </c>
      <c r="V241" s="205">
        <v>0</v>
      </c>
      <c r="W241" s="205">
        <v>0</v>
      </c>
      <c r="X241" s="205">
        <v>0</v>
      </c>
      <c r="Y241" s="205">
        <v>0</v>
      </c>
      <c r="Z241" s="205">
        <v>0</v>
      </c>
      <c r="AA241" s="205">
        <v>0</v>
      </c>
      <c r="AB241" s="205">
        <v>0</v>
      </c>
      <c r="AC241" s="205">
        <v>0</v>
      </c>
      <c r="AD241" s="205">
        <v>0</v>
      </c>
    </row>
    <row r="242" spans="1:30" ht="12.75">
      <c r="A242" s="169">
        <v>235</v>
      </c>
      <c r="B242" s="172" t="s">
        <v>400</v>
      </c>
      <c r="C242" s="258" t="s">
        <v>401</v>
      </c>
      <c r="D242" s="205">
        <v>27076429</v>
      </c>
      <c r="E242" s="205">
        <v>0</v>
      </c>
      <c r="F242" s="205">
        <v>0</v>
      </c>
      <c r="G242" s="205">
        <v>27076429</v>
      </c>
      <c r="H242" s="205">
        <v>270764</v>
      </c>
      <c r="I242" s="205">
        <v>0</v>
      </c>
      <c r="J242" s="205">
        <v>0</v>
      </c>
      <c r="K242" s="205">
        <v>270764</v>
      </c>
      <c r="L242" s="205">
        <v>159456</v>
      </c>
      <c r="M242" s="205">
        <v>0</v>
      </c>
      <c r="N242" s="205">
        <v>0</v>
      </c>
      <c r="O242" s="205">
        <v>159456</v>
      </c>
      <c r="P242" s="205">
        <v>26646209</v>
      </c>
      <c r="Q242" s="205">
        <v>0</v>
      </c>
      <c r="R242" s="205">
        <v>0</v>
      </c>
      <c r="S242" s="205">
        <v>26646209</v>
      </c>
      <c r="T242" s="205">
        <v>0</v>
      </c>
      <c r="U242" s="205">
        <v>0</v>
      </c>
      <c r="V242" s="205">
        <v>0</v>
      </c>
      <c r="W242" s="205">
        <v>0</v>
      </c>
      <c r="X242" s="205">
        <v>0</v>
      </c>
      <c r="Y242" s="205">
        <v>0</v>
      </c>
      <c r="Z242" s="205">
        <v>0</v>
      </c>
      <c r="AA242" s="205">
        <v>0</v>
      </c>
      <c r="AB242" s="205">
        <v>0</v>
      </c>
      <c r="AC242" s="205">
        <v>0</v>
      </c>
      <c r="AD242" s="205">
        <v>0</v>
      </c>
    </row>
    <row r="243" spans="1:30" ht="12.75">
      <c r="A243" s="169">
        <v>236</v>
      </c>
      <c r="B243" s="172" t="s">
        <v>402</v>
      </c>
      <c r="C243" s="258" t="s">
        <v>403</v>
      </c>
      <c r="D243" s="205">
        <v>69257246</v>
      </c>
      <c r="E243" s="205">
        <v>0</v>
      </c>
      <c r="F243" s="205">
        <v>0</v>
      </c>
      <c r="G243" s="205">
        <v>69257246</v>
      </c>
      <c r="H243" s="205">
        <v>258300</v>
      </c>
      <c r="I243" s="205">
        <v>0</v>
      </c>
      <c r="J243" s="205">
        <v>0</v>
      </c>
      <c r="K243" s="205">
        <v>258300</v>
      </c>
      <c r="L243" s="205">
        <v>1200000</v>
      </c>
      <c r="M243" s="205">
        <v>0</v>
      </c>
      <c r="N243" s="205">
        <v>0</v>
      </c>
      <c r="O243" s="205">
        <v>1200000</v>
      </c>
      <c r="P243" s="205">
        <v>67798946</v>
      </c>
      <c r="Q243" s="205">
        <v>0</v>
      </c>
      <c r="R243" s="205">
        <v>0</v>
      </c>
      <c r="S243" s="205">
        <v>67798946</v>
      </c>
      <c r="T243" s="205">
        <v>0</v>
      </c>
      <c r="U243" s="205">
        <v>0</v>
      </c>
      <c r="V243" s="205">
        <v>0</v>
      </c>
      <c r="W243" s="205">
        <v>0</v>
      </c>
      <c r="X243" s="205">
        <v>0</v>
      </c>
      <c r="Y243" s="205">
        <v>0</v>
      </c>
      <c r="Z243" s="205">
        <v>0</v>
      </c>
      <c r="AA243" s="205">
        <v>0</v>
      </c>
      <c r="AB243" s="205">
        <v>0</v>
      </c>
      <c r="AC243" s="205">
        <v>0</v>
      </c>
      <c r="AD243" s="205">
        <v>0</v>
      </c>
    </row>
    <row r="244" spans="1:30" ht="12.75">
      <c r="A244" s="169">
        <v>237</v>
      </c>
      <c r="B244" s="172" t="s">
        <v>404</v>
      </c>
      <c r="C244" s="258" t="s">
        <v>405</v>
      </c>
      <c r="D244" s="205">
        <v>22930471</v>
      </c>
      <c r="E244" s="205">
        <v>0</v>
      </c>
      <c r="F244" s="205">
        <v>0</v>
      </c>
      <c r="G244" s="205">
        <v>22930471</v>
      </c>
      <c r="H244" s="205">
        <v>1186999</v>
      </c>
      <c r="I244" s="205">
        <v>0</v>
      </c>
      <c r="J244" s="205">
        <v>0</v>
      </c>
      <c r="K244" s="205">
        <v>1186999</v>
      </c>
      <c r="L244" s="205">
        <v>583871</v>
      </c>
      <c r="M244" s="205">
        <v>0</v>
      </c>
      <c r="N244" s="205">
        <v>0</v>
      </c>
      <c r="O244" s="205">
        <v>583871</v>
      </c>
      <c r="P244" s="205">
        <v>21159601</v>
      </c>
      <c r="Q244" s="205">
        <v>0</v>
      </c>
      <c r="R244" s="205">
        <v>0</v>
      </c>
      <c r="S244" s="205">
        <v>21159601</v>
      </c>
      <c r="T244" s="205">
        <v>0</v>
      </c>
      <c r="U244" s="205">
        <v>0</v>
      </c>
      <c r="V244" s="205">
        <v>0</v>
      </c>
      <c r="W244" s="205">
        <v>0</v>
      </c>
      <c r="X244" s="205">
        <v>0</v>
      </c>
      <c r="Y244" s="205">
        <v>0</v>
      </c>
      <c r="Z244" s="205">
        <v>0</v>
      </c>
      <c r="AA244" s="205">
        <v>0</v>
      </c>
      <c r="AB244" s="205">
        <v>0</v>
      </c>
      <c r="AC244" s="205">
        <v>0</v>
      </c>
      <c r="AD244" s="205">
        <v>0</v>
      </c>
    </row>
    <row r="245" spans="1:30" ht="12.75">
      <c r="A245" s="169">
        <v>238</v>
      </c>
      <c r="B245" s="172" t="s">
        <v>406</v>
      </c>
      <c r="C245" s="258" t="s">
        <v>407</v>
      </c>
      <c r="D245" s="205">
        <v>134168526</v>
      </c>
      <c r="E245" s="205">
        <v>4519793</v>
      </c>
      <c r="F245" s="205">
        <v>0</v>
      </c>
      <c r="G245" s="205">
        <v>138688319</v>
      </c>
      <c r="H245" s="205">
        <v>500000</v>
      </c>
      <c r="I245" s="205">
        <v>0</v>
      </c>
      <c r="J245" s="205">
        <v>0</v>
      </c>
      <c r="K245" s="205">
        <v>500000</v>
      </c>
      <c r="L245" s="205">
        <v>3800000</v>
      </c>
      <c r="M245" s="205">
        <v>0</v>
      </c>
      <c r="N245" s="205">
        <v>0</v>
      </c>
      <c r="O245" s="205">
        <v>3800000</v>
      </c>
      <c r="P245" s="205">
        <v>129868526</v>
      </c>
      <c r="Q245" s="205">
        <v>4519793</v>
      </c>
      <c r="R245" s="205">
        <v>0</v>
      </c>
      <c r="S245" s="205">
        <v>134388319</v>
      </c>
      <c r="T245" s="205">
        <v>0</v>
      </c>
      <c r="U245" s="205">
        <v>0</v>
      </c>
      <c r="V245" s="205">
        <v>0</v>
      </c>
      <c r="W245" s="205">
        <v>0</v>
      </c>
      <c r="X245" s="205">
        <v>0</v>
      </c>
      <c r="Y245" s="205">
        <v>0</v>
      </c>
      <c r="Z245" s="205">
        <v>628624</v>
      </c>
      <c r="AA245" s="205">
        <v>0</v>
      </c>
      <c r="AB245" s="205">
        <v>3891169</v>
      </c>
      <c r="AC245" s="205">
        <v>0</v>
      </c>
      <c r="AD245" s="205">
        <v>0</v>
      </c>
    </row>
    <row r="246" spans="1:30" ht="12.75">
      <c r="A246" s="169">
        <v>239</v>
      </c>
      <c r="B246" s="172" t="s">
        <v>408</v>
      </c>
      <c r="C246" s="258" t="s">
        <v>409</v>
      </c>
      <c r="D246" s="205">
        <v>29648568</v>
      </c>
      <c r="E246" s="205">
        <v>0</v>
      </c>
      <c r="F246" s="205">
        <v>0</v>
      </c>
      <c r="G246" s="205">
        <v>29648568</v>
      </c>
      <c r="H246" s="205">
        <v>235000</v>
      </c>
      <c r="I246" s="205">
        <v>0</v>
      </c>
      <c r="J246" s="205">
        <v>0</v>
      </c>
      <c r="K246" s="205">
        <v>235000</v>
      </c>
      <c r="L246" s="205">
        <v>862293</v>
      </c>
      <c r="M246" s="205">
        <v>0</v>
      </c>
      <c r="N246" s="205">
        <v>0</v>
      </c>
      <c r="O246" s="205">
        <v>862293</v>
      </c>
      <c r="P246" s="205">
        <v>28551275</v>
      </c>
      <c r="Q246" s="205">
        <v>0</v>
      </c>
      <c r="R246" s="205">
        <v>0</v>
      </c>
      <c r="S246" s="205">
        <v>28551275</v>
      </c>
      <c r="T246" s="205">
        <v>0</v>
      </c>
      <c r="U246" s="205">
        <v>0</v>
      </c>
      <c r="V246" s="205">
        <v>0</v>
      </c>
      <c r="W246" s="205">
        <v>0</v>
      </c>
      <c r="X246" s="205">
        <v>0</v>
      </c>
      <c r="Y246" s="205">
        <v>0</v>
      </c>
      <c r="Z246" s="205">
        <v>0</v>
      </c>
      <c r="AA246" s="205">
        <v>0</v>
      </c>
      <c r="AB246" s="205">
        <v>0</v>
      </c>
      <c r="AC246" s="205">
        <v>0</v>
      </c>
      <c r="AD246" s="205">
        <v>0</v>
      </c>
    </row>
    <row r="247" spans="1:30" ht="12.75">
      <c r="A247" s="169">
        <v>240</v>
      </c>
      <c r="B247" s="172" t="s">
        <v>410</v>
      </c>
      <c r="C247" s="258" t="s">
        <v>411</v>
      </c>
      <c r="D247" s="205">
        <v>26123442.7</v>
      </c>
      <c r="E247" s="205">
        <v>0</v>
      </c>
      <c r="F247" s="205">
        <v>0</v>
      </c>
      <c r="G247" s="205">
        <v>26123442.7</v>
      </c>
      <c r="H247" s="205">
        <v>522469</v>
      </c>
      <c r="I247" s="205">
        <v>0</v>
      </c>
      <c r="J247" s="205">
        <v>0</v>
      </c>
      <c r="K247" s="205">
        <v>522469</v>
      </c>
      <c r="L247" s="205">
        <v>500000</v>
      </c>
      <c r="M247" s="205">
        <v>0</v>
      </c>
      <c r="N247" s="205">
        <v>0</v>
      </c>
      <c r="O247" s="205">
        <v>500000</v>
      </c>
      <c r="P247" s="205">
        <v>25100973.7</v>
      </c>
      <c r="Q247" s="205">
        <v>0</v>
      </c>
      <c r="R247" s="205">
        <v>0</v>
      </c>
      <c r="S247" s="205">
        <v>25100973.7</v>
      </c>
      <c r="T247" s="205">
        <v>207260</v>
      </c>
      <c r="U247" s="205">
        <v>0</v>
      </c>
      <c r="V247" s="205">
        <v>0</v>
      </c>
      <c r="W247" s="205">
        <v>207260</v>
      </c>
      <c r="X247" s="205">
        <v>0</v>
      </c>
      <c r="Y247" s="205">
        <v>0</v>
      </c>
      <c r="Z247" s="205">
        <v>0</v>
      </c>
      <c r="AA247" s="205">
        <v>0</v>
      </c>
      <c r="AB247" s="205">
        <v>0</v>
      </c>
      <c r="AC247" s="205">
        <v>0</v>
      </c>
      <c r="AD247" s="205">
        <v>207260</v>
      </c>
    </row>
    <row r="248" spans="1:30" ht="12.75">
      <c r="A248" s="169">
        <v>241</v>
      </c>
      <c r="B248" s="172" t="s">
        <v>412</v>
      </c>
      <c r="C248" s="258" t="s">
        <v>413</v>
      </c>
      <c r="D248" s="205">
        <v>40270237.9</v>
      </c>
      <c r="E248" s="205">
        <v>0</v>
      </c>
      <c r="F248" s="205">
        <v>0</v>
      </c>
      <c r="G248" s="205">
        <v>40270237.9</v>
      </c>
      <c r="H248" s="205">
        <v>500000</v>
      </c>
      <c r="I248" s="205">
        <v>0</v>
      </c>
      <c r="J248" s="205">
        <v>0</v>
      </c>
      <c r="K248" s="205">
        <v>500000</v>
      </c>
      <c r="L248" s="205">
        <v>150000</v>
      </c>
      <c r="M248" s="205">
        <v>0</v>
      </c>
      <c r="N248" s="205">
        <v>0</v>
      </c>
      <c r="O248" s="205">
        <v>150000</v>
      </c>
      <c r="P248" s="205">
        <v>39620237.9</v>
      </c>
      <c r="Q248" s="205">
        <v>0</v>
      </c>
      <c r="R248" s="205">
        <v>0</v>
      </c>
      <c r="S248" s="205">
        <v>39620237.9</v>
      </c>
      <c r="T248" s="205">
        <v>0</v>
      </c>
      <c r="U248" s="205">
        <v>0</v>
      </c>
      <c r="V248" s="205">
        <v>0</v>
      </c>
      <c r="W248" s="205">
        <v>0</v>
      </c>
      <c r="X248" s="205">
        <v>0</v>
      </c>
      <c r="Y248" s="205">
        <v>0</v>
      </c>
      <c r="Z248" s="205">
        <v>0</v>
      </c>
      <c r="AA248" s="205">
        <v>0</v>
      </c>
      <c r="AB248" s="205">
        <v>0</v>
      </c>
      <c r="AC248" s="205">
        <v>0</v>
      </c>
      <c r="AD248" s="205">
        <v>0</v>
      </c>
    </row>
    <row r="249" spans="1:30" ht="12.75">
      <c r="A249" s="169">
        <v>242</v>
      </c>
      <c r="B249" s="172" t="s">
        <v>414</v>
      </c>
      <c r="C249" s="258" t="s">
        <v>415</v>
      </c>
      <c r="D249" s="205">
        <v>40514180</v>
      </c>
      <c r="E249" s="205">
        <v>0</v>
      </c>
      <c r="F249" s="205">
        <v>0</v>
      </c>
      <c r="G249" s="205">
        <v>40514180</v>
      </c>
      <c r="H249" s="205">
        <v>405141</v>
      </c>
      <c r="I249" s="205">
        <v>0</v>
      </c>
      <c r="J249" s="205">
        <v>0</v>
      </c>
      <c r="K249" s="205">
        <v>405141</v>
      </c>
      <c r="L249" s="205">
        <v>289902</v>
      </c>
      <c r="M249" s="205">
        <v>0</v>
      </c>
      <c r="N249" s="205">
        <v>0</v>
      </c>
      <c r="O249" s="205">
        <v>289902</v>
      </c>
      <c r="P249" s="205">
        <v>39819137</v>
      </c>
      <c r="Q249" s="205">
        <v>0</v>
      </c>
      <c r="R249" s="205">
        <v>0</v>
      </c>
      <c r="S249" s="205">
        <v>39819137</v>
      </c>
      <c r="T249" s="205">
        <v>0</v>
      </c>
      <c r="U249" s="205">
        <v>0</v>
      </c>
      <c r="V249" s="205">
        <v>0</v>
      </c>
      <c r="W249" s="205">
        <v>0</v>
      </c>
      <c r="X249" s="205">
        <v>0</v>
      </c>
      <c r="Y249" s="205">
        <v>0</v>
      </c>
      <c r="Z249" s="205">
        <v>0</v>
      </c>
      <c r="AA249" s="205">
        <v>0</v>
      </c>
      <c r="AB249" s="205">
        <v>0</v>
      </c>
      <c r="AC249" s="205">
        <v>0</v>
      </c>
      <c r="AD249" s="205">
        <v>0</v>
      </c>
    </row>
    <row r="250" spans="1:30" ht="12.75">
      <c r="A250" s="169">
        <v>243</v>
      </c>
      <c r="B250" s="172" t="s">
        <v>416</v>
      </c>
      <c r="C250" s="258" t="s">
        <v>417</v>
      </c>
      <c r="D250" s="205">
        <v>28633156.3</v>
      </c>
      <c r="E250" s="205">
        <v>0</v>
      </c>
      <c r="F250" s="205">
        <v>0</v>
      </c>
      <c r="G250" s="205">
        <v>28633156.3</v>
      </c>
      <c r="H250" s="205">
        <v>100000</v>
      </c>
      <c r="I250" s="205">
        <v>0</v>
      </c>
      <c r="J250" s="205">
        <v>0</v>
      </c>
      <c r="K250" s="205">
        <v>100000</v>
      </c>
      <c r="L250" s="205">
        <v>157000</v>
      </c>
      <c r="M250" s="205">
        <v>0</v>
      </c>
      <c r="N250" s="205">
        <v>0</v>
      </c>
      <c r="O250" s="205">
        <v>157000</v>
      </c>
      <c r="P250" s="205">
        <v>28376156.3</v>
      </c>
      <c r="Q250" s="205">
        <v>0</v>
      </c>
      <c r="R250" s="205">
        <v>0</v>
      </c>
      <c r="S250" s="205">
        <v>28376156.3</v>
      </c>
      <c r="T250" s="205">
        <v>0</v>
      </c>
      <c r="U250" s="205">
        <v>0</v>
      </c>
      <c r="V250" s="205">
        <v>0</v>
      </c>
      <c r="W250" s="205">
        <v>0</v>
      </c>
      <c r="X250" s="205">
        <v>0</v>
      </c>
      <c r="Y250" s="205">
        <v>0</v>
      </c>
      <c r="Z250" s="205">
        <v>0</v>
      </c>
      <c r="AA250" s="205">
        <v>0</v>
      </c>
      <c r="AB250" s="205">
        <v>0</v>
      </c>
      <c r="AC250" s="205">
        <v>0</v>
      </c>
      <c r="AD250" s="205">
        <v>0</v>
      </c>
    </row>
    <row r="251" spans="1:30" ht="12.75">
      <c r="A251" s="169">
        <v>244</v>
      </c>
      <c r="B251" s="172" t="s">
        <v>418</v>
      </c>
      <c r="C251" s="258" t="s">
        <v>419</v>
      </c>
      <c r="D251" s="205">
        <v>21129647</v>
      </c>
      <c r="E251" s="205">
        <v>0</v>
      </c>
      <c r="F251" s="205">
        <v>0</v>
      </c>
      <c r="G251" s="205">
        <v>21129647</v>
      </c>
      <c r="H251" s="205">
        <v>133868.45</v>
      </c>
      <c r="I251" s="205">
        <v>0</v>
      </c>
      <c r="J251" s="205">
        <v>0</v>
      </c>
      <c r="K251" s="205">
        <v>133868.45</v>
      </c>
      <c r="L251" s="205">
        <v>51886.22</v>
      </c>
      <c r="M251" s="205">
        <v>0</v>
      </c>
      <c r="N251" s="205">
        <v>0</v>
      </c>
      <c r="O251" s="205">
        <v>51886.22</v>
      </c>
      <c r="P251" s="205">
        <v>20943892.3</v>
      </c>
      <c r="Q251" s="205">
        <v>0</v>
      </c>
      <c r="R251" s="205">
        <v>0</v>
      </c>
      <c r="S251" s="205">
        <v>20943892.3</v>
      </c>
      <c r="T251" s="205">
        <v>0</v>
      </c>
      <c r="U251" s="205">
        <v>0</v>
      </c>
      <c r="V251" s="205">
        <v>0</v>
      </c>
      <c r="W251" s="205">
        <v>0</v>
      </c>
      <c r="X251" s="205">
        <v>0</v>
      </c>
      <c r="Y251" s="205">
        <v>0</v>
      </c>
      <c r="Z251" s="205">
        <v>0</v>
      </c>
      <c r="AA251" s="205">
        <v>0</v>
      </c>
      <c r="AB251" s="205">
        <v>0</v>
      </c>
      <c r="AC251" s="205">
        <v>0</v>
      </c>
      <c r="AD251" s="205">
        <v>0</v>
      </c>
    </row>
    <row r="252" spans="1:30" ht="12.75">
      <c r="A252" s="169">
        <v>245</v>
      </c>
      <c r="B252" s="172" t="s">
        <v>420</v>
      </c>
      <c r="C252" s="258" t="s">
        <v>421</v>
      </c>
      <c r="D252" s="205">
        <v>43202508.5</v>
      </c>
      <c r="E252" s="205">
        <v>0</v>
      </c>
      <c r="F252" s="205">
        <v>0</v>
      </c>
      <c r="G252" s="205">
        <v>43202508.5</v>
      </c>
      <c r="H252" s="205">
        <v>518430.1</v>
      </c>
      <c r="I252" s="205">
        <v>0</v>
      </c>
      <c r="J252" s="205">
        <v>0</v>
      </c>
      <c r="K252" s="205">
        <v>518430.1</v>
      </c>
      <c r="L252" s="205">
        <v>400000</v>
      </c>
      <c r="M252" s="205">
        <v>0</v>
      </c>
      <c r="N252" s="205">
        <v>0</v>
      </c>
      <c r="O252" s="205">
        <v>400000</v>
      </c>
      <c r="P252" s="205">
        <v>42284078.4</v>
      </c>
      <c r="Q252" s="205">
        <v>0</v>
      </c>
      <c r="R252" s="205">
        <v>0</v>
      </c>
      <c r="S252" s="205">
        <v>42284078.4</v>
      </c>
      <c r="T252" s="205">
        <v>0</v>
      </c>
      <c r="U252" s="205">
        <v>0</v>
      </c>
      <c r="V252" s="205">
        <v>0</v>
      </c>
      <c r="W252" s="205">
        <v>0</v>
      </c>
      <c r="X252" s="205">
        <v>0</v>
      </c>
      <c r="Y252" s="205">
        <v>0</v>
      </c>
      <c r="Z252" s="205">
        <v>0</v>
      </c>
      <c r="AA252" s="205">
        <v>0</v>
      </c>
      <c r="AB252" s="205">
        <v>0</v>
      </c>
      <c r="AC252" s="205">
        <v>0</v>
      </c>
      <c r="AD252" s="205">
        <v>0</v>
      </c>
    </row>
    <row r="253" spans="1:30" ht="12.75">
      <c r="A253" s="169">
        <v>246</v>
      </c>
      <c r="B253" s="172" t="s">
        <v>422</v>
      </c>
      <c r="C253" s="258" t="s">
        <v>423</v>
      </c>
      <c r="D253" s="205">
        <v>36544552</v>
      </c>
      <c r="E253" s="205">
        <v>0</v>
      </c>
      <c r="F253" s="205">
        <v>0</v>
      </c>
      <c r="G253" s="205">
        <v>36544552</v>
      </c>
      <c r="H253" s="205">
        <v>360000</v>
      </c>
      <c r="I253" s="205">
        <v>0</v>
      </c>
      <c r="J253" s="205">
        <v>0</v>
      </c>
      <c r="K253" s="205">
        <v>360000</v>
      </c>
      <c r="L253" s="205">
        <v>600000</v>
      </c>
      <c r="M253" s="205">
        <v>0</v>
      </c>
      <c r="N253" s="205">
        <v>0</v>
      </c>
      <c r="O253" s="205">
        <v>600000</v>
      </c>
      <c r="P253" s="205">
        <v>35584552</v>
      </c>
      <c r="Q253" s="205">
        <v>0</v>
      </c>
      <c r="R253" s="205">
        <v>0</v>
      </c>
      <c r="S253" s="205">
        <v>35584552</v>
      </c>
      <c r="T253" s="205">
        <v>0</v>
      </c>
      <c r="U253" s="205">
        <v>0</v>
      </c>
      <c r="V253" s="205">
        <v>0</v>
      </c>
      <c r="W253" s="205">
        <v>0</v>
      </c>
      <c r="X253" s="205">
        <v>0</v>
      </c>
      <c r="Y253" s="205">
        <v>0</v>
      </c>
      <c r="Z253" s="205">
        <v>0</v>
      </c>
      <c r="AA253" s="205">
        <v>0</v>
      </c>
      <c r="AB253" s="205">
        <v>0</v>
      </c>
      <c r="AC253" s="205">
        <v>0</v>
      </c>
      <c r="AD253" s="205">
        <v>0</v>
      </c>
    </row>
    <row r="254" spans="1:30" ht="12.75">
      <c r="A254" s="169">
        <v>247</v>
      </c>
      <c r="B254" s="172" t="s">
        <v>424</v>
      </c>
      <c r="C254" s="258" t="s">
        <v>425</v>
      </c>
      <c r="D254" s="205">
        <v>43865832</v>
      </c>
      <c r="E254" s="205">
        <v>0</v>
      </c>
      <c r="F254" s="205">
        <v>0</v>
      </c>
      <c r="G254" s="205">
        <v>43865832</v>
      </c>
      <c r="H254" s="205">
        <v>436513</v>
      </c>
      <c r="I254" s="205">
        <v>0</v>
      </c>
      <c r="J254" s="205">
        <v>0</v>
      </c>
      <c r="K254" s="205">
        <v>436513</v>
      </c>
      <c r="L254" s="205">
        <v>544328</v>
      </c>
      <c r="M254" s="205">
        <v>0</v>
      </c>
      <c r="N254" s="205">
        <v>0</v>
      </c>
      <c r="O254" s="205">
        <v>544328</v>
      </c>
      <c r="P254" s="205">
        <v>42884991</v>
      </c>
      <c r="Q254" s="205">
        <v>0</v>
      </c>
      <c r="R254" s="205">
        <v>0</v>
      </c>
      <c r="S254" s="205">
        <v>42884991</v>
      </c>
      <c r="T254" s="205">
        <v>40000</v>
      </c>
      <c r="U254" s="205">
        <v>0</v>
      </c>
      <c r="V254" s="205">
        <v>0</v>
      </c>
      <c r="W254" s="205">
        <v>40000</v>
      </c>
      <c r="X254" s="205">
        <v>0</v>
      </c>
      <c r="Y254" s="205">
        <v>0</v>
      </c>
      <c r="Z254" s="205">
        <v>0</v>
      </c>
      <c r="AA254" s="205">
        <v>0</v>
      </c>
      <c r="AB254" s="205">
        <v>0</v>
      </c>
      <c r="AC254" s="205">
        <v>0</v>
      </c>
      <c r="AD254" s="205">
        <v>40000</v>
      </c>
    </row>
    <row r="255" spans="1:30" ht="12.75">
      <c r="A255" s="169">
        <v>248</v>
      </c>
      <c r="B255" s="172" t="s">
        <v>426</v>
      </c>
      <c r="C255" s="258" t="s">
        <v>427</v>
      </c>
      <c r="D255" s="205">
        <v>21572869</v>
      </c>
      <c r="E255" s="205">
        <v>0</v>
      </c>
      <c r="F255" s="205">
        <v>933668</v>
      </c>
      <c r="G255" s="205">
        <v>22506537</v>
      </c>
      <c r="H255" s="205">
        <v>331110</v>
      </c>
      <c r="I255" s="205">
        <v>0</v>
      </c>
      <c r="J255" s="205">
        <v>0</v>
      </c>
      <c r="K255" s="205">
        <v>331110</v>
      </c>
      <c r="L255" s="205">
        <v>536000</v>
      </c>
      <c r="M255" s="205">
        <v>0</v>
      </c>
      <c r="N255" s="205">
        <v>0</v>
      </c>
      <c r="O255" s="205">
        <v>536000</v>
      </c>
      <c r="P255" s="205">
        <v>20705759</v>
      </c>
      <c r="Q255" s="205">
        <v>0</v>
      </c>
      <c r="R255" s="205">
        <v>933668</v>
      </c>
      <c r="S255" s="205">
        <v>21639427</v>
      </c>
      <c r="T255" s="205">
        <v>0</v>
      </c>
      <c r="U255" s="205">
        <v>0</v>
      </c>
      <c r="V255" s="205">
        <v>0</v>
      </c>
      <c r="W255" s="205">
        <v>0</v>
      </c>
      <c r="X255" s="205">
        <v>0</v>
      </c>
      <c r="Y255" s="205">
        <v>0</v>
      </c>
      <c r="Z255" s="205">
        <v>0</v>
      </c>
      <c r="AA255" s="205">
        <v>0</v>
      </c>
      <c r="AB255" s="205">
        <v>0</v>
      </c>
      <c r="AC255" s="205">
        <v>933668</v>
      </c>
      <c r="AD255" s="205">
        <v>0</v>
      </c>
    </row>
    <row r="256" spans="1:30" ht="12.75">
      <c r="A256" s="169">
        <v>249</v>
      </c>
      <c r="B256" s="172" t="s">
        <v>428</v>
      </c>
      <c r="C256" s="258" t="s">
        <v>429</v>
      </c>
      <c r="D256" s="205">
        <v>31649232</v>
      </c>
      <c r="E256" s="205">
        <v>0</v>
      </c>
      <c r="F256" s="205">
        <v>0</v>
      </c>
      <c r="G256" s="205">
        <v>31649232</v>
      </c>
      <c r="H256" s="205">
        <v>600000</v>
      </c>
      <c r="I256" s="205">
        <v>0</v>
      </c>
      <c r="J256" s="205">
        <v>0</v>
      </c>
      <c r="K256" s="205">
        <v>600000</v>
      </c>
      <c r="L256" s="205">
        <v>1000000</v>
      </c>
      <c r="M256" s="205">
        <v>0</v>
      </c>
      <c r="N256" s="205">
        <v>0</v>
      </c>
      <c r="O256" s="205">
        <v>1000000</v>
      </c>
      <c r="P256" s="205">
        <v>30049232</v>
      </c>
      <c r="Q256" s="205">
        <v>0</v>
      </c>
      <c r="R256" s="205">
        <v>0</v>
      </c>
      <c r="S256" s="205">
        <v>30049232</v>
      </c>
      <c r="T256" s="205">
        <v>0</v>
      </c>
      <c r="U256" s="205">
        <v>0</v>
      </c>
      <c r="V256" s="205">
        <v>0</v>
      </c>
      <c r="W256" s="205">
        <v>0</v>
      </c>
      <c r="X256" s="205">
        <v>0</v>
      </c>
      <c r="Y256" s="205">
        <v>0</v>
      </c>
      <c r="Z256" s="205">
        <v>0</v>
      </c>
      <c r="AA256" s="205">
        <v>0</v>
      </c>
      <c r="AB256" s="205">
        <v>0</v>
      </c>
      <c r="AC256" s="205">
        <v>0</v>
      </c>
      <c r="AD256" s="205">
        <v>0</v>
      </c>
    </row>
    <row r="257" spans="1:30" ht="12.75">
      <c r="A257" s="169">
        <v>250</v>
      </c>
      <c r="B257" s="172" t="s">
        <v>430</v>
      </c>
      <c r="C257" s="258" t="s">
        <v>431</v>
      </c>
      <c r="D257" s="205">
        <v>103002876</v>
      </c>
      <c r="E257" s="205">
        <v>0</v>
      </c>
      <c r="F257" s="205">
        <v>0</v>
      </c>
      <c r="G257" s="205">
        <v>103002876</v>
      </c>
      <c r="H257" s="205">
        <v>1500000</v>
      </c>
      <c r="I257" s="205">
        <v>0</v>
      </c>
      <c r="J257" s="205">
        <v>0</v>
      </c>
      <c r="K257" s="205">
        <v>1500000</v>
      </c>
      <c r="L257" s="205">
        <v>8000000</v>
      </c>
      <c r="M257" s="205">
        <v>0</v>
      </c>
      <c r="N257" s="205">
        <v>0</v>
      </c>
      <c r="O257" s="205">
        <v>8000000</v>
      </c>
      <c r="P257" s="205">
        <v>93502876</v>
      </c>
      <c r="Q257" s="205">
        <v>0</v>
      </c>
      <c r="R257" s="205">
        <v>0</v>
      </c>
      <c r="S257" s="205">
        <v>93502876</v>
      </c>
      <c r="T257" s="205">
        <v>0</v>
      </c>
      <c r="U257" s="205">
        <v>0</v>
      </c>
      <c r="V257" s="205">
        <v>0</v>
      </c>
      <c r="W257" s="205">
        <v>0</v>
      </c>
      <c r="X257" s="205">
        <v>0</v>
      </c>
      <c r="Y257" s="205">
        <v>0</v>
      </c>
      <c r="Z257" s="205">
        <v>0</v>
      </c>
      <c r="AA257" s="205">
        <v>0</v>
      </c>
      <c r="AB257" s="205">
        <v>0</v>
      </c>
      <c r="AC257" s="205">
        <v>0</v>
      </c>
      <c r="AD257" s="205">
        <v>0</v>
      </c>
    </row>
    <row r="258" spans="1:30" ht="12.75">
      <c r="A258" s="169">
        <v>251</v>
      </c>
      <c r="B258" s="172" t="s">
        <v>432</v>
      </c>
      <c r="C258" s="258" t="s">
        <v>433</v>
      </c>
      <c r="D258" s="205">
        <v>46656716</v>
      </c>
      <c r="E258" s="205">
        <v>0</v>
      </c>
      <c r="F258" s="205">
        <v>0</v>
      </c>
      <c r="G258" s="205">
        <v>46656716</v>
      </c>
      <c r="H258" s="205">
        <v>643393</v>
      </c>
      <c r="I258" s="205">
        <v>0</v>
      </c>
      <c r="J258" s="205">
        <v>0</v>
      </c>
      <c r="K258" s="205">
        <v>643393</v>
      </c>
      <c r="L258" s="205">
        <v>350000</v>
      </c>
      <c r="M258" s="205">
        <v>0</v>
      </c>
      <c r="N258" s="205">
        <v>0</v>
      </c>
      <c r="O258" s="205">
        <v>350000</v>
      </c>
      <c r="P258" s="205">
        <v>45663323</v>
      </c>
      <c r="Q258" s="205">
        <v>0</v>
      </c>
      <c r="R258" s="205">
        <v>0</v>
      </c>
      <c r="S258" s="205">
        <v>45663323</v>
      </c>
      <c r="T258" s="205">
        <v>0</v>
      </c>
      <c r="U258" s="205">
        <v>0</v>
      </c>
      <c r="V258" s="205">
        <v>0</v>
      </c>
      <c r="W258" s="205">
        <v>0</v>
      </c>
      <c r="X258" s="205">
        <v>0</v>
      </c>
      <c r="Y258" s="205">
        <v>0</v>
      </c>
      <c r="Z258" s="205">
        <v>0</v>
      </c>
      <c r="AA258" s="205">
        <v>0</v>
      </c>
      <c r="AB258" s="205">
        <v>0</v>
      </c>
      <c r="AC258" s="205">
        <v>0</v>
      </c>
      <c r="AD258" s="205">
        <v>0</v>
      </c>
    </row>
    <row r="259" spans="1:30" ht="12.75">
      <c r="A259" s="169">
        <v>252</v>
      </c>
      <c r="B259" s="172" t="s">
        <v>434</v>
      </c>
      <c r="C259" s="258" t="s">
        <v>435</v>
      </c>
      <c r="D259" s="205">
        <v>216417779</v>
      </c>
      <c r="E259" s="205">
        <v>0</v>
      </c>
      <c r="F259" s="205">
        <v>0</v>
      </c>
      <c r="G259" s="205">
        <v>216417779</v>
      </c>
      <c r="H259" s="205">
        <v>4328356</v>
      </c>
      <c r="I259" s="205">
        <v>0</v>
      </c>
      <c r="J259" s="205">
        <v>0</v>
      </c>
      <c r="K259" s="205">
        <v>4328356</v>
      </c>
      <c r="L259" s="205">
        <v>6422200</v>
      </c>
      <c r="M259" s="205">
        <v>0</v>
      </c>
      <c r="N259" s="205">
        <v>0</v>
      </c>
      <c r="O259" s="205">
        <v>6422200</v>
      </c>
      <c r="P259" s="205">
        <v>205667223</v>
      </c>
      <c r="Q259" s="205">
        <v>0</v>
      </c>
      <c r="R259" s="205">
        <v>0</v>
      </c>
      <c r="S259" s="205">
        <v>205667223</v>
      </c>
      <c r="T259" s="205">
        <v>0</v>
      </c>
      <c r="U259" s="205">
        <v>0</v>
      </c>
      <c r="V259" s="205">
        <v>0</v>
      </c>
      <c r="W259" s="205">
        <v>0</v>
      </c>
      <c r="X259" s="205">
        <v>0</v>
      </c>
      <c r="Y259" s="205">
        <v>0</v>
      </c>
      <c r="Z259" s="205">
        <v>0</v>
      </c>
      <c r="AA259" s="205">
        <v>0</v>
      </c>
      <c r="AB259" s="205">
        <v>0</v>
      </c>
      <c r="AC259" s="205">
        <v>0</v>
      </c>
      <c r="AD259" s="205">
        <v>0</v>
      </c>
    </row>
    <row r="260" spans="1:30" ht="12.75">
      <c r="A260" s="169">
        <v>253</v>
      </c>
      <c r="B260" s="172" t="s">
        <v>436</v>
      </c>
      <c r="C260" s="258" t="s">
        <v>437</v>
      </c>
      <c r="D260" s="205">
        <v>43169019</v>
      </c>
      <c r="E260" s="205">
        <v>0</v>
      </c>
      <c r="F260" s="205">
        <v>0</v>
      </c>
      <c r="G260" s="205">
        <v>43169019</v>
      </c>
      <c r="H260" s="205">
        <v>435559</v>
      </c>
      <c r="I260" s="205">
        <v>0</v>
      </c>
      <c r="J260" s="205">
        <v>0</v>
      </c>
      <c r="K260" s="205">
        <v>435559</v>
      </c>
      <c r="L260" s="205">
        <v>498710</v>
      </c>
      <c r="M260" s="205">
        <v>0</v>
      </c>
      <c r="N260" s="205">
        <v>0</v>
      </c>
      <c r="O260" s="205">
        <v>498710</v>
      </c>
      <c r="P260" s="205">
        <v>42234750</v>
      </c>
      <c r="Q260" s="205">
        <v>0</v>
      </c>
      <c r="R260" s="205">
        <v>0</v>
      </c>
      <c r="S260" s="205">
        <v>42234750</v>
      </c>
      <c r="T260" s="205">
        <v>0</v>
      </c>
      <c r="U260" s="205">
        <v>0</v>
      </c>
      <c r="V260" s="205">
        <v>0</v>
      </c>
      <c r="W260" s="205">
        <v>0</v>
      </c>
      <c r="X260" s="205">
        <v>0</v>
      </c>
      <c r="Y260" s="205">
        <v>0</v>
      </c>
      <c r="Z260" s="205">
        <v>0</v>
      </c>
      <c r="AA260" s="205">
        <v>0</v>
      </c>
      <c r="AB260" s="205">
        <v>0</v>
      </c>
      <c r="AC260" s="205">
        <v>0</v>
      </c>
      <c r="AD260" s="205">
        <v>0</v>
      </c>
    </row>
    <row r="261" spans="1:30" ht="12.75">
      <c r="A261" s="169">
        <v>254</v>
      </c>
      <c r="B261" s="172" t="s">
        <v>438</v>
      </c>
      <c r="C261" s="258" t="s">
        <v>439</v>
      </c>
      <c r="D261" s="205">
        <v>62816080.3</v>
      </c>
      <c r="E261" s="205">
        <v>0</v>
      </c>
      <c r="F261" s="205">
        <v>0</v>
      </c>
      <c r="G261" s="205">
        <v>62816080.3</v>
      </c>
      <c r="H261" s="205">
        <v>100000</v>
      </c>
      <c r="I261" s="205">
        <v>0</v>
      </c>
      <c r="J261" s="205">
        <v>0</v>
      </c>
      <c r="K261" s="205">
        <v>100000</v>
      </c>
      <c r="L261" s="205">
        <v>500000</v>
      </c>
      <c r="M261" s="205">
        <v>0</v>
      </c>
      <c r="N261" s="205">
        <v>0</v>
      </c>
      <c r="O261" s="205">
        <v>500000</v>
      </c>
      <c r="P261" s="205">
        <v>62216080.3</v>
      </c>
      <c r="Q261" s="205">
        <v>0</v>
      </c>
      <c r="R261" s="205">
        <v>0</v>
      </c>
      <c r="S261" s="205">
        <v>62216080.3</v>
      </c>
      <c r="T261" s="205">
        <v>0</v>
      </c>
      <c r="U261" s="205">
        <v>0</v>
      </c>
      <c r="V261" s="205">
        <v>0</v>
      </c>
      <c r="W261" s="205">
        <v>0</v>
      </c>
      <c r="X261" s="205">
        <v>0</v>
      </c>
      <c r="Y261" s="205">
        <v>0</v>
      </c>
      <c r="Z261" s="205">
        <v>0</v>
      </c>
      <c r="AA261" s="205">
        <v>0</v>
      </c>
      <c r="AB261" s="205">
        <v>0</v>
      </c>
      <c r="AC261" s="205">
        <v>0</v>
      </c>
      <c r="AD261" s="205">
        <v>0</v>
      </c>
    </row>
    <row r="262" spans="1:30" ht="12.75">
      <c r="A262" s="169">
        <v>255</v>
      </c>
      <c r="B262" s="172" t="s">
        <v>440</v>
      </c>
      <c r="C262" s="258" t="s">
        <v>441</v>
      </c>
      <c r="D262" s="205">
        <v>46509290</v>
      </c>
      <c r="E262" s="205">
        <v>0</v>
      </c>
      <c r="F262" s="205">
        <v>0</v>
      </c>
      <c r="G262" s="205">
        <v>46509290</v>
      </c>
      <c r="H262" s="205">
        <v>300000</v>
      </c>
      <c r="I262" s="205">
        <v>0</v>
      </c>
      <c r="J262" s="205">
        <v>0</v>
      </c>
      <c r="K262" s="205">
        <v>300000</v>
      </c>
      <c r="L262" s="205">
        <v>860422</v>
      </c>
      <c r="M262" s="205">
        <v>0</v>
      </c>
      <c r="N262" s="205">
        <v>0</v>
      </c>
      <c r="O262" s="205">
        <v>860422</v>
      </c>
      <c r="P262" s="205">
        <v>45348868</v>
      </c>
      <c r="Q262" s="205">
        <v>0</v>
      </c>
      <c r="R262" s="205">
        <v>0</v>
      </c>
      <c r="S262" s="205">
        <v>45348868</v>
      </c>
      <c r="T262" s="205">
        <v>118927</v>
      </c>
      <c r="U262" s="205">
        <v>0</v>
      </c>
      <c r="V262" s="205">
        <v>0</v>
      </c>
      <c r="W262" s="205">
        <v>118927</v>
      </c>
      <c r="X262" s="205">
        <v>0</v>
      </c>
      <c r="Y262" s="205">
        <v>0</v>
      </c>
      <c r="Z262" s="205">
        <v>0</v>
      </c>
      <c r="AA262" s="205">
        <v>0</v>
      </c>
      <c r="AB262" s="205">
        <v>0</v>
      </c>
      <c r="AC262" s="205">
        <v>0</v>
      </c>
      <c r="AD262" s="205">
        <v>118927</v>
      </c>
    </row>
    <row r="263" spans="1:30" ht="12.75">
      <c r="A263" s="169">
        <v>256</v>
      </c>
      <c r="B263" s="172" t="s">
        <v>442</v>
      </c>
      <c r="C263" s="258" t="s">
        <v>443</v>
      </c>
      <c r="D263" s="205">
        <v>50506146</v>
      </c>
      <c r="E263" s="205">
        <v>0</v>
      </c>
      <c r="F263" s="205">
        <v>0</v>
      </c>
      <c r="G263" s="205">
        <v>50506146</v>
      </c>
      <c r="H263" s="205">
        <v>1250000</v>
      </c>
      <c r="I263" s="205">
        <v>0</v>
      </c>
      <c r="J263" s="205">
        <v>0</v>
      </c>
      <c r="K263" s="205">
        <v>1250000</v>
      </c>
      <c r="L263" s="205">
        <v>1500000</v>
      </c>
      <c r="M263" s="205">
        <v>0</v>
      </c>
      <c r="N263" s="205">
        <v>0</v>
      </c>
      <c r="O263" s="205">
        <v>1500000</v>
      </c>
      <c r="P263" s="205">
        <v>47756146</v>
      </c>
      <c r="Q263" s="205">
        <v>0</v>
      </c>
      <c r="R263" s="205">
        <v>0</v>
      </c>
      <c r="S263" s="205">
        <v>47756146</v>
      </c>
      <c r="T263" s="205">
        <v>0</v>
      </c>
      <c r="U263" s="205">
        <v>0</v>
      </c>
      <c r="V263" s="205">
        <v>0</v>
      </c>
      <c r="W263" s="205">
        <v>0</v>
      </c>
      <c r="X263" s="205">
        <v>0</v>
      </c>
      <c r="Y263" s="205">
        <v>0</v>
      </c>
      <c r="Z263" s="205">
        <v>0</v>
      </c>
      <c r="AA263" s="205">
        <v>0</v>
      </c>
      <c r="AB263" s="205">
        <v>0</v>
      </c>
      <c r="AC263" s="205">
        <v>0</v>
      </c>
      <c r="AD263" s="205">
        <v>0</v>
      </c>
    </row>
    <row r="264" spans="1:30" ht="12.75">
      <c r="A264" s="169">
        <v>257</v>
      </c>
      <c r="B264" s="172" t="s">
        <v>444</v>
      </c>
      <c r="C264" s="258" t="s">
        <v>445</v>
      </c>
      <c r="D264" s="205">
        <v>45547565</v>
      </c>
      <c r="E264" s="205">
        <v>0</v>
      </c>
      <c r="F264" s="205">
        <v>0</v>
      </c>
      <c r="G264" s="205">
        <v>45547565</v>
      </c>
      <c r="H264" s="205">
        <v>550000</v>
      </c>
      <c r="I264" s="205">
        <v>0</v>
      </c>
      <c r="J264" s="205">
        <v>0</v>
      </c>
      <c r="K264" s="205">
        <v>550000</v>
      </c>
      <c r="L264" s="205">
        <v>1537440.85</v>
      </c>
      <c r="M264" s="205">
        <v>0</v>
      </c>
      <c r="N264" s="205">
        <v>0</v>
      </c>
      <c r="O264" s="205">
        <v>1537440.85</v>
      </c>
      <c r="P264" s="205">
        <v>43460124.1</v>
      </c>
      <c r="Q264" s="205">
        <v>0</v>
      </c>
      <c r="R264" s="205">
        <v>0</v>
      </c>
      <c r="S264" s="205">
        <v>43460124.1</v>
      </c>
      <c r="T264" s="205">
        <v>0</v>
      </c>
      <c r="U264" s="205">
        <v>0</v>
      </c>
      <c r="V264" s="205">
        <v>0</v>
      </c>
      <c r="W264" s="205">
        <v>0</v>
      </c>
      <c r="X264" s="205">
        <v>0</v>
      </c>
      <c r="Y264" s="205">
        <v>0</v>
      </c>
      <c r="Z264" s="205">
        <v>0</v>
      </c>
      <c r="AA264" s="205">
        <v>0</v>
      </c>
      <c r="AB264" s="205">
        <v>0</v>
      </c>
      <c r="AC264" s="205">
        <v>0</v>
      </c>
      <c r="AD264" s="205">
        <v>0</v>
      </c>
    </row>
    <row r="265" spans="1:30" ht="12.75">
      <c r="A265" s="169">
        <v>258</v>
      </c>
      <c r="B265" s="172" t="s">
        <v>446</v>
      </c>
      <c r="C265" s="258" t="s">
        <v>447</v>
      </c>
      <c r="D265" s="205">
        <v>18360915.9</v>
      </c>
      <c r="E265" s="205">
        <v>0</v>
      </c>
      <c r="F265" s="205">
        <v>0</v>
      </c>
      <c r="G265" s="205">
        <v>18360915.9</v>
      </c>
      <c r="H265" s="205">
        <v>141513</v>
      </c>
      <c r="I265" s="205">
        <v>0</v>
      </c>
      <c r="J265" s="205">
        <v>0</v>
      </c>
      <c r="K265" s="205">
        <v>141513</v>
      </c>
      <c r="L265" s="205">
        <v>76287</v>
      </c>
      <c r="M265" s="205">
        <v>0</v>
      </c>
      <c r="N265" s="205">
        <v>0</v>
      </c>
      <c r="O265" s="205">
        <v>76287</v>
      </c>
      <c r="P265" s="205">
        <v>18143115.9</v>
      </c>
      <c r="Q265" s="205">
        <v>0</v>
      </c>
      <c r="R265" s="205">
        <v>0</v>
      </c>
      <c r="S265" s="205">
        <v>18143115.9</v>
      </c>
      <c r="T265" s="205">
        <v>0</v>
      </c>
      <c r="U265" s="205">
        <v>0</v>
      </c>
      <c r="V265" s="205">
        <v>0</v>
      </c>
      <c r="W265" s="205">
        <v>0</v>
      </c>
      <c r="X265" s="205">
        <v>0</v>
      </c>
      <c r="Y265" s="205">
        <v>0</v>
      </c>
      <c r="Z265" s="205">
        <v>0</v>
      </c>
      <c r="AA265" s="205">
        <v>0</v>
      </c>
      <c r="AB265" s="205">
        <v>0</v>
      </c>
      <c r="AC265" s="205">
        <v>0</v>
      </c>
      <c r="AD265" s="205">
        <v>0</v>
      </c>
    </row>
    <row r="266" spans="1:30" ht="12.75">
      <c r="A266" s="169">
        <v>259</v>
      </c>
      <c r="B266" s="172" t="s">
        <v>448</v>
      </c>
      <c r="C266" s="258" t="s">
        <v>449</v>
      </c>
      <c r="D266" s="205">
        <v>47080731</v>
      </c>
      <c r="E266" s="205">
        <v>0</v>
      </c>
      <c r="F266" s="205">
        <v>0</v>
      </c>
      <c r="G266" s="205">
        <v>47080731</v>
      </c>
      <c r="H266" s="205">
        <v>950000</v>
      </c>
      <c r="I266" s="205">
        <v>0</v>
      </c>
      <c r="J266" s="205">
        <v>0</v>
      </c>
      <c r="K266" s="205">
        <v>950000</v>
      </c>
      <c r="L266" s="205">
        <v>900000</v>
      </c>
      <c r="M266" s="205">
        <v>0</v>
      </c>
      <c r="N266" s="205">
        <v>0</v>
      </c>
      <c r="O266" s="205">
        <v>900000</v>
      </c>
      <c r="P266" s="205">
        <v>45230731</v>
      </c>
      <c r="Q266" s="205">
        <v>0</v>
      </c>
      <c r="R266" s="205">
        <v>0</v>
      </c>
      <c r="S266" s="205">
        <v>45230731</v>
      </c>
      <c r="T266" s="205">
        <v>0</v>
      </c>
      <c r="U266" s="205">
        <v>0</v>
      </c>
      <c r="V266" s="205">
        <v>0</v>
      </c>
      <c r="W266" s="205">
        <v>0</v>
      </c>
      <c r="X266" s="205">
        <v>0</v>
      </c>
      <c r="Y266" s="205">
        <v>0</v>
      </c>
      <c r="Z266" s="205">
        <v>0</v>
      </c>
      <c r="AA266" s="205">
        <v>0</v>
      </c>
      <c r="AB266" s="205">
        <v>0</v>
      </c>
      <c r="AC266" s="205">
        <v>0</v>
      </c>
      <c r="AD266" s="205">
        <v>0</v>
      </c>
    </row>
    <row r="267" spans="1:30" ht="12.75">
      <c r="A267" s="169">
        <v>260</v>
      </c>
      <c r="B267" s="172" t="s">
        <v>450</v>
      </c>
      <c r="C267" s="258" t="s">
        <v>451</v>
      </c>
      <c r="D267" s="205">
        <v>90006187</v>
      </c>
      <c r="E267" s="205">
        <v>0</v>
      </c>
      <c r="F267" s="205">
        <v>0</v>
      </c>
      <c r="G267" s="205">
        <v>90006187</v>
      </c>
      <c r="H267" s="205">
        <v>993000</v>
      </c>
      <c r="I267" s="205">
        <v>0</v>
      </c>
      <c r="J267" s="205">
        <v>0</v>
      </c>
      <c r="K267" s="205">
        <v>993000</v>
      </c>
      <c r="L267" s="205">
        <v>438000</v>
      </c>
      <c r="M267" s="205">
        <v>0</v>
      </c>
      <c r="N267" s="205">
        <v>0</v>
      </c>
      <c r="O267" s="205">
        <v>438000</v>
      </c>
      <c r="P267" s="205">
        <v>88575187</v>
      </c>
      <c r="Q267" s="205">
        <v>0</v>
      </c>
      <c r="R267" s="205">
        <v>0</v>
      </c>
      <c r="S267" s="205">
        <v>88575187</v>
      </c>
      <c r="T267" s="205">
        <v>0</v>
      </c>
      <c r="U267" s="205">
        <v>0</v>
      </c>
      <c r="V267" s="205">
        <v>0</v>
      </c>
      <c r="W267" s="205">
        <v>0</v>
      </c>
      <c r="X267" s="205">
        <v>0</v>
      </c>
      <c r="Y267" s="205">
        <v>0</v>
      </c>
      <c r="Z267" s="205">
        <v>0</v>
      </c>
      <c r="AA267" s="205">
        <v>0</v>
      </c>
      <c r="AB267" s="205">
        <v>0</v>
      </c>
      <c r="AC267" s="205">
        <v>0</v>
      </c>
      <c r="AD267" s="205">
        <v>0</v>
      </c>
    </row>
    <row r="268" spans="1:30" ht="12.75">
      <c r="A268" s="169">
        <v>261</v>
      </c>
      <c r="B268" s="172" t="s">
        <v>452</v>
      </c>
      <c r="C268" s="258" t="s">
        <v>453</v>
      </c>
      <c r="D268" s="205">
        <v>82124323</v>
      </c>
      <c r="E268" s="205">
        <v>0</v>
      </c>
      <c r="F268" s="205">
        <v>937275</v>
      </c>
      <c r="G268" s="205">
        <v>83061598</v>
      </c>
      <c r="H268" s="205">
        <v>903368</v>
      </c>
      <c r="I268" s="205">
        <v>0</v>
      </c>
      <c r="J268" s="205">
        <v>10310</v>
      </c>
      <c r="K268" s="205">
        <v>913678</v>
      </c>
      <c r="L268" s="205">
        <v>1818030</v>
      </c>
      <c r="M268" s="205">
        <v>0</v>
      </c>
      <c r="N268" s="205">
        <v>20526</v>
      </c>
      <c r="O268" s="205">
        <v>1838556</v>
      </c>
      <c r="P268" s="205">
        <v>79402925</v>
      </c>
      <c r="Q268" s="205">
        <v>0</v>
      </c>
      <c r="R268" s="205">
        <v>906439</v>
      </c>
      <c r="S268" s="205">
        <v>80309364</v>
      </c>
      <c r="T268" s="205">
        <v>0</v>
      </c>
      <c r="U268" s="205">
        <v>0</v>
      </c>
      <c r="V268" s="205">
        <v>0</v>
      </c>
      <c r="W268" s="205">
        <v>0</v>
      </c>
      <c r="X268" s="205">
        <v>0</v>
      </c>
      <c r="Y268" s="205">
        <v>0</v>
      </c>
      <c r="Z268" s="205">
        <v>0</v>
      </c>
      <c r="AA268" s="205">
        <v>0</v>
      </c>
      <c r="AB268" s="205">
        <v>0</v>
      </c>
      <c r="AC268" s="205">
        <v>906439</v>
      </c>
      <c r="AD268" s="205">
        <v>0</v>
      </c>
    </row>
    <row r="269" spans="1:30" ht="12.75">
      <c r="A269" s="169">
        <v>262</v>
      </c>
      <c r="B269" s="172" t="s">
        <v>454</v>
      </c>
      <c r="C269" s="258" t="s">
        <v>455</v>
      </c>
      <c r="D269" s="205">
        <v>86392431</v>
      </c>
      <c r="E269" s="205">
        <v>0</v>
      </c>
      <c r="F269" s="205">
        <v>0</v>
      </c>
      <c r="G269" s="205">
        <v>86392431</v>
      </c>
      <c r="H269" s="205">
        <v>1800000</v>
      </c>
      <c r="I269" s="205">
        <v>0</v>
      </c>
      <c r="J269" s="205">
        <v>0</v>
      </c>
      <c r="K269" s="205">
        <v>1800000</v>
      </c>
      <c r="L269" s="205">
        <v>2600000</v>
      </c>
      <c r="M269" s="205">
        <v>0</v>
      </c>
      <c r="N269" s="205">
        <v>0</v>
      </c>
      <c r="O269" s="205">
        <v>2600000</v>
      </c>
      <c r="P269" s="205">
        <v>81992431</v>
      </c>
      <c r="Q269" s="205">
        <v>0</v>
      </c>
      <c r="R269" s="205">
        <v>0</v>
      </c>
      <c r="S269" s="205">
        <v>81992431</v>
      </c>
      <c r="T269" s="205">
        <v>0</v>
      </c>
      <c r="U269" s="205">
        <v>0</v>
      </c>
      <c r="V269" s="205">
        <v>0</v>
      </c>
      <c r="W269" s="205">
        <v>0</v>
      </c>
      <c r="X269" s="205">
        <v>0</v>
      </c>
      <c r="Y269" s="205">
        <v>0</v>
      </c>
      <c r="Z269" s="205">
        <v>0</v>
      </c>
      <c r="AA269" s="205">
        <v>0</v>
      </c>
      <c r="AB269" s="205">
        <v>0</v>
      </c>
      <c r="AC269" s="205">
        <v>0</v>
      </c>
      <c r="AD269" s="205">
        <v>0</v>
      </c>
    </row>
    <row r="270" spans="1:30" ht="12.75">
      <c r="A270" s="169">
        <v>263</v>
      </c>
      <c r="B270" s="172" t="s">
        <v>456</v>
      </c>
      <c r="C270" s="258" t="s">
        <v>457</v>
      </c>
      <c r="D270" s="205">
        <v>54990517.6</v>
      </c>
      <c r="E270" s="205">
        <v>0</v>
      </c>
      <c r="F270" s="205">
        <v>0</v>
      </c>
      <c r="G270" s="205">
        <v>54990517.6</v>
      </c>
      <c r="H270" s="205">
        <v>500000</v>
      </c>
      <c r="I270" s="205">
        <v>0</v>
      </c>
      <c r="J270" s="205">
        <v>0</v>
      </c>
      <c r="K270" s="205">
        <v>500000</v>
      </c>
      <c r="L270" s="205">
        <v>1776581</v>
      </c>
      <c r="M270" s="205">
        <v>0</v>
      </c>
      <c r="N270" s="205">
        <v>0</v>
      </c>
      <c r="O270" s="205">
        <v>1776581</v>
      </c>
      <c r="P270" s="205">
        <v>52713936.6</v>
      </c>
      <c r="Q270" s="205">
        <v>0</v>
      </c>
      <c r="R270" s="205">
        <v>0</v>
      </c>
      <c r="S270" s="205">
        <v>52713936.6</v>
      </c>
      <c r="T270" s="205">
        <v>0</v>
      </c>
      <c r="U270" s="205">
        <v>0</v>
      </c>
      <c r="V270" s="205">
        <v>0</v>
      </c>
      <c r="W270" s="205">
        <v>0</v>
      </c>
      <c r="X270" s="205">
        <v>0</v>
      </c>
      <c r="Y270" s="205">
        <v>0</v>
      </c>
      <c r="Z270" s="205">
        <v>0</v>
      </c>
      <c r="AA270" s="205">
        <v>0</v>
      </c>
      <c r="AB270" s="205">
        <v>0</v>
      </c>
      <c r="AC270" s="205">
        <v>0</v>
      </c>
      <c r="AD270" s="205">
        <v>0</v>
      </c>
    </row>
    <row r="271" spans="1:30" ht="12.75">
      <c r="A271" s="169">
        <v>264</v>
      </c>
      <c r="B271" s="172" t="s">
        <v>458</v>
      </c>
      <c r="C271" s="258" t="s">
        <v>459</v>
      </c>
      <c r="D271" s="205">
        <v>25748893</v>
      </c>
      <c r="E271" s="205">
        <v>0</v>
      </c>
      <c r="F271" s="205">
        <v>0</v>
      </c>
      <c r="G271" s="205">
        <v>25748893</v>
      </c>
      <c r="H271" s="205">
        <v>200000</v>
      </c>
      <c r="I271" s="205">
        <v>0</v>
      </c>
      <c r="J271" s="205">
        <v>0</v>
      </c>
      <c r="K271" s="205">
        <v>200000</v>
      </c>
      <c r="L271" s="205">
        <v>400000</v>
      </c>
      <c r="M271" s="205">
        <v>0</v>
      </c>
      <c r="N271" s="205">
        <v>0</v>
      </c>
      <c r="O271" s="205">
        <v>400000</v>
      </c>
      <c r="P271" s="205">
        <v>25148893</v>
      </c>
      <c r="Q271" s="205">
        <v>0</v>
      </c>
      <c r="R271" s="205">
        <v>0</v>
      </c>
      <c r="S271" s="205">
        <v>25148893</v>
      </c>
      <c r="T271" s="205">
        <v>0</v>
      </c>
      <c r="U271" s="205">
        <v>0</v>
      </c>
      <c r="V271" s="205">
        <v>0</v>
      </c>
      <c r="W271" s="205">
        <v>0</v>
      </c>
      <c r="X271" s="205">
        <v>0</v>
      </c>
      <c r="Y271" s="205">
        <v>0</v>
      </c>
      <c r="Z271" s="205">
        <v>0</v>
      </c>
      <c r="AA271" s="205">
        <v>0</v>
      </c>
      <c r="AB271" s="205">
        <v>0</v>
      </c>
      <c r="AC271" s="205">
        <v>0</v>
      </c>
      <c r="AD271" s="205">
        <v>0</v>
      </c>
    </row>
    <row r="272" spans="1:30" ht="12.75">
      <c r="A272" s="169">
        <v>265</v>
      </c>
      <c r="B272" s="172" t="s">
        <v>460</v>
      </c>
      <c r="C272" s="258" t="s">
        <v>461</v>
      </c>
      <c r="D272" s="205">
        <v>50043764.8</v>
      </c>
      <c r="E272" s="205">
        <v>0</v>
      </c>
      <c r="F272" s="205">
        <v>0</v>
      </c>
      <c r="G272" s="205">
        <v>50043764.8</v>
      </c>
      <c r="H272" s="205">
        <v>468958</v>
      </c>
      <c r="I272" s="205">
        <v>0</v>
      </c>
      <c r="J272" s="205">
        <v>0</v>
      </c>
      <c r="K272" s="205">
        <v>468958</v>
      </c>
      <c r="L272" s="205">
        <v>4786748</v>
      </c>
      <c r="M272" s="205">
        <v>0</v>
      </c>
      <c r="N272" s="205">
        <v>0</v>
      </c>
      <c r="O272" s="205">
        <v>4786748</v>
      </c>
      <c r="P272" s="205">
        <v>44788058.8</v>
      </c>
      <c r="Q272" s="205">
        <v>0</v>
      </c>
      <c r="R272" s="205">
        <v>0</v>
      </c>
      <c r="S272" s="205">
        <v>44788058.8</v>
      </c>
      <c r="T272" s="205">
        <v>0</v>
      </c>
      <c r="U272" s="205">
        <v>0</v>
      </c>
      <c r="V272" s="205">
        <v>0</v>
      </c>
      <c r="W272" s="205">
        <v>0</v>
      </c>
      <c r="X272" s="205">
        <v>0</v>
      </c>
      <c r="Y272" s="205">
        <v>0</v>
      </c>
      <c r="Z272" s="205">
        <v>0</v>
      </c>
      <c r="AA272" s="205">
        <v>0</v>
      </c>
      <c r="AB272" s="205">
        <v>0</v>
      </c>
      <c r="AC272" s="205">
        <v>0</v>
      </c>
      <c r="AD272" s="205">
        <v>0</v>
      </c>
    </row>
    <row r="273" spans="1:30" ht="12.75">
      <c r="A273" s="169">
        <v>266</v>
      </c>
      <c r="B273" s="172" t="s">
        <v>462</v>
      </c>
      <c r="C273" s="258" t="s">
        <v>463</v>
      </c>
      <c r="D273" s="205">
        <v>89770897</v>
      </c>
      <c r="E273" s="205">
        <v>0</v>
      </c>
      <c r="F273" s="205">
        <v>844464</v>
      </c>
      <c r="G273" s="205">
        <v>90615361</v>
      </c>
      <c r="H273" s="205">
        <v>3000000</v>
      </c>
      <c r="I273" s="205">
        <v>0</v>
      </c>
      <c r="J273" s="205">
        <v>0</v>
      </c>
      <c r="K273" s="205">
        <v>3000000</v>
      </c>
      <c r="L273" s="205">
        <v>3906121</v>
      </c>
      <c r="M273" s="205">
        <v>0</v>
      </c>
      <c r="N273" s="205">
        <v>0</v>
      </c>
      <c r="O273" s="205">
        <v>3906121</v>
      </c>
      <c r="P273" s="205">
        <v>82864776</v>
      </c>
      <c r="Q273" s="205">
        <v>0</v>
      </c>
      <c r="R273" s="205">
        <v>844464</v>
      </c>
      <c r="S273" s="205">
        <v>83709240</v>
      </c>
      <c r="T273" s="205">
        <v>0</v>
      </c>
      <c r="U273" s="205">
        <v>0</v>
      </c>
      <c r="V273" s="205">
        <v>0</v>
      </c>
      <c r="W273" s="205">
        <v>0</v>
      </c>
      <c r="X273" s="205">
        <v>0</v>
      </c>
      <c r="Y273" s="205">
        <v>0</v>
      </c>
      <c r="Z273" s="205">
        <v>0</v>
      </c>
      <c r="AA273" s="205">
        <v>139177</v>
      </c>
      <c r="AB273" s="205">
        <v>0</v>
      </c>
      <c r="AC273" s="205">
        <v>705287</v>
      </c>
      <c r="AD273" s="205">
        <v>0</v>
      </c>
    </row>
    <row r="274" spans="1:30" ht="12.75">
      <c r="A274" s="169">
        <v>267</v>
      </c>
      <c r="B274" s="172" t="s">
        <v>464</v>
      </c>
      <c r="C274" s="258" t="s">
        <v>465</v>
      </c>
      <c r="D274" s="205">
        <v>33838346</v>
      </c>
      <c r="E274" s="205">
        <v>0</v>
      </c>
      <c r="F274" s="205">
        <v>0</v>
      </c>
      <c r="G274" s="205">
        <v>33838346</v>
      </c>
      <c r="H274" s="205">
        <v>400000</v>
      </c>
      <c r="I274" s="205">
        <v>0</v>
      </c>
      <c r="J274" s="205">
        <v>0</v>
      </c>
      <c r="K274" s="205">
        <v>400000</v>
      </c>
      <c r="L274" s="205">
        <v>0</v>
      </c>
      <c r="M274" s="205">
        <v>0</v>
      </c>
      <c r="N274" s="205">
        <v>0</v>
      </c>
      <c r="O274" s="205">
        <v>0</v>
      </c>
      <c r="P274" s="205">
        <v>33438346</v>
      </c>
      <c r="Q274" s="205">
        <v>0</v>
      </c>
      <c r="R274" s="205">
        <v>0</v>
      </c>
      <c r="S274" s="205">
        <v>33438346</v>
      </c>
      <c r="T274" s="205">
        <v>0</v>
      </c>
      <c r="U274" s="205">
        <v>0</v>
      </c>
      <c r="V274" s="205">
        <v>0</v>
      </c>
      <c r="W274" s="205">
        <v>0</v>
      </c>
      <c r="X274" s="205">
        <v>0</v>
      </c>
      <c r="Y274" s="205">
        <v>0</v>
      </c>
      <c r="Z274" s="205">
        <v>0</v>
      </c>
      <c r="AA274" s="205">
        <v>0</v>
      </c>
      <c r="AB274" s="205">
        <v>0</v>
      </c>
      <c r="AC274" s="205">
        <v>0</v>
      </c>
      <c r="AD274" s="205">
        <v>0</v>
      </c>
    </row>
    <row r="275" spans="1:30" ht="12.75">
      <c r="A275" s="169">
        <v>268</v>
      </c>
      <c r="B275" s="172" t="s">
        <v>466</v>
      </c>
      <c r="C275" s="258" t="s">
        <v>467</v>
      </c>
      <c r="D275" s="205">
        <v>52683151</v>
      </c>
      <c r="E275" s="205">
        <v>0</v>
      </c>
      <c r="F275" s="205">
        <v>0</v>
      </c>
      <c r="G275" s="205">
        <v>52683151</v>
      </c>
      <c r="H275" s="205">
        <v>790247</v>
      </c>
      <c r="I275" s="205">
        <v>0</v>
      </c>
      <c r="J275" s="205">
        <v>0</v>
      </c>
      <c r="K275" s="205">
        <v>790247</v>
      </c>
      <c r="L275" s="205">
        <v>100000</v>
      </c>
      <c r="M275" s="205">
        <v>0</v>
      </c>
      <c r="N275" s="205">
        <v>0</v>
      </c>
      <c r="O275" s="205">
        <v>100000</v>
      </c>
      <c r="P275" s="205">
        <v>51792904</v>
      </c>
      <c r="Q275" s="205">
        <v>0</v>
      </c>
      <c r="R275" s="205">
        <v>0</v>
      </c>
      <c r="S275" s="205">
        <v>51792904</v>
      </c>
      <c r="T275" s="205">
        <v>0</v>
      </c>
      <c r="U275" s="205">
        <v>0</v>
      </c>
      <c r="V275" s="205">
        <v>0</v>
      </c>
      <c r="W275" s="205">
        <v>0</v>
      </c>
      <c r="X275" s="205">
        <v>0</v>
      </c>
      <c r="Y275" s="205">
        <v>0</v>
      </c>
      <c r="Z275" s="205">
        <v>0</v>
      </c>
      <c r="AA275" s="205">
        <v>0</v>
      </c>
      <c r="AB275" s="205">
        <v>0</v>
      </c>
      <c r="AC275" s="205">
        <v>0</v>
      </c>
      <c r="AD275" s="205">
        <v>0</v>
      </c>
    </row>
    <row r="276" spans="1:30" ht="12.75">
      <c r="A276" s="169">
        <v>269</v>
      </c>
      <c r="B276" s="172" t="s">
        <v>468</v>
      </c>
      <c r="C276" s="258" t="s">
        <v>469</v>
      </c>
      <c r="D276" s="205">
        <v>43773930</v>
      </c>
      <c r="E276" s="205">
        <v>0</v>
      </c>
      <c r="F276" s="205">
        <v>0</v>
      </c>
      <c r="G276" s="205">
        <v>43773930</v>
      </c>
      <c r="H276" s="205">
        <v>1703606</v>
      </c>
      <c r="I276" s="205">
        <v>0</v>
      </c>
      <c r="J276" s="205">
        <v>0</v>
      </c>
      <c r="K276" s="205">
        <v>1703606</v>
      </c>
      <c r="L276" s="205">
        <v>654300</v>
      </c>
      <c r="M276" s="205">
        <v>0</v>
      </c>
      <c r="N276" s="205">
        <v>0</v>
      </c>
      <c r="O276" s="205">
        <v>654300</v>
      </c>
      <c r="P276" s="205">
        <v>41416024</v>
      </c>
      <c r="Q276" s="205">
        <v>0</v>
      </c>
      <c r="R276" s="205">
        <v>0</v>
      </c>
      <c r="S276" s="205">
        <v>41416024</v>
      </c>
      <c r="T276" s="205">
        <v>200000</v>
      </c>
      <c r="U276" s="205">
        <v>0</v>
      </c>
      <c r="V276" s="205">
        <v>0</v>
      </c>
      <c r="W276" s="205">
        <v>200000</v>
      </c>
      <c r="X276" s="205">
        <v>0</v>
      </c>
      <c r="Y276" s="205">
        <v>0</v>
      </c>
      <c r="Z276" s="205">
        <v>0</v>
      </c>
      <c r="AA276" s="205">
        <v>0</v>
      </c>
      <c r="AB276" s="205">
        <v>0</v>
      </c>
      <c r="AC276" s="205">
        <v>0</v>
      </c>
      <c r="AD276" s="205">
        <v>200000</v>
      </c>
    </row>
    <row r="277" spans="1:30" ht="12.75">
      <c r="A277" s="169">
        <v>270</v>
      </c>
      <c r="B277" s="172" t="s">
        <v>470</v>
      </c>
      <c r="C277" s="258" t="s">
        <v>471</v>
      </c>
      <c r="D277" s="205">
        <v>107844059</v>
      </c>
      <c r="E277" s="205">
        <v>0</v>
      </c>
      <c r="F277" s="205">
        <v>0</v>
      </c>
      <c r="G277" s="205">
        <v>107844059</v>
      </c>
      <c r="H277" s="205">
        <v>2156881.17</v>
      </c>
      <c r="I277" s="205">
        <v>0</v>
      </c>
      <c r="J277" s="205">
        <v>0</v>
      </c>
      <c r="K277" s="205">
        <v>2156881.17</v>
      </c>
      <c r="L277" s="205">
        <v>2448800</v>
      </c>
      <c r="M277" s="205">
        <v>0</v>
      </c>
      <c r="N277" s="205">
        <v>0</v>
      </c>
      <c r="O277" s="205">
        <v>2448800</v>
      </c>
      <c r="P277" s="205">
        <v>103238377</v>
      </c>
      <c r="Q277" s="205">
        <v>0</v>
      </c>
      <c r="R277" s="205">
        <v>0</v>
      </c>
      <c r="S277" s="205">
        <v>103238377</v>
      </c>
      <c r="T277" s="205">
        <v>0</v>
      </c>
      <c r="U277" s="205">
        <v>0</v>
      </c>
      <c r="V277" s="205">
        <v>0</v>
      </c>
      <c r="W277" s="205">
        <v>0</v>
      </c>
      <c r="X277" s="205">
        <v>0</v>
      </c>
      <c r="Y277" s="205">
        <v>0</v>
      </c>
      <c r="Z277" s="205">
        <v>0</v>
      </c>
      <c r="AA277" s="205">
        <v>0</v>
      </c>
      <c r="AB277" s="205">
        <v>0</v>
      </c>
      <c r="AC277" s="205">
        <v>0</v>
      </c>
      <c r="AD277" s="205">
        <v>0</v>
      </c>
    </row>
    <row r="278" spans="1:30" ht="12.75">
      <c r="A278" s="169">
        <v>271</v>
      </c>
      <c r="B278" s="172" t="s">
        <v>472</v>
      </c>
      <c r="C278" s="258" t="s">
        <v>473</v>
      </c>
      <c r="D278" s="205">
        <v>59459508</v>
      </c>
      <c r="E278" s="205">
        <v>0</v>
      </c>
      <c r="F278" s="205">
        <v>0</v>
      </c>
      <c r="G278" s="205">
        <v>59459508</v>
      </c>
      <c r="H278" s="205">
        <v>1350552</v>
      </c>
      <c r="I278" s="205">
        <v>0</v>
      </c>
      <c r="J278" s="205">
        <v>0</v>
      </c>
      <c r="K278" s="205">
        <v>1350552</v>
      </c>
      <c r="L278" s="205">
        <v>2918186</v>
      </c>
      <c r="M278" s="205">
        <v>0</v>
      </c>
      <c r="N278" s="205">
        <v>0</v>
      </c>
      <c r="O278" s="205">
        <v>2918186</v>
      </c>
      <c r="P278" s="205">
        <v>55190770</v>
      </c>
      <c r="Q278" s="205">
        <v>0</v>
      </c>
      <c r="R278" s="205">
        <v>0</v>
      </c>
      <c r="S278" s="205">
        <v>55190770</v>
      </c>
      <c r="T278" s="205">
        <v>0</v>
      </c>
      <c r="U278" s="205">
        <v>0</v>
      </c>
      <c r="V278" s="205">
        <v>0</v>
      </c>
      <c r="W278" s="205">
        <v>0</v>
      </c>
      <c r="X278" s="205">
        <v>0</v>
      </c>
      <c r="Y278" s="205">
        <v>0</v>
      </c>
      <c r="Z278" s="205">
        <v>0</v>
      </c>
      <c r="AA278" s="205">
        <v>0</v>
      </c>
      <c r="AB278" s="205">
        <v>0</v>
      </c>
      <c r="AC278" s="205">
        <v>0</v>
      </c>
      <c r="AD278" s="205">
        <v>0</v>
      </c>
    </row>
    <row r="279" spans="1:30" ht="12.75">
      <c r="A279" s="169">
        <v>272</v>
      </c>
      <c r="B279" s="172" t="s">
        <v>474</v>
      </c>
      <c r="C279" s="258" t="s">
        <v>475</v>
      </c>
      <c r="D279" s="205">
        <v>33055512</v>
      </c>
      <c r="E279" s="205">
        <v>0</v>
      </c>
      <c r="F279" s="205">
        <v>0</v>
      </c>
      <c r="G279" s="205">
        <v>33055512</v>
      </c>
      <c r="H279" s="205">
        <v>330555</v>
      </c>
      <c r="I279" s="205">
        <v>0</v>
      </c>
      <c r="J279" s="205">
        <v>0</v>
      </c>
      <c r="K279" s="205">
        <v>330555</v>
      </c>
      <c r="L279" s="205">
        <v>826387</v>
      </c>
      <c r="M279" s="205">
        <v>0</v>
      </c>
      <c r="N279" s="205">
        <v>0</v>
      </c>
      <c r="O279" s="205">
        <v>826387</v>
      </c>
      <c r="P279" s="205">
        <v>31898570</v>
      </c>
      <c r="Q279" s="205">
        <v>0</v>
      </c>
      <c r="R279" s="205">
        <v>0</v>
      </c>
      <c r="S279" s="205">
        <v>31898570</v>
      </c>
      <c r="T279" s="205">
        <v>0</v>
      </c>
      <c r="U279" s="205">
        <v>0</v>
      </c>
      <c r="V279" s="205">
        <v>0</v>
      </c>
      <c r="W279" s="205">
        <v>0</v>
      </c>
      <c r="X279" s="205">
        <v>0</v>
      </c>
      <c r="Y279" s="205">
        <v>0</v>
      </c>
      <c r="Z279" s="205">
        <v>0</v>
      </c>
      <c r="AA279" s="205">
        <v>0</v>
      </c>
      <c r="AB279" s="205">
        <v>0</v>
      </c>
      <c r="AC279" s="205">
        <v>0</v>
      </c>
      <c r="AD279" s="205">
        <v>0</v>
      </c>
    </row>
    <row r="280" spans="1:30" ht="12.75">
      <c r="A280" s="169">
        <v>273</v>
      </c>
      <c r="B280" s="172" t="s">
        <v>476</v>
      </c>
      <c r="C280" s="258" t="s">
        <v>477</v>
      </c>
      <c r="D280" s="205">
        <v>20507763</v>
      </c>
      <c r="E280" s="205">
        <v>0</v>
      </c>
      <c r="F280" s="205">
        <v>0</v>
      </c>
      <c r="G280" s="205">
        <v>20507763</v>
      </c>
      <c r="H280" s="205">
        <v>205071</v>
      </c>
      <c r="I280" s="205">
        <v>0</v>
      </c>
      <c r="J280" s="205">
        <v>0</v>
      </c>
      <c r="K280" s="205">
        <v>205071</v>
      </c>
      <c r="L280" s="205">
        <v>200000</v>
      </c>
      <c r="M280" s="205">
        <v>0</v>
      </c>
      <c r="N280" s="205">
        <v>0</v>
      </c>
      <c r="O280" s="205">
        <v>200000</v>
      </c>
      <c r="P280" s="205">
        <v>20102692</v>
      </c>
      <c r="Q280" s="205">
        <v>0</v>
      </c>
      <c r="R280" s="205">
        <v>0</v>
      </c>
      <c r="S280" s="205">
        <v>20102692</v>
      </c>
      <c r="T280" s="205">
        <v>0</v>
      </c>
      <c r="U280" s="205">
        <v>0</v>
      </c>
      <c r="V280" s="205">
        <v>0</v>
      </c>
      <c r="W280" s="205">
        <v>0</v>
      </c>
      <c r="X280" s="205">
        <v>0</v>
      </c>
      <c r="Y280" s="205">
        <v>0</v>
      </c>
      <c r="Z280" s="205">
        <v>0</v>
      </c>
      <c r="AA280" s="205">
        <v>0</v>
      </c>
      <c r="AB280" s="205">
        <v>0</v>
      </c>
      <c r="AC280" s="205">
        <v>0</v>
      </c>
      <c r="AD280" s="205">
        <v>0</v>
      </c>
    </row>
    <row r="281" spans="1:30" ht="12.75">
      <c r="A281" s="169">
        <v>274</v>
      </c>
      <c r="B281" s="172" t="s">
        <v>478</v>
      </c>
      <c r="C281" s="258" t="s">
        <v>479</v>
      </c>
      <c r="D281" s="205">
        <v>39533144</v>
      </c>
      <c r="E281" s="205">
        <v>0</v>
      </c>
      <c r="F281" s="205">
        <v>0</v>
      </c>
      <c r="G281" s="205">
        <v>39533144</v>
      </c>
      <c r="H281" s="205">
        <v>160000</v>
      </c>
      <c r="I281" s="205">
        <v>0</v>
      </c>
      <c r="J281" s="205">
        <v>0</v>
      </c>
      <c r="K281" s="205">
        <v>160000</v>
      </c>
      <c r="L281" s="205">
        <v>500000</v>
      </c>
      <c r="M281" s="205">
        <v>0</v>
      </c>
      <c r="N281" s="205">
        <v>0</v>
      </c>
      <c r="O281" s="205">
        <v>500000</v>
      </c>
      <c r="P281" s="205">
        <v>38873144</v>
      </c>
      <c r="Q281" s="205">
        <v>0</v>
      </c>
      <c r="R281" s="205">
        <v>0</v>
      </c>
      <c r="S281" s="205">
        <v>38873144</v>
      </c>
      <c r="T281" s="205">
        <v>70000</v>
      </c>
      <c r="U281" s="205">
        <v>0</v>
      </c>
      <c r="V281" s="205">
        <v>0</v>
      </c>
      <c r="W281" s="205">
        <v>70000</v>
      </c>
      <c r="X281" s="205">
        <v>0</v>
      </c>
      <c r="Y281" s="205">
        <v>0</v>
      </c>
      <c r="Z281" s="205">
        <v>0</v>
      </c>
      <c r="AA281" s="205">
        <v>0</v>
      </c>
      <c r="AB281" s="205">
        <v>0</v>
      </c>
      <c r="AC281" s="205">
        <v>0</v>
      </c>
      <c r="AD281" s="205">
        <v>70000</v>
      </c>
    </row>
    <row r="282" spans="1:30" ht="12.75">
      <c r="A282" s="169">
        <v>275</v>
      </c>
      <c r="B282" s="172" t="s">
        <v>480</v>
      </c>
      <c r="C282" s="258" t="s">
        <v>481</v>
      </c>
      <c r="D282" s="205">
        <v>31989245.6</v>
      </c>
      <c r="E282" s="205">
        <v>0</v>
      </c>
      <c r="F282" s="205">
        <v>0</v>
      </c>
      <c r="G282" s="205">
        <v>31989245.6</v>
      </c>
      <c r="H282" s="205">
        <v>200000</v>
      </c>
      <c r="I282" s="205">
        <v>0</v>
      </c>
      <c r="J282" s="205">
        <v>0</v>
      </c>
      <c r="K282" s="205">
        <v>200000</v>
      </c>
      <c r="L282" s="205">
        <v>128246</v>
      </c>
      <c r="M282" s="205">
        <v>0</v>
      </c>
      <c r="N282" s="205">
        <v>0</v>
      </c>
      <c r="O282" s="205">
        <v>128246</v>
      </c>
      <c r="P282" s="205">
        <v>31660999.6</v>
      </c>
      <c r="Q282" s="205">
        <v>0</v>
      </c>
      <c r="R282" s="205">
        <v>0</v>
      </c>
      <c r="S282" s="205">
        <v>31660999.6</v>
      </c>
      <c r="T282" s="205">
        <v>0</v>
      </c>
      <c r="U282" s="205">
        <v>0</v>
      </c>
      <c r="V282" s="205">
        <v>0</v>
      </c>
      <c r="W282" s="205">
        <v>0</v>
      </c>
      <c r="X282" s="205">
        <v>0</v>
      </c>
      <c r="Y282" s="205">
        <v>0</v>
      </c>
      <c r="Z282" s="205">
        <v>0</v>
      </c>
      <c r="AA282" s="205">
        <v>0</v>
      </c>
      <c r="AB282" s="205">
        <v>0</v>
      </c>
      <c r="AC282" s="205">
        <v>0</v>
      </c>
      <c r="AD282" s="205">
        <v>0</v>
      </c>
    </row>
    <row r="283" spans="1:30" ht="12.75">
      <c r="A283" s="169">
        <v>276</v>
      </c>
      <c r="B283" s="172" t="s">
        <v>482</v>
      </c>
      <c r="C283" s="258" t="s">
        <v>483</v>
      </c>
      <c r="D283" s="205">
        <v>70192878.1</v>
      </c>
      <c r="E283" s="205">
        <v>0</v>
      </c>
      <c r="F283" s="205">
        <v>0</v>
      </c>
      <c r="G283" s="205">
        <v>70192878.1</v>
      </c>
      <c r="H283" s="205">
        <v>1051743</v>
      </c>
      <c r="I283" s="205">
        <v>0</v>
      </c>
      <c r="J283" s="205">
        <v>0</v>
      </c>
      <c r="K283" s="205">
        <v>1051743</v>
      </c>
      <c r="L283" s="205">
        <v>1860111</v>
      </c>
      <c r="M283" s="205">
        <v>0</v>
      </c>
      <c r="N283" s="205">
        <v>0</v>
      </c>
      <c r="O283" s="205">
        <v>1860111</v>
      </c>
      <c r="P283" s="205">
        <v>67281024.1</v>
      </c>
      <c r="Q283" s="205">
        <v>0</v>
      </c>
      <c r="R283" s="205">
        <v>0</v>
      </c>
      <c r="S283" s="205">
        <v>67281024.1</v>
      </c>
      <c r="T283" s="205">
        <v>0</v>
      </c>
      <c r="U283" s="205">
        <v>0</v>
      </c>
      <c r="V283" s="205">
        <v>0</v>
      </c>
      <c r="W283" s="205">
        <v>0</v>
      </c>
      <c r="X283" s="205">
        <v>0</v>
      </c>
      <c r="Y283" s="205">
        <v>0</v>
      </c>
      <c r="Z283" s="205">
        <v>0</v>
      </c>
      <c r="AA283" s="205">
        <v>0</v>
      </c>
      <c r="AB283" s="205">
        <v>0</v>
      </c>
      <c r="AC283" s="205">
        <v>0</v>
      </c>
      <c r="AD283" s="205">
        <v>0</v>
      </c>
    </row>
    <row r="284" spans="1:30" ht="12.75">
      <c r="A284" s="169">
        <v>277</v>
      </c>
      <c r="B284" s="172" t="s">
        <v>484</v>
      </c>
      <c r="C284" s="258" t="s">
        <v>485</v>
      </c>
      <c r="D284" s="205">
        <v>25487396</v>
      </c>
      <c r="E284" s="205">
        <v>0</v>
      </c>
      <c r="F284" s="205">
        <v>0</v>
      </c>
      <c r="G284" s="205">
        <v>25487396</v>
      </c>
      <c r="H284" s="205">
        <v>179812</v>
      </c>
      <c r="I284" s="205">
        <v>0</v>
      </c>
      <c r="J284" s="205">
        <v>0</v>
      </c>
      <c r="K284" s="205">
        <v>179812</v>
      </c>
      <c r="L284" s="205">
        <v>450000</v>
      </c>
      <c r="M284" s="205">
        <v>0</v>
      </c>
      <c r="N284" s="205">
        <v>0</v>
      </c>
      <c r="O284" s="205">
        <v>450000</v>
      </c>
      <c r="P284" s="205">
        <v>24857584</v>
      </c>
      <c r="Q284" s="205">
        <v>0</v>
      </c>
      <c r="R284" s="205">
        <v>0</v>
      </c>
      <c r="S284" s="205">
        <v>24857584</v>
      </c>
      <c r="T284" s="205">
        <v>0</v>
      </c>
      <c r="U284" s="205">
        <v>0</v>
      </c>
      <c r="V284" s="205">
        <v>0</v>
      </c>
      <c r="W284" s="205">
        <v>0</v>
      </c>
      <c r="X284" s="205">
        <v>0</v>
      </c>
      <c r="Y284" s="205">
        <v>0</v>
      </c>
      <c r="Z284" s="205">
        <v>0</v>
      </c>
      <c r="AA284" s="205">
        <v>0</v>
      </c>
      <c r="AB284" s="205">
        <v>0</v>
      </c>
      <c r="AC284" s="205">
        <v>0</v>
      </c>
      <c r="AD284" s="205">
        <v>0</v>
      </c>
    </row>
    <row r="285" spans="1:30" ht="12.75">
      <c r="A285" s="169">
        <v>278</v>
      </c>
      <c r="B285" s="172" t="s">
        <v>486</v>
      </c>
      <c r="C285" s="258" t="s">
        <v>487</v>
      </c>
      <c r="D285" s="205">
        <v>49337173</v>
      </c>
      <c r="E285" s="205">
        <v>0</v>
      </c>
      <c r="F285" s="205">
        <v>0</v>
      </c>
      <c r="G285" s="205">
        <v>49337173</v>
      </c>
      <c r="H285" s="205">
        <v>493372</v>
      </c>
      <c r="I285" s="205">
        <v>0</v>
      </c>
      <c r="J285" s="205">
        <v>0</v>
      </c>
      <c r="K285" s="205">
        <v>493372</v>
      </c>
      <c r="L285" s="205">
        <v>2960230</v>
      </c>
      <c r="M285" s="205">
        <v>0</v>
      </c>
      <c r="N285" s="205">
        <v>0</v>
      </c>
      <c r="O285" s="205">
        <v>2960230</v>
      </c>
      <c r="P285" s="205">
        <v>45883571</v>
      </c>
      <c r="Q285" s="205">
        <v>0</v>
      </c>
      <c r="R285" s="205">
        <v>0</v>
      </c>
      <c r="S285" s="205">
        <v>45883571</v>
      </c>
      <c r="T285" s="205">
        <v>0</v>
      </c>
      <c r="U285" s="205">
        <v>0</v>
      </c>
      <c r="V285" s="205">
        <v>0</v>
      </c>
      <c r="W285" s="205">
        <v>0</v>
      </c>
      <c r="X285" s="205">
        <v>0</v>
      </c>
      <c r="Y285" s="205">
        <v>0</v>
      </c>
      <c r="Z285" s="205">
        <v>0</v>
      </c>
      <c r="AA285" s="205">
        <v>0</v>
      </c>
      <c r="AB285" s="205">
        <v>0</v>
      </c>
      <c r="AC285" s="205">
        <v>0</v>
      </c>
      <c r="AD285" s="205">
        <v>0</v>
      </c>
    </row>
    <row r="286" spans="1:30" ht="12.75">
      <c r="A286" s="169">
        <v>279</v>
      </c>
      <c r="B286" s="172" t="s">
        <v>488</v>
      </c>
      <c r="C286" s="258" t="s">
        <v>489</v>
      </c>
      <c r="D286" s="205">
        <v>36699762</v>
      </c>
      <c r="E286" s="205">
        <v>0</v>
      </c>
      <c r="F286" s="205">
        <v>0</v>
      </c>
      <c r="G286" s="205">
        <v>36699762</v>
      </c>
      <c r="H286" s="205">
        <v>350000</v>
      </c>
      <c r="I286" s="205">
        <v>0</v>
      </c>
      <c r="J286" s="205">
        <v>0</v>
      </c>
      <c r="K286" s="205">
        <v>350000</v>
      </c>
      <c r="L286" s="205">
        <v>427000</v>
      </c>
      <c r="M286" s="205">
        <v>0</v>
      </c>
      <c r="N286" s="205">
        <v>0</v>
      </c>
      <c r="O286" s="205">
        <v>427000</v>
      </c>
      <c r="P286" s="205">
        <v>35922762</v>
      </c>
      <c r="Q286" s="205">
        <v>0</v>
      </c>
      <c r="R286" s="205">
        <v>0</v>
      </c>
      <c r="S286" s="205">
        <v>35922762</v>
      </c>
      <c r="T286" s="205">
        <v>0</v>
      </c>
      <c r="U286" s="205">
        <v>0</v>
      </c>
      <c r="V286" s="205">
        <v>0</v>
      </c>
      <c r="W286" s="205">
        <v>0</v>
      </c>
      <c r="X286" s="205">
        <v>0</v>
      </c>
      <c r="Y286" s="205">
        <v>0</v>
      </c>
      <c r="Z286" s="205">
        <v>0</v>
      </c>
      <c r="AA286" s="205">
        <v>0</v>
      </c>
      <c r="AB286" s="205">
        <v>0</v>
      </c>
      <c r="AC286" s="205">
        <v>0</v>
      </c>
      <c r="AD286" s="205">
        <v>0</v>
      </c>
    </row>
    <row r="287" spans="1:30" ht="12.75">
      <c r="A287" s="169">
        <v>280</v>
      </c>
      <c r="B287" s="172" t="s">
        <v>490</v>
      </c>
      <c r="C287" s="258" t="s">
        <v>491</v>
      </c>
      <c r="D287" s="205">
        <v>32975921</v>
      </c>
      <c r="E287" s="205">
        <v>0</v>
      </c>
      <c r="F287" s="205">
        <v>0</v>
      </c>
      <c r="G287" s="205">
        <v>32975921</v>
      </c>
      <c r="H287" s="205">
        <v>400000</v>
      </c>
      <c r="I287" s="205">
        <v>0</v>
      </c>
      <c r="J287" s="205">
        <v>0</v>
      </c>
      <c r="K287" s="205">
        <v>400000</v>
      </c>
      <c r="L287" s="205">
        <v>974000</v>
      </c>
      <c r="M287" s="205">
        <v>0</v>
      </c>
      <c r="N287" s="205">
        <v>0</v>
      </c>
      <c r="O287" s="205">
        <v>974000</v>
      </c>
      <c r="P287" s="205">
        <v>31601921</v>
      </c>
      <c r="Q287" s="205">
        <v>0</v>
      </c>
      <c r="R287" s="205">
        <v>0</v>
      </c>
      <c r="S287" s="205">
        <v>31601921</v>
      </c>
      <c r="T287" s="205">
        <v>0</v>
      </c>
      <c r="U287" s="205">
        <v>0</v>
      </c>
      <c r="V287" s="205">
        <v>0</v>
      </c>
      <c r="W287" s="205">
        <v>0</v>
      </c>
      <c r="X287" s="205">
        <v>0</v>
      </c>
      <c r="Y287" s="205">
        <v>0</v>
      </c>
      <c r="Z287" s="205">
        <v>0</v>
      </c>
      <c r="AA287" s="205">
        <v>0</v>
      </c>
      <c r="AB287" s="205">
        <v>0</v>
      </c>
      <c r="AC287" s="205">
        <v>0</v>
      </c>
      <c r="AD287" s="205">
        <v>0</v>
      </c>
    </row>
    <row r="288" spans="1:30" ht="12.75">
      <c r="A288" s="169">
        <v>281</v>
      </c>
      <c r="B288" s="172" t="s">
        <v>492</v>
      </c>
      <c r="C288" s="258" t="s">
        <v>493</v>
      </c>
      <c r="D288" s="205">
        <v>28066965</v>
      </c>
      <c r="E288" s="205">
        <v>0</v>
      </c>
      <c r="F288" s="205">
        <v>0</v>
      </c>
      <c r="G288" s="205">
        <v>28066965</v>
      </c>
      <c r="H288" s="205">
        <v>210000</v>
      </c>
      <c r="I288" s="205">
        <v>0</v>
      </c>
      <c r="J288" s="205">
        <v>0</v>
      </c>
      <c r="K288" s="205">
        <v>210000</v>
      </c>
      <c r="L288" s="205">
        <v>500000</v>
      </c>
      <c r="M288" s="205">
        <v>0</v>
      </c>
      <c r="N288" s="205">
        <v>0</v>
      </c>
      <c r="O288" s="205">
        <v>500000</v>
      </c>
      <c r="P288" s="205">
        <v>27356965</v>
      </c>
      <c r="Q288" s="205">
        <v>0</v>
      </c>
      <c r="R288" s="205">
        <v>0</v>
      </c>
      <c r="S288" s="205">
        <v>27356965</v>
      </c>
      <c r="T288" s="205">
        <v>0</v>
      </c>
      <c r="U288" s="205">
        <v>0</v>
      </c>
      <c r="V288" s="205">
        <v>0</v>
      </c>
      <c r="W288" s="205">
        <v>0</v>
      </c>
      <c r="X288" s="205">
        <v>0</v>
      </c>
      <c r="Y288" s="205">
        <v>0</v>
      </c>
      <c r="Z288" s="205">
        <v>0</v>
      </c>
      <c r="AA288" s="205">
        <v>0</v>
      </c>
      <c r="AB288" s="205">
        <v>0</v>
      </c>
      <c r="AC288" s="205">
        <v>0</v>
      </c>
      <c r="AD288" s="205">
        <v>0</v>
      </c>
    </row>
    <row r="289" spans="1:30" ht="12.75">
      <c r="A289" s="169">
        <v>282</v>
      </c>
      <c r="B289" s="172" t="s">
        <v>494</v>
      </c>
      <c r="C289" s="258" t="s">
        <v>495</v>
      </c>
      <c r="D289" s="205">
        <v>112215801</v>
      </c>
      <c r="E289" s="205">
        <v>0</v>
      </c>
      <c r="F289" s="205">
        <v>0</v>
      </c>
      <c r="G289" s="205">
        <v>112215801</v>
      </c>
      <c r="H289" s="205">
        <v>1231478.67</v>
      </c>
      <c r="I289" s="205">
        <v>0</v>
      </c>
      <c r="J289" s="205">
        <v>0</v>
      </c>
      <c r="K289" s="205">
        <v>1231478.67</v>
      </c>
      <c r="L289" s="205">
        <v>3400000</v>
      </c>
      <c r="M289" s="205">
        <v>0</v>
      </c>
      <c r="N289" s="205">
        <v>0</v>
      </c>
      <c r="O289" s="205">
        <v>3400000</v>
      </c>
      <c r="P289" s="205">
        <v>107584322</v>
      </c>
      <c r="Q289" s="205">
        <v>0</v>
      </c>
      <c r="R289" s="205">
        <v>0</v>
      </c>
      <c r="S289" s="205">
        <v>107584322</v>
      </c>
      <c r="T289" s="205">
        <v>0</v>
      </c>
      <c r="U289" s="205">
        <v>0</v>
      </c>
      <c r="V289" s="205">
        <v>0</v>
      </c>
      <c r="W289" s="205">
        <v>0</v>
      </c>
      <c r="X289" s="205">
        <v>0</v>
      </c>
      <c r="Y289" s="205">
        <v>0</v>
      </c>
      <c r="Z289" s="205">
        <v>0</v>
      </c>
      <c r="AA289" s="205">
        <v>0</v>
      </c>
      <c r="AB289" s="205">
        <v>0</v>
      </c>
      <c r="AC289" s="205">
        <v>0</v>
      </c>
      <c r="AD289" s="205">
        <v>0</v>
      </c>
    </row>
    <row r="290" spans="1:30" ht="12.75">
      <c r="A290" s="169">
        <v>283</v>
      </c>
      <c r="B290" s="172" t="s">
        <v>496</v>
      </c>
      <c r="C290" s="258" t="s">
        <v>497</v>
      </c>
      <c r="D290" s="205">
        <v>54590322</v>
      </c>
      <c r="E290" s="205">
        <v>0</v>
      </c>
      <c r="F290" s="205">
        <v>0</v>
      </c>
      <c r="G290" s="205">
        <v>54590322</v>
      </c>
      <c r="H290" s="205">
        <v>350000</v>
      </c>
      <c r="I290" s="205">
        <v>0</v>
      </c>
      <c r="J290" s="205">
        <v>0</v>
      </c>
      <c r="K290" s="205">
        <v>350000</v>
      </c>
      <c r="L290" s="205">
        <v>1150000</v>
      </c>
      <c r="M290" s="205">
        <v>0</v>
      </c>
      <c r="N290" s="205">
        <v>0</v>
      </c>
      <c r="O290" s="205">
        <v>1150000</v>
      </c>
      <c r="P290" s="205">
        <v>53090322</v>
      </c>
      <c r="Q290" s="205">
        <v>0</v>
      </c>
      <c r="R290" s="205">
        <v>0</v>
      </c>
      <c r="S290" s="205">
        <v>53090322</v>
      </c>
      <c r="T290" s="205">
        <v>0</v>
      </c>
      <c r="U290" s="205">
        <v>0</v>
      </c>
      <c r="V290" s="205">
        <v>0</v>
      </c>
      <c r="W290" s="205">
        <v>0</v>
      </c>
      <c r="X290" s="205">
        <v>0</v>
      </c>
      <c r="Y290" s="205">
        <v>0</v>
      </c>
      <c r="Z290" s="205">
        <v>0</v>
      </c>
      <c r="AA290" s="205">
        <v>0</v>
      </c>
      <c r="AB290" s="205">
        <v>0</v>
      </c>
      <c r="AC290" s="205">
        <v>0</v>
      </c>
      <c r="AD290" s="205">
        <v>0</v>
      </c>
    </row>
    <row r="291" spans="1:30" ht="12.75">
      <c r="A291" s="169">
        <v>284</v>
      </c>
      <c r="B291" s="172" t="s">
        <v>498</v>
      </c>
      <c r="C291" s="258" t="s">
        <v>499</v>
      </c>
      <c r="D291" s="205">
        <v>36148432.3</v>
      </c>
      <c r="E291" s="205">
        <v>0</v>
      </c>
      <c r="F291" s="205">
        <v>0</v>
      </c>
      <c r="G291" s="205">
        <v>36148432.3</v>
      </c>
      <c r="H291" s="205">
        <v>451855</v>
      </c>
      <c r="I291" s="205">
        <v>0</v>
      </c>
      <c r="J291" s="205">
        <v>0</v>
      </c>
      <c r="K291" s="205">
        <v>451855</v>
      </c>
      <c r="L291" s="205">
        <v>500000</v>
      </c>
      <c r="M291" s="205">
        <v>0</v>
      </c>
      <c r="N291" s="205">
        <v>0</v>
      </c>
      <c r="O291" s="205">
        <v>500000</v>
      </c>
      <c r="P291" s="205">
        <v>35196577.3</v>
      </c>
      <c r="Q291" s="205">
        <v>0</v>
      </c>
      <c r="R291" s="205">
        <v>0</v>
      </c>
      <c r="S291" s="205">
        <v>35196577.3</v>
      </c>
      <c r="T291" s="205">
        <v>0</v>
      </c>
      <c r="U291" s="205">
        <v>0</v>
      </c>
      <c r="V291" s="205">
        <v>0</v>
      </c>
      <c r="W291" s="205">
        <v>0</v>
      </c>
      <c r="X291" s="205">
        <v>0</v>
      </c>
      <c r="Y291" s="205">
        <v>0</v>
      </c>
      <c r="Z291" s="205">
        <v>0</v>
      </c>
      <c r="AA291" s="205">
        <v>0</v>
      </c>
      <c r="AB291" s="205">
        <v>0</v>
      </c>
      <c r="AC291" s="205">
        <v>0</v>
      </c>
      <c r="AD291" s="205">
        <v>0</v>
      </c>
    </row>
    <row r="292" spans="1:30" ht="12.75">
      <c r="A292" s="169">
        <v>285</v>
      </c>
      <c r="B292" s="172" t="s">
        <v>500</v>
      </c>
      <c r="C292" s="258" t="s">
        <v>501</v>
      </c>
      <c r="D292" s="205">
        <v>11180771.2</v>
      </c>
      <c r="E292" s="205">
        <v>0</v>
      </c>
      <c r="F292" s="205">
        <v>0</v>
      </c>
      <c r="G292" s="205">
        <v>11180771.2</v>
      </c>
      <c r="H292" s="205">
        <v>64678</v>
      </c>
      <c r="I292" s="205">
        <v>0</v>
      </c>
      <c r="J292" s="205">
        <v>0</v>
      </c>
      <c r="K292" s="205">
        <v>64678</v>
      </c>
      <c r="L292" s="205">
        <v>176303</v>
      </c>
      <c r="M292" s="205">
        <v>0</v>
      </c>
      <c r="N292" s="205">
        <v>0</v>
      </c>
      <c r="O292" s="205">
        <v>176303</v>
      </c>
      <c r="P292" s="205">
        <v>10939790.2</v>
      </c>
      <c r="Q292" s="205">
        <v>0</v>
      </c>
      <c r="R292" s="205">
        <v>0</v>
      </c>
      <c r="S292" s="205">
        <v>10939790.2</v>
      </c>
      <c r="T292" s="205">
        <v>199033</v>
      </c>
      <c r="U292" s="205">
        <v>0</v>
      </c>
      <c r="V292" s="205">
        <v>0</v>
      </c>
      <c r="W292" s="205">
        <v>199033</v>
      </c>
      <c r="X292" s="205">
        <v>0</v>
      </c>
      <c r="Y292" s="205">
        <v>0</v>
      </c>
      <c r="Z292" s="205">
        <v>0</v>
      </c>
      <c r="AA292" s="205">
        <v>0</v>
      </c>
      <c r="AB292" s="205">
        <v>0</v>
      </c>
      <c r="AC292" s="205">
        <v>0</v>
      </c>
      <c r="AD292" s="205">
        <v>199033</v>
      </c>
    </row>
    <row r="293" spans="1:30" ht="12.75">
      <c r="A293" s="169">
        <v>286</v>
      </c>
      <c r="B293" s="172" t="s">
        <v>502</v>
      </c>
      <c r="C293" s="258" t="s">
        <v>503</v>
      </c>
      <c r="D293" s="205">
        <v>347604170</v>
      </c>
      <c r="E293" s="205">
        <v>0</v>
      </c>
      <c r="F293" s="205">
        <v>0</v>
      </c>
      <c r="G293" s="205">
        <v>347604170</v>
      </c>
      <c r="H293" s="205">
        <v>2780833</v>
      </c>
      <c r="I293" s="205">
        <v>0</v>
      </c>
      <c r="J293" s="205">
        <v>0</v>
      </c>
      <c r="K293" s="205">
        <v>2780833</v>
      </c>
      <c r="L293" s="205">
        <v>3000000</v>
      </c>
      <c r="M293" s="205">
        <v>0</v>
      </c>
      <c r="N293" s="205">
        <v>0</v>
      </c>
      <c r="O293" s="205">
        <v>3000000</v>
      </c>
      <c r="P293" s="205">
        <v>341823337</v>
      </c>
      <c r="Q293" s="205">
        <v>0</v>
      </c>
      <c r="R293" s="205">
        <v>0</v>
      </c>
      <c r="S293" s="205">
        <v>341823337</v>
      </c>
      <c r="T293" s="205">
        <v>0</v>
      </c>
      <c r="U293" s="205">
        <v>0</v>
      </c>
      <c r="V293" s="205">
        <v>0</v>
      </c>
      <c r="W293" s="205">
        <v>0</v>
      </c>
      <c r="X293" s="205">
        <v>0</v>
      </c>
      <c r="Y293" s="205">
        <v>0</v>
      </c>
      <c r="Z293" s="205">
        <v>0</v>
      </c>
      <c r="AA293" s="205">
        <v>0</v>
      </c>
      <c r="AB293" s="205">
        <v>0</v>
      </c>
      <c r="AC293" s="205">
        <v>0</v>
      </c>
      <c r="AD293" s="205">
        <v>0</v>
      </c>
    </row>
    <row r="294" spans="1:30" ht="12.75">
      <c r="A294" s="169">
        <v>287</v>
      </c>
      <c r="B294" s="172" t="s">
        <v>504</v>
      </c>
      <c r="C294" s="258" t="s">
        <v>505</v>
      </c>
      <c r="D294" s="205">
        <v>164231118</v>
      </c>
      <c r="E294" s="205">
        <v>0</v>
      </c>
      <c r="F294" s="205">
        <v>0</v>
      </c>
      <c r="G294" s="205">
        <v>164231118</v>
      </c>
      <c r="H294" s="205">
        <v>2310491.93</v>
      </c>
      <c r="I294" s="205">
        <v>0</v>
      </c>
      <c r="J294" s="205">
        <v>0</v>
      </c>
      <c r="K294" s="205">
        <v>2310491.93</v>
      </c>
      <c r="L294" s="205">
        <v>6845551</v>
      </c>
      <c r="M294" s="205">
        <v>0</v>
      </c>
      <c r="N294" s="205">
        <v>0</v>
      </c>
      <c r="O294" s="205">
        <v>6845551</v>
      </c>
      <c r="P294" s="205">
        <v>155075075</v>
      </c>
      <c r="Q294" s="205">
        <v>0</v>
      </c>
      <c r="R294" s="205">
        <v>0</v>
      </c>
      <c r="S294" s="205">
        <v>155075075</v>
      </c>
      <c r="T294" s="205">
        <v>75192</v>
      </c>
      <c r="U294" s="205">
        <v>0</v>
      </c>
      <c r="V294" s="205">
        <v>0</v>
      </c>
      <c r="W294" s="205">
        <v>75192</v>
      </c>
      <c r="X294" s="205">
        <v>0</v>
      </c>
      <c r="Y294" s="205">
        <v>0</v>
      </c>
      <c r="Z294" s="205">
        <v>0</v>
      </c>
      <c r="AA294" s="205">
        <v>0</v>
      </c>
      <c r="AB294" s="205">
        <v>0</v>
      </c>
      <c r="AC294" s="205">
        <v>0</v>
      </c>
      <c r="AD294" s="205">
        <v>75192</v>
      </c>
    </row>
    <row r="295" spans="1:30" ht="12.75">
      <c r="A295" s="169">
        <v>288</v>
      </c>
      <c r="B295" s="172" t="s">
        <v>506</v>
      </c>
      <c r="C295" s="258" t="s">
        <v>507</v>
      </c>
      <c r="D295" s="205">
        <v>52536163.5</v>
      </c>
      <c r="E295" s="205">
        <v>0</v>
      </c>
      <c r="F295" s="205">
        <v>0</v>
      </c>
      <c r="G295" s="205">
        <v>52536163.5</v>
      </c>
      <c r="H295" s="205">
        <v>800253</v>
      </c>
      <c r="I295" s="205">
        <v>0</v>
      </c>
      <c r="J295" s="205">
        <v>0</v>
      </c>
      <c r="K295" s="205">
        <v>800253</v>
      </c>
      <c r="L295" s="205">
        <v>0</v>
      </c>
      <c r="M295" s="205">
        <v>0</v>
      </c>
      <c r="N295" s="205">
        <v>0</v>
      </c>
      <c r="O295" s="205">
        <v>0</v>
      </c>
      <c r="P295" s="205">
        <v>51735910.5</v>
      </c>
      <c r="Q295" s="205">
        <v>0</v>
      </c>
      <c r="R295" s="205">
        <v>0</v>
      </c>
      <c r="S295" s="205">
        <v>51735910.5</v>
      </c>
      <c r="T295" s="205">
        <v>0</v>
      </c>
      <c r="U295" s="205">
        <v>0</v>
      </c>
      <c r="V295" s="205">
        <v>0</v>
      </c>
      <c r="W295" s="205">
        <v>0</v>
      </c>
      <c r="X295" s="205">
        <v>0</v>
      </c>
      <c r="Y295" s="205">
        <v>0</v>
      </c>
      <c r="Z295" s="205">
        <v>0</v>
      </c>
      <c r="AA295" s="205">
        <v>0</v>
      </c>
      <c r="AB295" s="205">
        <v>0</v>
      </c>
      <c r="AC295" s="205">
        <v>0</v>
      </c>
      <c r="AD295" s="205">
        <v>0</v>
      </c>
    </row>
    <row r="296" spans="1:30" ht="12.75">
      <c r="A296" s="169">
        <v>289</v>
      </c>
      <c r="B296" s="172" t="s">
        <v>508</v>
      </c>
      <c r="C296" s="258" t="s">
        <v>509</v>
      </c>
      <c r="D296" s="205">
        <v>42601328</v>
      </c>
      <c r="E296" s="205">
        <v>0</v>
      </c>
      <c r="F296" s="205">
        <v>0</v>
      </c>
      <c r="G296" s="205">
        <v>42601328</v>
      </c>
      <c r="H296" s="205">
        <v>426000</v>
      </c>
      <c r="I296" s="205">
        <v>0</v>
      </c>
      <c r="J296" s="205">
        <v>0</v>
      </c>
      <c r="K296" s="205">
        <v>426000</v>
      </c>
      <c r="L296" s="205">
        <v>1093332</v>
      </c>
      <c r="M296" s="205">
        <v>0</v>
      </c>
      <c r="N296" s="205">
        <v>0</v>
      </c>
      <c r="O296" s="205">
        <v>1093332</v>
      </c>
      <c r="P296" s="205">
        <v>41081996</v>
      </c>
      <c r="Q296" s="205">
        <v>0</v>
      </c>
      <c r="R296" s="205">
        <v>0</v>
      </c>
      <c r="S296" s="205">
        <v>41081996</v>
      </c>
      <c r="T296" s="205">
        <v>0</v>
      </c>
      <c r="U296" s="205">
        <v>0</v>
      </c>
      <c r="V296" s="205">
        <v>0</v>
      </c>
      <c r="W296" s="205">
        <v>0</v>
      </c>
      <c r="X296" s="205">
        <v>0</v>
      </c>
      <c r="Y296" s="205">
        <v>0</v>
      </c>
      <c r="Z296" s="205">
        <v>0</v>
      </c>
      <c r="AA296" s="205">
        <v>0</v>
      </c>
      <c r="AB296" s="205">
        <v>0</v>
      </c>
      <c r="AC296" s="205">
        <v>0</v>
      </c>
      <c r="AD296" s="205">
        <v>0</v>
      </c>
    </row>
    <row r="297" spans="1:30" ht="12.75">
      <c r="A297" s="169">
        <v>290</v>
      </c>
      <c r="B297" s="172" t="s">
        <v>510</v>
      </c>
      <c r="C297" s="258" t="s">
        <v>511</v>
      </c>
      <c r="D297" s="205">
        <v>54508590.1</v>
      </c>
      <c r="E297" s="205">
        <v>0</v>
      </c>
      <c r="F297" s="205">
        <v>1077568.51</v>
      </c>
      <c r="G297" s="205">
        <v>55586158.6</v>
      </c>
      <c r="H297" s="205">
        <v>545085.9</v>
      </c>
      <c r="I297" s="205">
        <v>0</v>
      </c>
      <c r="J297" s="205">
        <v>10775.69</v>
      </c>
      <c r="K297" s="205">
        <v>555861.59</v>
      </c>
      <c r="L297" s="205">
        <v>488000</v>
      </c>
      <c r="M297" s="205">
        <v>0</v>
      </c>
      <c r="N297" s="205">
        <v>72000</v>
      </c>
      <c r="O297" s="205">
        <v>560000</v>
      </c>
      <c r="P297" s="205">
        <v>53475504.2</v>
      </c>
      <c r="Q297" s="205">
        <v>0</v>
      </c>
      <c r="R297" s="205">
        <v>994792.83</v>
      </c>
      <c r="S297" s="205">
        <v>54470297</v>
      </c>
      <c r="T297" s="205">
        <v>324675</v>
      </c>
      <c r="U297" s="205">
        <v>0</v>
      </c>
      <c r="V297" s="205">
        <v>0</v>
      </c>
      <c r="W297" s="205">
        <v>324675</v>
      </c>
      <c r="X297" s="205">
        <v>0</v>
      </c>
      <c r="Y297" s="205">
        <v>-453.97</v>
      </c>
      <c r="Z297" s="205">
        <v>0</v>
      </c>
      <c r="AA297" s="205">
        <v>1155128</v>
      </c>
      <c r="AB297" s="205">
        <v>0</v>
      </c>
      <c r="AC297" s="205">
        <v>0</v>
      </c>
      <c r="AD297" s="205">
        <v>324675</v>
      </c>
    </row>
    <row r="298" spans="1:30" ht="12.75">
      <c r="A298" s="169">
        <v>291</v>
      </c>
      <c r="B298" s="172" t="s">
        <v>512</v>
      </c>
      <c r="C298" s="258" t="s">
        <v>513</v>
      </c>
      <c r="D298" s="205">
        <v>123187654</v>
      </c>
      <c r="E298" s="205">
        <v>0</v>
      </c>
      <c r="F298" s="205">
        <v>0</v>
      </c>
      <c r="G298" s="205">
        <v>123187654</v>
      </c>
      <c r="H298" s="205">
        <v>1000000</v>
      </c>
      <c r="I298" s="205">
        <v>0</v>
      </c>
      <c r="J298" s="205">
        <v>0</v>
      </c>
      <c r="K298" s="205">
        <v>1000000</v>
      </c>
      <c r="L298" s="205">
        <v>1731090</v>
      </c>
      <c r="M298" s="205">
        <v>0</v>
      </c>
      <c r="N298" s="205">
        <v>0</v>
      </c>
      <c r="O298" s="205">
        <v>1731090</v>
      </c>
      <c r="P298" s="205">
        <v>120456564</v>
      </c>
      <c r="Q298" s="205">
        <v>0</v>
      </c>
      <c r="R298" s="205">
        <v>0</v>
      </c>
      <c r="S298" s="205">
        <v>120456564</v>
      </c>
      <c r="T298" s="205">
        <v>0</v>
      </c>
      <c r="U298" s="205">
        <v>0</v>
      </c>
      <c r="V298" s="205">
        <v>0</v>
      </c>
      <c r="W298" s="205">
        <v>0</v>
      </c>
      <c r="X298" s="205">
        <v>0</v>
      </c>
      <c r="Y298" s="205">
        <v>0</v>
      </c>
      <c r="Z298" s="205">
        <v>0</v>
      </c>
      <c r="AA298" s="205">
        <v>0</v>
      </c>
      <c r="AB298" s="205">
        <v>0</v>
      </c>
      <c r="AC298" s="205">
        <v>0</v>
      </c>
      <c r="AD298" s="205">
        <v>0</v>
      </c>
    </row>
    <row r="299" spans="1:30" ht="12.75">
      <c r="A299" s="169">
        <v>292</v>
      </c>
      <c r="B299" s="172" t="s">
        <v>514</v>
      </c>
      <c r="C299" s="258" t="s">
        <v>515</v>
      </c>
      <c r="D299" s="205">
        <v>71405161</v>
      </c>
      <c r="E299" s="205">
        <v>0</v>
      </c>
      <c r="F299" s="205">
        <v>121125</v>
      </c>
      <c r="G299" s="205">
        <v>71526286</v>
      </c>
      <c r="H299" s="205">
        <v>1200000</v>
      </c>
      <c r="I299" s="205">
        <v>0</v>
      </c>
      <c r="J299" s="205">
        <v>0</v>
      </c>
      <c r="K299" s="205">
        <v>1200000</v>
      </c>
      <c r="L299" s="205">
        <v>1476422</v>
      </c>
      <c r="M299" s="205">
        <v>0</v>
      </c>
      <c r="N299" s="205">
        <v>0</v>
      </c>
      <c r="O299" s="205">
        <v>1476422</v>
      </c>
      <c r="P299" s="205">
        <v>68728739</v>
      </c>
      <c r="Q299" s="205">
        <v>0</v>
      </c>
      <c r="R299" s="205">
        <v>121125</v>
      </c>
      <c r="S299" s="205">
        <v>68849864</v>
      </c>
      <c r="T299" s="205">
        <v>0</v>
      </c>
      <c r="U299" s="205">
        <v>0</v>
      </c>
      <c r="V299" s="205">
        <v>0</v>
      </c>
      <c r="W299" s="205">
        <v>0</v>
      </c>
      <c r="X299" s="205">
        <v>0</v>
      </c>
      <c r="Y299" s="205">
        <v>0</v>
      </c>
      <c r="Z299" s="205">
        <v>0</v>
      </c>
      <c r="AA299" s="205">
        <v>168060</v>
      </c>
      <c r="AB299" s="205">
        <v>0</v>
      </c>
      <c r="AC299" s="205">
        <v>0</v>
      </c>
      <c r="AD299" s="205">
        <v>0</v>
      </c>
    </row>
    <row r="300" spans="1:30" ht="12.75">
      <c r="A300" s="169">
        <v>293</v>
      </c>
      <c r="B300" s="172" t="s">
        <v>516</v>
      </c>
      <c r="C300" s="258" t="s">
        <v>517</v>
      </c>
      <c r="D300" s="205">
        <v>57332388</v>
      </c>
      <c r="E300" s="205">
        <v>0</v>
      </c>
      <c r="F300" s="205">
        <v>0</v>
      </c>
      <c r="G300" s="205">
        <v>57332388</v>
      </c>
      <c r="H300" s="205">
        <v>1653414</v>
      </c>
      <c r="I300" s="205">
        <v>0</v>
      </c>
      <c r="J300" s="205">
        <v>0</v>
      </c>
      <c r="K300" s="205">
        <v>1653414</v>
      </c>
      <c r="L300" s="205">
        <v>726670</v>
      </c>
      <c r="M300" s="205">
        <v>0</v>
      </c>
      <c r="N300" s="205">
        <v>0</v>
      </c>
      <c r="O300" s="205">
        <v>726670</v>
      </c>
      <c r="P300" s="205">
        <v>54952304</v>
      </c>
      <c r="Q300" s="205">
        <v>0</v>
      </c>
      <c r="R300" s="205">
        <v>0</v>
      </c>
      <c r="S300" s="205">
        <v>54952304</v>
      </c>
      <c r="T300" s="205">
        <v>0</v>
      </c>
      <c r="U300" s="205">
        <v>0</v>
      </c>
      <c r="V300" s="205">
        <v>0</v>
      </c>
      <c r="W300" s="205">
        <v>0</v>
      </c>
      <c r="X300" s="205">
        <v>0</v>
      </c>
      <c r="Y300" s="205">
        <v>0</v>
      </c>
      <c r="Z300" s="205">
        <v>0</v>
      </c>
      <c r="AA300" s="205">
        <v>0</v>
      </c>
      <c r="AB300" s="205">
        <v>0</v>
      </c>
      <c r="AC300" s="205">
        <v>0</v>
      </c>
      <c r="AD300" s="205">
        <v>0</v>
      </c>
    </row>
    <row r="301" spans="1:30" ht="12.75">
      <c r="A301" s="169">
        <v>294</v>
      </c>
      <c r="B301" s="172" t="s">
        <v>518</v>
      </c>
      <c r="C301" s="258" t="s">
        <v>519</v>
      </c>
      <c r="D301" s="205">
        <v>104943173</v>
      </c>
      <c r="E301" s="205">
        <v>0</v>
      </c>
      <c r="F301" s="205">
        <v>0</v>
      </c>
      <c r="G301" s="205">
        <v>104943173</v>
      </c>
      <c r="H301" s="205">
        <v>1320000</v>
      </c>
      <c r="I301" s="205">
        <v>0</v>
      </c>
      <c r="J301" s="205">
        <v>0</v>
      </c>
      <c r="K301" s="205">
        <v>1320000</v>
      </c>
      <c r="L301" s="205">
        <v>1460960</v>
      </c>
      <c r="M301" s="205">
        <v>0</v>
      </c>
      <c r="N301" s="205">
        <v>0</v>
      </c>
      <c r="O301" s="205">
        <v>1460960</v>
      </c>
      <c r="P301" s="205">
        <v>102162213</v>
      </c>
      <c r="Q301" s="205">
        <v>0</v>
      </c>
      <c r="R301" s="205">
        <v>0</v>
      </c>
      <c r="S301" s="205">
        <v>102162213</v>
      </c>
      <c r="T301" s="205">
        <v>0</v>
      </c>
      <c r="U301" s="205">
        <v>0</v>
      </c>
      <c r="V301" s="205">
        <v>0</v>
      </c>
      <c r="W301" s="205">
        <v>0</v>
      </c>
      <c r="X301" s="205">
        <v>0</v>
      </c>
      <c r="Y301" s="205">
        <v>0</v>
      </c>
      <c r="Z301" s="205">
        <v>0</v>
      </c>
      <c r="AA301" s="205">
        <v>0</v>
      </c>
      <c r="AB301" s="205">
        <v>0</v>
      </c>
      <c r="AC301" s="205">
        <v>0</v>
      </c>
      <c r="AD301" s="205">
        <v>0</v>
      </c>
    </row>
    <row r="302" spans="1:30" ht="12.75">
      <c r="A302" s="169">
        <v>295</v>
      </c>
      <c r="B302" s="172" t="s">
        <v>520</v>
      </c>
      <c r="C302" s="258" t="s">
        <v>521</v>
      </c>
      <c r="D302" s="205">
        <v>111096662</v>
      </c>
      <c r="E302" s="205">
        <v>0</v>
      </c>
      <c r="F302" s="205">
        <v>0</v>
      </c>
      <c r="G302" s="205">
        <v>111096662</v>
      </c>
      <c r="H302" s="205">
        <v>1683868</v>
      </c>
      <c r="I302" s="205">
        <v>0</v>
      </c>
      <c r="J302" s="205">
        <v>0</v>
      </c>
      <c r="K302" s="205">
        <v>1683868</v>
      </c>
      <c r="L302" s="205">
        <v>5271429</v>
      </c>
      <c r="M302" s="205">
        <v>0</v>
      </c>
      <c r="N302" s="205">
        <v>0</v>
      </c>
      <c r="O302" s="205">
        <v>5271429</v>
      </c>
      <c r="P302" s="205">
        <v>104141365</v>
      </c>
      <c r="Q302" s="205">
        <v>0</v>
      </c>
      <c r="R302" s="205">
        <v>0</v>
      </c>
      <c r="S302" s="205">
        <v>104141365</v>
      </c>
      <c r="T302" s="205">
        <v>0</v>
      </c>
      <c r="U302" s="205">
        <v>0</v>
      </c>
      <c r="V302" s="205">
        <v>0</v>
      </c>
      <c r="W302" s="205">
        <v>0</v>
      </c>
      <c r="X302" s="205">
        <v>0</v>
      </c>
      <c r="Y302" s="205">
        <v>0</v>
      </c>
      <c r="Z302" s="205">
        <v>0</v>
      </c>
      <c r="AA302" s="205">
        <v>0</v>
      </c>
      <c r="AB302" s="205">
        <v>0</v>
      </c>
      <c r="AC302" s="205">
        <v>0</v>
      </c>
      <c r="AD302" s="205">
        <v>0</v>
      </c>
    </row>
    <row r="303" spans="1:30" ht="12.75">
      <c r="A303" s="169">
        <v>296</v>
      </c>
      <c r="B303" s="172" t="s">
        <v>522</v>
      </c>
      <c r="C303" s="258" t="s">
        <v>523</v>
      </c>
      <c r="D303" s="205">
        <v>69968932.3</v>
      </c>
      <c r="E303" s="205">
        <v>0</v>
      </c>
      <c r="F303" s="205">
        <v>0</v>
      </c>
      <c r="G303" s="205">
        <v>69968932.3</v>
      </c>
      <c r="H303" s="205">
        <v>960000</v>
      </c>
      <c r="I303" s="205">
        <v>0</v>
      </c>
      <c r="J303" s="205">
        <v>0</v>
      </c>
      <c r="K303" s="205">
        <v>960000</v>
      </c>
      <c r="L303" s="205">
        <v>0</v>
      </c>
      <c r="M303" s="205">
        <v>0</v>
      </c>
      <c r="N303" s="205">
        <v>0</v>
      </c>
      <c r="O303" s="205">
        <v>0</v>
      </c>
      <c r="P303" s="205">
        <v>69008932.3</v>
      </c>
      <c r="Q303" s="205">
        <v>0</v>
      </c>
      <c r="R303" s="205">
        <v>0</v>
      </c>
      <c r="S303" s="205">
        <v>69008932.3</v>
      </c>
      <c r="T303" s="205">
        <v>0</v>
      </c>
      <c r="U303" s="205">
        <v>0</v>
      </c>
      <c r="V303" s="205">
        <v>0</v>
      </c>
      <c r="W303" s="205">
        <v>0</v>
      </c>
      <c r="X303" s="205">
        <v>0</v>
      </c>
      <c r="Y303" s="205">
        <v>0</v>
      </c>
      <c r="Z303" s="205">
        <v>0</v>
      </c>
      <c r="AA303" s="205">
        <v>0</v>
      </c>
      <c r="AB303" s="205">
        <v>0</v>
      </c>
      <c r="AC303" s="205">
        <v>0</v>
      </c>
      <c r="AD303" s="205">
        <v>0</v>
      </c>
    </row>
    <row r="304" spans="1:30" ht="12.75">
      <c r="A304" s="169">
        <v>297</v>
      </c>
      <c r="B304" s="172" t="s">
        <v>524</v>
      </c>
      <c r="C304" s="258" t="s">
        <v>525</v>
      </c>
      <c r="D304" s="205">
        <v>67129219</v>
      </c>
      <c r="E304" s="205">
        <v>0</v>
      </c>
      <c r="F304" s="205">
        <v>0</v>
      </c>
      <c r="G304" s="205">
        <v>67129219</v>
      </c>
      <c r="H304" s="205">
        <v>965000</v>
      </c>
      <c r="I304" s="205">
        <v>0</v>
      </c>
      <c r="J304" s="205">
        <v>0</v>
      </c>
      <c r="K304" s="205">
        <v>965000</v>
      </c>
      <c r="L304" s="205">
        <v>1000000</v>
      </c>
      <c r="M304" s="205">
        <v>0</v>
      </c>
      <c r="N304" s="205">
        <v>0</v>
      </c>
      <c r="O304" s="205">
        <v>1000000</v>
      </c>
      <c r="P304" s="205">
        <v>65164219</v>
      </c>
      <c r="Q304" s="205">
        <v>0</v>
      </c>
      <c r="R304" s="205">
        <v>0</v>
      </c>
      <c r="S304" s="205">
        <v>65164219</v>
      </c>
      <c r="T304" s="205">
        <v>0</v>
      </c>
      <c r="U304" s="205">
        <v>0</v>
      </c>
      <c r="V304" s="205">
        <v>0</v>
      </c>
      <c r="W304" s="205">
        <v>0</v>
      </c>
      <c r="X304" s="205">
        <v>0</v>
      </c>
      <c r="Y304" s="205">
        <v>0</v>
      </c>
      <c r="Z304" s="205">
        <v>0</v>
      </c>
      <c r="AA304" s="205">
        <v>0</v>
      </c>
      <c r="AB304" s="205">
        <v>0</v>
      </c>
      <c r="AC304" s="205">
        <v>0</v>
      </c>
      <c r="AD304" s="205">
        <v>0</v>
      </c>
    </row>
    <row r="305" spans="1:30" ht="12.75">
      <c r="A305" s="169">
        <v>298</v>
      </c>
      <c r="B305" s="172" t="s">
        <v>526</v>
      </c>
      <c r="C305" s="258" t="s">
        <v>527</v>
      </c>
      <c r="D305" s="205">
        <v>27060054.2</v>
      </c>
      <c r="E305" s="205">
        <v>0</v>
      </c>
      <c r="F305" s="205">
        <v>0</v>
      </c>
      <c r="G305" s="205">
        <v>27060054.2</v>
      </c>
      <c r="H305" s="205">
        <v>400000</v>
      </c>
      <c r="I305" s="205">
        <v>0</v>
      </c>
      <c r="J305" s="205">
        <v>0</v>
      </c>
      <c r="K305" s="205">
        <v>400000</v>
      </c>
      <c r="L305" s="205">
        <v>484042</v>
      </c>
      <c r="M305" s="205">
        <v>0</v>
      </c>
      <c r="N305" s="205">
        <v>0</v>
      </c>
      <c r="O305" s="205">
        <v>484042</v>
      </c>
      <c r="P305" s="205">
        <v>26176012.2</v>
      </c>
      <c r="Q305" s="205">
        <v>0</v>
      </c>
      <c r="R305" s="205">
        <v>0</v>
      </c>
      <c r="S305" s="205">
        <v>26176012</v>
      </c>
      <c r="T305" s="205">
        <v>0</v>
      </c>
      <c r="U305" s="205">
        <v>0</v>
      </c>
      <c r="V305" s="205">
        <v>0</v>
      </c>
      <c r="W305" s="205">
        <v>0</v>
      </c>
      <c r="X305" s="205">
        <v>0</v>
      </c>
      <c r="Y305" s="205">
        <v>0</v>
      </c>
      <c r="Z305" s="205">
        <v>0</v>
      </c>
      <c r="AA305" s="205">
        <v>0</v>
      </c>
      <c r="AB305" s="205">
        <v>0</v>
      </c>
      <c r="AC305" s="205">
        <v>0</v>
      </c>
      <c r="AD305" s="205">
        <v>0</v>
      </c>
    </row>
    <row r="306" spans="1:30" ht="12.75">
      <c r="A306" s="169">
        <v>299</v>
      </c>
      <c r="B306" s="172" t="s">
        <v>528</v>
      </c>
      <c r="C306" s="258" t="s">
        <v>529</v>
      </c>
      <c r="D306" s="205">
        <v>34976315.4</v>
      </c>
      <c r="E306" s="205">
        <v>0</v>
      </c>
      <c r="F306" s="205">
        <v>0</v>
      </c>
      <c r="G306" s="205">
        <v>34976315.4</v>
      </c>
      <c r="H306" s="205">
        <v>187000</v>
      </c>
      <c r="I306" s="205">
        <v>0</v>
      </c>
      <c r="J306" s="205">
        <v>0</v>
      </c>
      <c r="K306" s="205">
        <v>187000</v>
      </c>
      <c r="L306" s="205">
        <v>300000</v>
      </c>
      <c r="M306" s="205">
        <v>0</v>
      </c>
      <c r="N306" s="205">
        <v>0</v>
      </c>
      <c r="O306" s="205">
        <v>300000</v>
      </c>
      <c r="P306" s="205">
        <v>34489315.4</v>
      </c>
      <c r="Q306" s="205">
        <v>0</v>
      </c>
      <c r="R306" s="205">
        <v>0</v>
      </c>
      <c r="S306" s="205">
        <v>34489315.4</v>
      </c>
      <c r="T306" s="205">
        <v>0</v>
      </c>
      <c r="U306" s="205">
        <v>0</v>
      </c>
      <c r="V306" s="205">
        <v>0</v>
      </c>
      <c r="W306" s="205">
        <v>0</v>
      </c>
      <c r="X306" s="205">
        <v>0</v>
      </c>
      <c r="Y306" s="205">
        <v>0</v>
      </c>
      <c r="Z306" s="205">
        <v>0</v>
      </c>
      <c r="AA306" s="205">
        <v>0</v>
      </c>
      <c r="AB306" s="205">
        <v>0</v>
      </c>
      <c r="AC306" s="205">
        <v>0</v>
      </c>
      <c r="AD306" s="205">
        <v>0</v>
      </c>
    </row>
    <row r="307" spans="1:30" ht="12.75">
      <c r="A307" s="169">
        <v>300</v>
      </c>
      <c r="B307" s="172" t="s">
        <v>530</v>
      </c>
      <c r="C307" s="258" t="s">
        <v>531</v>
      </c>
      <c r="D307" s="205">
        <v>29124596</v>
      </c>
      <c r="E307" s="205">
        <v>0</v>
      </c>
      <c r="F307" s="205">
        <v>0</v>
      </c>
      <c r="G307" s="205">
        <v>29124596</v>
      </c>
      <c r="H307" s="205">
        <v>262121</v>
      </c>
      <c r="I307" s="205">
        <v>0</v>
      </c>
      <c r="J307" s="205">
        <v>0</v>
      </c>
      <c r="K307" s="205">
        <v>262121</v>
      </c>
      <c r="L307" s="205">
        <v>116440</v>
      </c>
      <c r="M307" s="205">
        <v>0</v>
      </c>
      <c r="N307" s="205">
        <v>0</v>
      </c>
      <c r="O307" s="205">
        <v>116440</v>
      </c>
      <c r="P307" s="205">
        <v>28746035</v>
      </c>
      <c r="Q307" s="205">
        <v>0</v>
      </c>
      <c r="R307" s="205">
        <v>0</v>
      </c>
      <c r="S307" s="205">
        <v>28746035</v>
      </c>
      <c r="T307" s="205">
        <v>0</v>
      </c>
      <c r="U307" s="205">
        <v>0</v>
      </c>
      <c r="V307" s="205">
        <v>0</v>
      </c>
      <c r="W307" s="205">
        <v>0</v>
      </c>
      <c r="X307" s="205">
        <v>0</v>
      </c>
      <c r="Y307" s="205">
        <v>0</v>
      </c>
      <c r="Z307" s="205">
        <v>0</v>
      </c>
      <c r="AA307" s="205">
        <v>0</v>
      </c>
      <c r="AB307" s="205">
        <v>0</v>
      </c>
      <c r="AC307" s="205">
        <v>0</v>
      </c>
      <c r="AD307" s="205">
        <v>0</v>
      </c>
    </row>
    <row r="308" spans="1:30" ht="12.75">
      <c r="A308" s="169">
        <v>301</v>
      </c>
      <c r="B308" s="172" t="s">
        <v>532</v>
      </c>
      <c r="C308" s="258" t="s">
        <v>533</v>
      </c>
      <c r="D308" s="205">
        <v>30443249.3</v>
      </c>
      <c r="E308" s="205">
        <v>0</v>
      </c>
      <c r="F308" s="205">
        <v>0</v>
      </c>
      <c r="G308" s="205">
        <v>30443249.3</v>
      </c>
      <c r="H308" s="205">
        <v>182032.82</v>
      </c>
      <c r="I308" s="205">
        <v>0</v>
      </c>
      <c r="J308" s="205">
        <v>0</v>
      </c>
      <c r="K308" s="205">
        <v>182032.82</v>
      </c>
      <c r="L308" s="205">
        <v>48271</v>
      </c>
      <c r="M308" s="205">
        <v>0</v>
      </c>
      <c r="N308" s="205">
        <v>0</v>
      </c>
      <c r="O308" s="205">
        <v>48271</v>
      </c>
      <c r="P308" s="205">
        <v>30212945.5</v>
      </c>
      <c r="Q308" s="205">
        <v>0</v>
      </c>
      <c r="R308" s="205">
        <v>0</v>
      </c>
      <c r="S308" s="205">
        <v>30212945.5</v>
      </c>
      <c r="T308" s="205">
        <v>0</v>
      </c>
      <c r="U308" s="205">
        <v>0</v>
      </c>
      <c r="V308" s="205">
        <v>0</v>
      </c>
      <c r="W308" s="205">
        <v>0</v>
      </c>
      <c r="X308" s="205">
        <v>0</v>
      </c>
      <c r="Y308" s="205">
        <v>0</v>
      </c>
      <c r="Z308" s="205">
        <v>0</v>
      </c>
      <c r="AA308" s="205">
        <v>0</v>
      </c>
      <c r="AB308" s="205">
        <v>0</v>
      </c>
      <c r="AC308" s="205">
        <v>0</v>
      </c>
      <c r="AD308" s="205">
        <v>0</v>
      </c>
    </row>
    <row r="309" spans="1:30" ht="12.75">
      <c r="A309" s="169">
        <v>302</v>
      </c>
      <c r="B309" s="172" t="s">
        <v>534</v>
      </c>
      <c r="C309" s="258" t="s">
        <v>535</v>
      </c>
      <c r="D309" s="205">
        <v>56177845</v>
      </c>
      <c r="E309" s="205">
        <v>0</v>
      </c>
      <c r="F309" s="205">
        <v>0</v>
      </c>
      <c r="G309" s="205">
        <v>56177845</v>
      </c>
      <c r="H309" s="205">
        <v>505690</v>
      </c>
      <c r="I309" s="205">
        <v>0</v>
      </c>
      <c r="J309" s="205">
        <v>0</v>
      </c>
      <c r="K309" s="205">
        <v>505690</v>
      </c>
      <c r="L309" s="205">
        <v>749616</v>
      </c>
      <c r="M309" s="205">
        <v>0</v>
      </c>
      <c r="N309" s="205">
        <v>0</v>
      </c>
      <c r="O309" s="205">
        <v>749616</v>
      </c>
      <c r="P309" s="205">
        <v>54922539</v>
      </c>
      <c r="Q309" s="205">
        <v>0</v>
      </c>
      <c r="R309" s="205">
        <v>0</v>
      </c>
      <c r="S309" s="205">
        <v>54922539</v>
      </c>
      <c r="T309" s="205">
        <v>0</v>
      </c>
      <c r="U309" s="205">
        <v>0</v>
      </c>
      <c r="V309" s="205">
        <v>0</v>
      </c>
      <c r="W309" s="205">
        <v>0</v>
      </c>
      <c r="X309" s="205">
        <v>0</v>
      </c>
      <c r="Y309" s="205">
        <v>0</v>
      </c>
      <c r="Z309" s="205">
        <v>0</v>
      </c>
      <c r="AA309" s="205">
        <v>0</v>
      </c>
      <c r="AB309" s="205">
        <v>0</v>
      </c>
      <c r="AC309" s="205">
        <v>0</v>
      </c>
      <c r="AD309" s="205">
        <v>0</v>
      </c>
    </row>
    <row r="310" spans="1:30" ht="12.75">
      <c r="A310" s="169">
        <v>303</v>
      </c>
      <c r="B310" s="172" t="s">
        <v>536</v>
      </c>
      <c r="C310" s="258" t="s">
        <v>537</v>
      </c>
      <c r="D310" s="205">
        <v>84832945</v>
      </c>
      <c r="E310" s="205">
        <v>0</v>
      </c>
      <c r="F310" s="205">
        <v>0</v>
      </c>
      <c r="G310" s="205">
        <v>84832945</v>
      </c>
      <c r="H310" s="205">
        <v>91414</v>
      </c>
      <c r="I310" s="205">
        <v>0</v>
      </c>
      <c r="J310" s="205">
        <v>0</v>
      </c>
      <c r="K310" s="205">
        <v>91414</v>
      </c>
      <c r="L310" s="205">
        <v>1285000</v>
      </c>
      <c r="M310" s="205">
        <v>0</v>
      </c>
      <c r="N310" s="205">
        <v>0</v>
      </c>
      <c r="O310" s="205">
        <v>1285000</v>
      </c>
      <c r="P310" s="205">
        <v>83456531</v>
      </c>
      <c r="Q310" s="205">
        <v>0</v>
      </c>
      <c r="R310" s="205">
        <v>0</v>
      </c>
      <c r="S310" s="205">
        <v>83456531</v>
      </c>
      <c r="T310" s="205">
        <v>0</v>
      </c>
      <c r="U310" s="205">
        <v>0</v>
      </c>
      <c r="V310" s="205">
        <v>0</v>
      </c>
      <c r="W310" s="205">
        <v>0</v>
      </c>
      <c r="X310" s="205">
        <v>0</v>
      </c>
      <c r="Y310" s="205">
        <v>0</v>
      </c>
      <c r="Z310" s="205">
        <v>0</v>
      </c>
      <c r="AA310" s="205">
        <v>0</v>
      </c>
      <c r="AB310" s="205">
        <v>0</v>
      </c>
      <c r="AC310" s="205">
        <v>0</v>
      </c>
      <c r="AD310" s="205">
        <v>0</v>
      </c>
    </row>
    <row r="311" spans="1:30" ht="12.75">
      <c r="A311" s="169">
        <v>304</v>
      </c>
      <c r="B311" s="172" t="s">
        <v>538</v>
      </c>
      <c r="C311" s="258" t="s">
        <v>539</v>
      </c>
      <c r="D311" s="205">
        <v>10412579</v>
      </c>
      <c r="E311" s="205">
        <v>0</v>
      </c>
      <c r="F311" s="205">
        <v>0</v>
      </c>
      <c r="G311" s="205">
        <v>10412579</v>
      </c>
      <c r="H311" s="205">
        <v>230000</v>
      </c>
      <c r="I311" s="205">
        <v>0</v>
      </c>
      <c r="J311" s="205">
        <v>0</v>
      </c>
      <c r="K311" s="205">
        <v>230000</v>
      </c>
      <c r="L311" s="205">
        <v>82405</v>
      </c>
      <c r="M311" s="205">
        <v>0</v>
      </c>
      <c r="N311" s="205">
        <v>0</v>
      </c>
      <c r="O311" s="205">
        <v>82405</v>
      </c>
      <c r="P311" s="205">
        <v>10100174</v>
      </c>
      <c r="Q311" s="205">
        <v>0</v>
      </c>
      <c r="R311" s="205">
        <v>0</v>
      </c>
      <c r="S311" s="205">
        <v>10100174</v>
      </c>
      <c r="T311" s="205">
        <v>0</v>
      </c>
      <c r="U311" s="205">
        <v>0</v>
      </c>
      <c r="V311" s="205">
        <v>0</v>
      </c>
      <c r="W311" s="205">
        <v>0</v>
      </c>
      <c r="X311" s="205">
        <v>0</v>
      </c>
      <c r="Y311" s="205">
        <v>0</v>
      </c>
      <c r="Z311" s="205">
        <v>0</v>
      </c>
      <c r="AA311" s="205">
        <v>0</v>
      </c>
      <c r="AB311" s="205">
        <v>0</v>
      </c>
      <c r="AC311" s="205">
        <v>0</v>
      </c>
      <c r="AD311" s="205">
        <v>0</v>
      </c>
    </row>
    <row r="312" spans="1:30" ht="12.75">
      <c r="A312" s="169">
        <v>305</v>
      </c>
      <c r="B312" s="172" t="s">
        <v>540</v>
      </c>
      <c r="C312" s="258" t="s">
        <v>541</v>
      </c>
      <c r="D312" s="205">
        <v>29861180.3</v>
      </c>
      <c r="E312" s="205">
        <v>0</v>
      </c>
      <c r="F312" s="205">
        <v>0</v>
      </c>
      <c r="G312" s="205">
        <v>29861180.3</v>
      </c>
      <c r="H312" s="205">
        <v>1195900</v>
      </c>
      <c r="I312" s="205">
        <v>0</v>
      </c>
      <c r="J312" s="205">
        <v>0</v>
      </c>
      <c r="K312" s="205">
        <v>1195900</v>
      </c>
      <c r="L312" s="205">
        <v>1633227</v>
      </c>
      <c r="M312" s="205">
        <v>0</v>
      </c>
      <c r="N312" s="205">
        <v>0</v>
      </c>
      <c r="O312" s="205">
        <v>1633227</v>
      </c>
      <c r="P312" s="205">
        <v>27032053.3</v>
      </c>
      <c r="Q312" s="205">
        <v>0</v>
      </c>
      <c r="R312" s="205">
        <v>0</v>
      </c>
      <c r="S312" s="205">
        <v>27032053.3</v>
      </c>
      <c r="T312" s="205">
        <v>0</v>
      </c>
      <c r="U312" s="205">
        <v>0</v>
      </c>
      <c r="V312" s="205">
        <v>0</v>
      </c>
      <c r="W312" s="205">
        <v>0</v>
      </c>
      <c r="X312" s="205">
        <v>0</v>
      </c>
      <c r="Y312" s="205">
        <v>0</v>
      </c>
      <c r="Z312" s="205">
        <v>0</v>
      </c>
      <c r="AA312" s="205">
        <v>0</v>
      </c>
      <c r="AB312" s="205">
        <v>0</v>
      </c>
      <c r="AC312" s="205">
        <v>0</v>
      </c>
      <c r="AD312" s="205">
        <v>0</v>
      </c>
    </row>
    <row r="313" spans="1:30" ht="12.75">
      <c r="A313" s="169">
        <v>306</v>
      </c>
      <c r="B313" s="172" t="s">
        <v>542</v>
      </c>
      <c r="C313" s="258" t="s">
        <v>543</v>
      </c>
      <c r="D313" s="205">
        <v>31029663</v>
      </c>
      <c r="E313" s="205">
        <v>0</v>
      </c>
      <c r="F313" s="205">
        <v>0</v>
      </c>
      <c r="G313" s="205">
        <v>31029663</v>
      </c>
      <c r="H313" s="205">
        <v>620593</v>
      </c>
      <c r="I313" s="205">
        <v>0</v>
      </c>
      <c r="J313" s="205">
        <v>0</v>
      </c>
      <c r="K313" s="205">
        <v>620593</v>
      </c>
      <c r="L313" s="205">
        <v>420000</v>
      </c>
      <c r="M313" s="205">
        <v>0</v>
      </c>
      <c r="N313" s="205">
        <v>0</v>
      </c>
      <c r="O313" s="205">
        <v>420000</v>
      </c>
      <c r="P313" s="205">
        <v>29989070</v>
      </c>
      <c r="Q313" s="205">
        <v>0</v>
      </c>
      <c r="R313" s="205">
        <v>0</v>
      </c>
      <c r="S313" s="205">
        <v>29989070</v>
      </c>
      <c r="T313" s="205">
        <v>0</v>
      </c>
      <c r="U313" s="205">
        <v>0</v>
      </c>
      <c r="V313" s="205">
        <v>0</v>
      </c>
      <c r="W313" s="205">
        <v>0</v>
      </c>
      <c r="X313" s="205">
        <v>0</v>
      </c>
      <c r="Y313" s="205">
        <v>0</v>
      </c>
      <c r="Z313" s="205">
        <v>0</v>
      </c>
      <c r="AA313" s="205">
        <v>0</v>
      </c>
      <c r="AB313" s="205">
        <v>0</v>
      </c>
      <c r="AC313" s="205">
        <v>0</v>
      </c>
      <c r="AD313" s="205">
        <v>0</v>
      </c>
    </row>
    <row r="314" spans="1:30" ht="12.75">
      <c r="A314" s="169">
        <v>307</v>
      </c>
      <c r="B314" s="172" t="s">
        <v>544</v>
      </c>
      <c r="C314" s="258" t="s">
        <v>545</v>
      </c>
      <c r="D314" s="205">
        <v>16914537</v>
      </c>
      <c r="E314" s="205">
        <v>0</v>
      </c>
      <c r="F314" s="205">
        <v>0</v>
      </c>
      <c r="G314" s="205">
        <v>16914537</v>
      </c>
      <c r="H314" s="205">
        <v>175000</v>
      </c>
      <c r="I314" s="205">
        <v>0</v>
      </c>
      <c r="J314" s="205">
        <v>0</v>
      </c>
      <c r="K314" s="205">
        <v>175000</v>
      </c>
      <c r="L314" s="205">
        <v>469272</v>
      </c>
      <c r="M314" s="205">
        <v>0</v>
      </c>
      <c r="N314" s="205">
        <v>0</v>
      </c>
      <c r="O314" s="205">
        <v>469272</v>
      </c>
      <c r="P314" s="205">
        <v>16270265</v>
      </c>
      <c r="Q314" s="205">
        <v>0</v>
      </c>
      <c r="R314" s="205">
        <v>0</v>
      </c>
      <c r="S314" s="205">
        <v>16270265</v>
      </c>
      <c r="T314" s="205">
        <v>0</v>
      </c>
      <c r="U314" s="205">
        <v>0</v>
      </c>
      <c r="V314" s="205">
        <v>0</v>
      </c>
      <c r="W314" s="205">
        <v>0</v>
      </c>
      <c r="X314" s="205">
        <v>0</v>
      </c>
      <c r="Y314" s="205">
        <v>0</v>
      </c>
      <c r="Z314" s="205">
        <v>0</v>
      </c>
      <c r="AA314" s="205">
        <v>0</v>
      </c>
      <c r="AB314" s="205">
        <v>0</v>
      </c>
      <c r="AC314" s="205">
        <v>0</v>
      </c>
      <c r="AD314" s="205">
        <v>0</v>
      </c>
    </row>
    <row r="315" spans="1:30" ht="12.75">
      <c r="A315" s="169">
        <v>308</v>
      </c>
      <c r="B315" s="172" t="s">
        <v>546</v>
      </c>
      <c r="C315" s="258" t="s">
        <v>547</v>
      </c>
      <c r="D315" s="205">
        <v>33100932</v>
      </c>
      <c r="E315" s="205">
        <v>0</v>
      </c>
      <c r="F315" s="205">
        <v>0</v>
      </c>
      <c r="G315" s="205">
        <v>33100932</v>
      </c>
      <c r="H315" s="205">
        <v>200000</v>
      </c>
      <c r="I315" s="205">
        <v>0</v>
      </c>
      <c r="J315" s="205">
        <v>0</v>
      </c>
      <c r="K315" s="205">
        <v>200000</v>
      </c>
      <c r="L315" s="205">
        <v>357655</v>
      </c>
      <c r="M315" s="205">
        <v>0</v>
      </c>
      <c r="N315" s="205">
        <v>0</v>
      </c>
      <c r="O315" s="205">
        <v>357655</v>
      </c>
      <c r="P315" s="205">
        <v>32543277</v>
      </c>
      <c r="Q315" s="205">
        <v>0</v>
      </c>
      <c r="R315" s="205">
        <v>0</v>
      </c>
      <c r="S315" s="205">
        <v>32543277</v>
      </c>
      <c r="T315" s="205">
        <v>0</v>
      </c>
      <c r="U315" s="205">
        <v>0</v>
      </c>
      <c r="V315" s="205">
        <v>0</v>
      </c>
      <c r="W315" s="205">
        <v>0</v>
      </c>
      <c r="X315" s="205">
        <v>0</v>
      </c>
      <c r="Y315" s="205">
        <v>0</v>
      </c>
      <c r="Z315" s="205">
        <v>0</v>
      </c>
      <c r="AA315" s="205">
        <v>0</v>
      </c>
      <c r="AB315" s="205">
        <v>0</v>
      </c>
      <c r="AC315" s="205">
        <v>0</v>
      </c>
      <c r="AD315" s="205">
        <v>0</v>
      </c>
    </row>
    <row r="316" spans="1:30" ht="12.75">
      <c r="A316" s="169">
        <v>309</v>
      </c>
      <c r="B316" s="172" t="s">
        <v>548</v>
      </c>
      <c r="C316" s="258" t="s">
        <v>549</v>
      </c>
      <c r="D316" s="205">
        <v>12549096</v>
      </c>
      <c r="E316" s="205">
        <v>0</v>
      </c>
      <c r="F316" s="205">
        <v>0</v>
      </c>
      <c r="G316" s="205">
        <v>12549096</v>
      </c>
      <c r="H316" s="205">
        <v>100000</v>
      </c>
      <c r="I316" s="205">
        <v>0</v>
      </c>
      <c r="J316" s="205">
        <v>0</v>
      </c>
      <c r="K316" s="205">
        <v>100000</v>
      </c>
      <c r="L316" s="205">
        <v>627500</v>
      </c>
      <c r="M316" s="205">
        <v>0</v>
      </c>
      <c r="N316" s="205">
        <v>0</v>
      </c>
      <c r="O316" s="205">
        <v>627500</v>
      </c>
      <c r="P316" s="205">
        <v>11821596</v>
      </c>
      <c r="Q316" s="205">
        <v>0</v>
      </c>
      <c r="R316" s="205">
        <v>0</v>
      </c>
      <c r="S316" s="205">
        <v>11821596</v>
      </c>
      <c r="T316" s="205">
        <v>0</v>
      </c>
      <c r="U316" s="205">
        <v>0</v>
      </c>
      <c r="V316" s="205">
        <v>0</v>
      </c>
      <c r="W316" s="205">
        <v>0</v>
      </c>
      <c r="X316" s="205">
        <v>0</v>
      </c>
      <c r="Y316" s="205">
        <v>0</v>
      </c>
      <c r="Z316" s="205">
        <v>0</v>
      </c>
      <c r="AA316" s="205">
        <v>0</v>
      </c>
      <c r="AB316" s="205">
        <v>0</v>
      </c>
      <c r="AC316" s="205">
        <v>0</v>
      </c>
      <c r="AD316" s="205">
        <v>0</v>
      </c>
    </row>
    <row r="317" spans="1:30" ht="12.75">
      <c r="A317" s="169">
        <v>310</v>
      </c>
      <c r="B317" s="172" t="s">
        <v>550</v>
      </c>
      <c r="C317" s="258" t="s">
        <v>551</v>
      </c>
      <c r="D317" s="205">
        <v>1818083691</v>
      </c>
      <c r="E317" s="205">
        <v>0</v>
      </c>
      <c r="F317" s="205">
        <v>0</v>
      </c>
      <c r="G317" s="205">
        <v>1818083691</v>
      </c>
      <c r="H317" s="205">
        <v>23674088</v>
      </c>
      <c r="I317" s="205">
        <v>0</v>
      </c>
      <c r="J317" s="205">
        <v>0</v>
      </c>
      <c r="K317" s="205">
        <v>23674088</v>
      </c>
      <c r="L317" s="205">
        <v>51172801</v>
      </c>
      <c r="M317" s="205">
        <v>0</v>
      </c>
      <c r="N317" s="205">
        <v>0</v>
      </c>
      <c r="O317" s="205">
        <v>51172801</v>
      </c>
      <c r="P317" s="205">
        <v>1743236802</v>
      </c>
      <c r="Q317" s="205">
        <v>0</v>
      </c>
      <c r="R317" s="205">
        <v>0</v>
      </c>
      <c r="S317" s="205">
        <v>1743236802</v>
      </c>
      <c r="T317" s="205">
        <v>0</v>
      </c>
      <c r="U317" s="205">
        <v>0</v>
      </c>
      <c r="V317" s="205">
        <v>0</v>
      </c>
      <c r="W317" s="205">
        <v>0</v>
      </c>
      <c r="X317" s="205">
        <v>0</v>
      </c>
      <c r="Y317" s="205">
        <v>0</v>
      </c>
      <c r="Z317" s="205">
        <v>0</v>
      </c>
      <c r="AA317" s="205">
        <v>0</v>
      </c>
      <c r="AB317" s="205">
        <v>0</v>
      </c>
      <c r="AC317" s="205">
        <v>0</v>
      </c>
      <c r="AD317" s="205">
        <v>0</v>
      </c>
    </row>
    <row r="318" spans="1:30" ht="12.75">
      <c r="A318" s="169">
        <v>311</v>
      </c>
      <c r="B318" s="172" t="s">
        <v>552</v>
      </c>
      <c r="C318" s="258" t="s">
        <v>553</v>
      </c>
      <c r="D318" s="205">
        <v>16572840.8</v>
      </c>
      <c r="E318" s="205">
        <v>0</v>
      </c>
      <c r="F318" s="205">
        <v>0</v>
      </c>
      <c r="G318" s="205">
        <v>16572840.8</v>
      </c>
      <c r="H318" s="205">
        <v>663700</v>
      </c>
      <c r="I318" s="205">
        <v>0</v>
      </c>
      <c r="J318" s="205">
        <v>0</v>
      </c>
      <c r="K318" s="205">
        <v>663700</v>
      </c>
      <c r="L318" s="205">
        <v>911631</v>
      </c>
      <c r="M318" s="205">
        <v>0</v>
      </c>
      <c r="N318" s="205">
        <v>0</v>
      </c>
      <c r="O318" s="205">
        <v>911631</v>
      </c>
      <c r="P318" s="205">
        <v>14997509.8</v>
      </c>
      <c r="Q318" s="205">
        <v>0</v>
      </c>
      <c r="R318" s="205">
        <v>0</v>
      </c>
      <c r="S318" s="205">
        <v>14997509.8</v>
      </c>
      <c r="T318" s="205">
        <v>0</v>
      </c>
      <c r="U318" s="205">
        <v>0</v>
      </c>
      <c r="V318" s="205">
        <v>0</v>
      </c>
      <c r="W318" s="205">
        <v>0</v>
      </c>
      <c r="X318" s="205">
        <v>0</v>
      </c>
      <c r="Y318" s="205">
        <v>0</v>
      </c>
      <c r="Z318" s="205">
        <v>0</v>
      </c>
      <c r="AA318" s="205">
        <v>0</v>
      </c>
      <c r="AB318" s="205">
        <v>0</v>
      </c>
      <c r="AC318" s="205">
        <v>0</v>
      </c>
      <c r="AD318" s="205">
        <v>0</v>
      </c>
    </row>
    <row r="319" spans="1:30" ht="12.75">
      <c r="A319" s="169">
        <v>312</v>
      </c>
      <c r="B319" s="172" t="s">
        <v>554</v>
      </c>
      <c r="C319" s="258" t="s">
        <v>555</v>
      </c>
      <c r="D319" s="205">
        <v>86083305</v>
      </c>
      <c r="E319" s="205">
        <v>0</v>
      </c>
      <c r="F319" s="205">
        <v>0</v>
      </c>
      <c r="G319" s="205">
        <v>86083305</v>
      </c>
      <c r="H319" s="205">
        <v>860833</v>
      </c>
      <c r="I319" s="205">
        <v>0</v>
      </c>
      <c r="J319" s="205">
        <v>0</v>
      </c>
      <c r="K319" s="205">
        <v>860833</v>
      </c>
      <c r="L319" s="205">
        <v>1104284</v>
      </c>
      <c r="M319" s="205">
        <v>0</v>
      </c>
      <c r="N319" s="205">
        <v>0</v>
      </c>
      <c r="O319" s="205">
        <v>1104284</v>
      </c>
      <c r="P319" s="205">
        <v>84118188</v>
      </c>
      <c r="Q319" s="205">
        <v>0</v>
      </c>
      <c r="R319" s="205">
        <v>0</v>
      </c>
      <c r="S319" s="205">
        <v>84118188</v>
      </c>
      <c r="T319" s="205">
        <v>0</v>
      </c>
      <c r="U319" s="205">
        <v>0</v>
      </c>
      <c r="V319" s="205">
        <v>0</v>
      </c>
      <c r="W319" s="205">
        <v>0</v>
      </c>
      <c r="X319" s="205">
        <v>0</v>
      </c>
      <c r="Y319" s="205">
        <v>0</v>
      </c>
      <c r="Z319" s="205">
        <v>0</v>
      </c>
      <c r="AA319" s="205">
        <v>0</v>
      </c>
      <c r="AB319" s="205">
        <v>0</v>
      </c>
      <c r="AC319" s="205">
        <v>0</v>
      </c>
      <c r="AD319" s="205">
        <v>0</v>
      </c>
    </row>
    <row r="320" spans="1:30" ht="12.75">
      <c r="A320" s="169">
        <v>313</v>
      </c>
      <c r="B320" s="172" t="s">
        <v>556</v>
      </c>
      <c r="C320" s="258" t="s">
        <v>557</v>
      </c>
      <c r="D320" s="205">
        <v>147216898</v>
      </c>
      <c r="E320" s="205">
        <v>0</v>
      </c>
      <c r="F320" s="205">
        <v>0</v>
      </c>
      <c r="G320" s="205">
        <v>147216898</v>
      </c>
      <c r="H320" s="205">
        <v>1231644</v>
      </c>
      <c r="I320" s="205">
        <v>0</v>
      </c>
      <c r="J320" s="205">
        <v>0</v>
      </c>
      <c r="K320" s="205">
        <v>1231644</v>
      </c>
      <c r="L320" s="205">
        <v>3312380</v>
      </c>
      <c r="M320" s="205">
        <v>0</v>
      </c>
      <c r="N320" s="205">
        <v>0</v>
      </c>
      <c r="O320" s="205">
        <v>3312380</v>
      </c>
      <c r="P320" s="205">
        <v>142672874</v>
      </c>
      <c r="Q320" s="205">
        <v>0</v>
      </c>
      <c r="R320" s="205">
        <v>0</v>
      </c>
      <c r="S320" s="205">
        <v>142672874</v>
      </c>
      <c r="T320" s="205">
        <v>255473</v>
      </c>
      <c r="U320" s="205">
        <v>0</v>
      </c>
      <c r="V320" s="205">
        <v>0</v>
      </c>
      <c r="W320" s="205">
        <v>255473</v>
      </c>
      <c r="X320" s="205">
        <v>0</v>
      </c>
      <c r="Y320" s="205">
        <v>0</v>
      </c>
      <c r="Z320" s="205">
        <v>0</v>
      </c>
      <c r="AA320" s="205">
        <v>0</v>
      </c>
      <c r="AB320" s="205">
        <v>0</v>
      </c>
      <c r="AC320" s="205">
        <v>0</v>
      </c>
      <c r="AD320" s="205">
        <v>255473</v>
      </c>
    </row>
    <row r="321" spans="1:30" ht="12.75">
      <c r="A321" s="169">
        <v>314</v>
      </c>
      <c r="B321" s="172" t="s">
        <v>558</v>
      </c>
      <c r="C321" s="258" t="s">
        <v>559</v>
      </c>
      <c r="D321" s="205">
        <v>55750607.7</v>
      </c>
      <c r="E321" s="205">
        <v>0</v>
      </c>
      <c r="F321" s="205">
        <v>0</v>
      </c>
      <c r="G321" s="205">
        <v>55750607.7</v>
      </c>
      <c r="H321" s="205">
        <v>557506.08</v>
      </c>
      <c r="I321" s="205">
        <v>0</v>
      </c>
      <c r="J321" s="205">
        <v>0</v>
      </c>
      <c r="K321" s="205">
        <v>557506.08</v>
      </c>
      <c r="L321" s="205">
        <v>2787530.39</v>
      </c>
      <c r="M321" s="205">
        <v>0</v>
      </c>
      <c r="N321" s="205">
        <v>0</v>
      </c>
      <c r="O321" s="205">
        <v>2787530.39</v>
      </c>
      <c r="P321" s="205">
        <v>52405571.3</v>
      </c>
      <c r="Q321" s="205">
        <v>0</v>
      </c>
      <c r="R321" s="205">
        <v>0</v>
      </c>
      <c r="S321" s="205">
        <v>52405571.3</v>
      </c>
      <c r="T321" s="205">
        <v>0</v>
      </c>
      <c r="U321" s="205">
        <v>0</v>
      </c>
      <c r="V321" s="205">
        <v>0</v>
      </c>
      <c r="W321" s="205">
        <v>0</v>
      </c>
      <c r="X321" s="205">
        <v>0</v>
      </c>
      <c r="Y321" s="205">
        <v>0</v>
      </c>
      <c r="Z321" s="205">
        <v>0</v>
      </c>
      <c r="AA321" s="205">
        <v>0</v>
      </c>
      <c r="AB321" s="205">
        <v>0</v>
      </c>
      <c r="AC321" s="205">
        <v>0</v>
      </c>
      <c r="AD321" s="205">
        <v>0</v>
      </c>
    </row>
    <row r="322" spans="1:30" ht="12.75">
      <c r="A322" s="169">
        <v>315</v>
      </c>
      <c r="B322" s="172" t="s">
        <v>560</v>
      </c>
      <c r="C322" s="258" t="s">
        <v>561</v>
      </c>
      <c r="D322" s="205">
        <v>76279023.4</v>
      </c>
      <c r="E322" s="205">
        <v>0</v>
      </c>
      <c r="F322" s="205">
        <v>0</v>
      </c>
      <c r="G322" s="205">
        <v>76279023.4</v>
      </c>
      <c r="H322" s="205">
        <v>1525580</v>
      </c>
      <c r="I322" s="205">
        <v>0</v>
      </c>
      <c r="J322" s="205">
        <v>0</v>
      </c>
      <c r="K322" s="205">
        <v>1525580</v>
      </c>
      <c r="L322" s="205">
        <v>1700000</v>
      </c>
      <c r="M322" s="205">
        <v>0</v>
      </c>
      <c r="N322" s="205">
        <v>0</v>
      </c>
      <c r="O322" s="205">
        <v>1700000</v>
      </c>
      <c r="P322" s="205">
        <v>73053443.4</v>
      </c>
      <c r="Q322" s="205">
        <v>0</v>
      </c>
      <c r="R322" s="205">
        <v>0</v>
      </c>
      <c r="S322" s="205">
        <v>73053443.4</v>
      </c>
      <c r="T322" s="205">
        <v>0</v>
      </c>
      <c r="U322" s="205">
        <v>0</v>
      </c>
      <c r="V322" s="205">
        <v>0</v>
      </c>
      <c r="W322" s="205">
        <v>0</v>
      </c>
      <c r="X322" s="205">
        <v>0</v>
      </c>
      <c r="Y322" s="205">
        <v>0</v>
      </c>
      <c r="Z322" s="205">
        <v>0</v>
      </c>
      <c r="AA322" s="205">
        <v>0</v>
      </c>
      <c r="AB322" s="205">
        <v>0</v>
      </c>
      <c r="AC322" s="205">
        <v>0</v>
      </c>
      <c r="AD322" s="205">
        <v>0</v>
      </c>
    </row>
    <row r="323" spans="1:30" ht="12.75">
      <c r="A323" s="169">
        <v>316</v>
      </c>
      <c r="B323" s="172" t="s">
        <v>562</v>
      </c>
      <c r="C323" s="258" t="s">
        <v>563</v>
      </c>
      <c r="D323" s="205">
        <v>71067296</v>
      </c>
      <c r="E323" s="205">
        <v>0</v>
      </c>
      <c r="F323" s="205">
        <v>0</v>
      </c>
      <c r="G323" s="205">
        <v>71067296</v>
      </c>
      <c r="H323" s="205">
        <v>2123501</v>
      </c>
      <c r="I323" s="205">
        <v>0</v>
      </c>
      <c r="J323" s="205">
        <v>0</v>
      </c>
      <c r="K323" s="205">
        <v>2123501</v>
      </c>
      <c r="L323" s="205">
        <v>1583944</v>
      </c>
      <c r="M323" s="205">
        <v>0</v>
      </c>
      <c r="N323" s="205">
        <v>0</v>
      </c>
      <c r="O323" s="205">
        <v>1583944</v>
      </c>
      <c r="P323" s="205">
        <v>67359851</v>
      </c>
      <c r="Q323" s="205">
        <v>0</v>
      </c>
      <c r="R323" s="205">
        <v>0</v>
      </c>
      <c r="S323" s="205">
        <v>67359851</v>
      </c>
      <c r="T323" s="205">
        <v>0</v>
      </c>
      <c r="U323" s="205">
        <v>0</v>
      </c>
      <c r="V323" s="205">
        <v>0</v>
      </c>
      <c r="W323" s="205">
        <v>0</v>
      </c>
      <c r="X323" s="205">
        <v>0</v>
      </c>
      <c r="Y323" s="205">
        <v>0</v>
      </c>
      <c r="Z323" s="205">
        <v>0</v>
      </c>
      <c r="AA323" s="205">
        <v>0</v>
      </c>
      <c r="AB323" s="205">
        <v>0</v>
      </c>
      <c r="AC323" s="205">
        <v>0</v>
      </c>
      <c r="AD323" s="205">
        <v>0</v>
      </c>
    </row>
    <row r="324" spans="1:30" ht="12.75">
      <c r="A324" s="169">
        <v>317</v>
      </c>
      <c r="B324" s="172" t="s">
        <v>564</v>
      </c>
      <c r="C324" s="258" t="s">
        <v>565</v>
      </c>
      <c r="D324" s="205">
        <v>45446042</v>
      </c>
      <c r="E324" s="205">
        <v>0</v>
      </c>
      <c r="F324" s="205">
        <v>0</v>
      </c>
      <c r="G324" s="205">
        <v>45446042</v>
      </c>
      <c r="H324" s="205">
        <v>500000</v>
      </c>
      <c r="I324" s="205">
        <v>0</v>
      </c>
      <c r="J324" s="205">
        <v>0</v>
      </c>
      <c r="K324" s="205">
        <v>500000</v>
      </c>
      <c r="L324" s="205">
        <v>1952718</v>
      </c>
      <c r="M324" s="205">
        <v>0</v>
      </c>
      <c r="N324" s="205">
        <v>0</v>
      </c>
      <c r="O324" s="205">
        <v>1952718</v>
      </c>
      <c r="P324" s="205">
        <v>42993324</v>
      </c>
      <c r="Q324" s="205">
        <v>0</v>
      </c>
      <c r="R324" s="205">
        <v>0</v>
      </c>
      <c r="S324" s="205">
        <v>42993324</v>
      </c>
      <c r="T324" s="205">
        <v>0</v>
      </c>
      <c r="U324" s="205">
        <v>0</v>
      </c>
      <c r="V324" s="205">
        <v>0</v>
      </c>
      <c r="W324" s="205">
        <v>0</v>
      </c>
      <c r="X324" s="205">
        <v>0</v>
      </c>
      <c r="Y324" s="205">
        <v>0</v>
      </c>
      <c r="Z324" s="205">
        <v>0</v>
      </c>
      <c r="AA324" s="205">
        <v>0</v>
      </c>
      <c r="AB324" s="205">
        <v>0</v>
      </c>
      <c r="AC324" s="205">
        <v>0</v>
      </c>
      <c r="AD324" s="205">
        <v>0</v>
      </c>
    </row>
    <row r="325" spans="1:30" ht="12.75">
      <c r="A325" s="169">
        <v>318</v>
      </c>
      <c r="B325" s="172" t="s">
        <v>566</v>
      </c>
      <c r="C325" s="258" t="s">
        <v>567</v>
      </c>
      <c r="D325" s="205">
        <v>56411130</v>
      </c>
      <c r="E325" s="205">
        <v>0</v>
      </c>
      <c r="F325" s="205">
        <v>0</v>
      </c>
      <c r="G325" s="205">
        <v>56411130</v>
      </c>
      <c r="H325" s="205">
        <v>2612543</v>
      </c>
      <c r="I325" s="205">
        <v>0</v>
      </c>
      <c r="J325" s="205">
        <v>0</v>
      </c>
      <c r="K325" s="205">
        <v>2612543</v>
      </c>
      <c r="L325" s="205">
        <v>599016</v>
      </c>
      <c r="M325" s="205">
        <v>0</v>
      </c>
      <c r="N325" s="205">
        <v>0</v>
      </c>
      <c r="O325" s="205">
        <v>599016</v>
      </c>
      <c r="P325" s="205">
        <v>53199571</v>
      </c>
      <c r="Q325" s="205">
        <v>0</v>
      </c>
      <c r="R325" s="205">
        <v>0</v>
      </c>
      <c r="S325" s="205">
        <v>53199571</v>
      </c>
      <c r="T325" s="205">
        <v>0</v>
      </c>
      <c r="U325" s="205">
        <v>0</v>
      </c>
      <c r="V325" s="205">
        <v>0</v>
      </c>
      <c r="W325" s="205">
        <v>0</v>
      </c>
      <c r="X325" s="205">
        <v>0</v>
      </c>
      <c r="Y325" s="205">
        <v>0</v>
      </c>
      <c r="Z325" s="205">
        <v>0</v>
      </c>
      <c r="AA325" s="205">
        <v>0</v>
      </c>
      <c r="AB325" s="205">
        <v>0</v>
      </c>
      <c r="AC325" s="205">
        <v>0</v>
      </c>
      <c r="AD325" s="205">
        <v>0</v>
      </c>
    </row>
    <row r="326" spans="1:30" ht="12.75">
      <c r="A326" s="169">
        <v>319</v>
      </c>
      <c r="B326" s="172" t="s">
        <v>568</v>
      </c>
      <c r="C326" s="258" t="s">
        <v>569</v>
      </c>
      <c r="D326" s="205">
        <v>77572923.3</v>
      </c>
      <c r="E326" s="205">
        <v>0</v>
      </c>
      <c r="F326" s="205">
        <v>85369</v>
      </c>
      <c r="G326" s="205">
        <v>77658292.3</v>
      </c>
      <c r="H326" s="205">
        <v>1600000</v>
      </c>
      <c r="I326" s="205">
        <v>0</v>
      </c>
      <c r="J326" s="205">
        <v>0</v>
      </c>
      <c r="K326" s="205">
        <v>1600000</v>
      </c>
      <c r="L326" s="205">
        <v>1700000</v>
      </c>
      <c r="M326" s="205">
        <v>0</v>
      </c>
      <c r="N326" s="205">
        <v>0</v>
      </c>
      <c r="O326" s="205">
        <v>1700000</v>
      </c>
      <c r="P326" s="205">
        <v>74272923.3</v>
      </c>
      <c r="Q326" s="205">
        <v>0</v>
      </c>
      <c r="R326" s="205">
        <v>85369</v>
      </c>
      <c r="S326" s="205">
        <v>74358292.3</v>
      </c>
      <c r="T326" s="205">
        <v>0</v>
      </c>
      <c r="U326" s="205">
        <v>0</v>
      </c>
      <c r="V326" s="205">
        <v>0</v>
      </c>
      <c r="W326" s="205">
        <v>0</v>
      </c>
      <c r="X326" s="205">
        <v>0</v>
      </c>
      <c r="Y326" s="205">
        <v>0</v>
      </c>
      <c r="Z326" s="205">
        <v>0</v>
      </c>
      <c r="AA326" s="205">
        <v>83737</v>
      </c>
      <c r="AB326" s="205">
        <v>0</v>
      </c>
      <c r="AC326" s="205">
        <v>1632</v>
      </c>
      <c r="AD326" s="205">
        <v>0</v>
      </c>
    </row>
    <row r="327" spans="1:30" ht="12.75">
      <c r="A327" s="169">
        <v>320</v>
      </c>
      <c r="B327" s="172" t="s">
        <v>570</v>
      </c>
      <c r="C327" s="258" t="s">
        <v>571</v>
      </c>
      <c r="D327" s="205">
        <v>41276751</v>
      </c>
      <c r="E327" s="205">
        <v>0</v>
      </c>
      <c r="F327" s="205">
        <v>0</v>
      </c>
      <c r="G327" s="205">
        <v>41276751</v>
      </c>
      <c r="H327" s="205">
        <v>412767.51</v>
      </c>
      <c r="I327" s="205">
        <v>0</v>
      </c>
      <c r="J327" s="205">
        <v>0</v>
      </c>
      <c r="K327" s="205">
        <v>412767.51</v>
      </c>
      <c r="L327" s="205">
        <v>561440</v>
      </c>
      <c r="M327" s="205">
        <v>0</v>
      </c>
      <c r="N327" s="205">
        <v>0</v>
      </c>
      <c r="O327" s="205">
        <v>561440</v>
      </c>
      <c r="P327" s="205">
        <v>40302543.5</v>
      </c>
      <c r="Q327" s="205">
        <v>0</v>
      </c>
      <c r="R327" s="205">
        <v>0</v>
      </c>
      <c r="S327" s="205">
        <v>40302543.5</v>
      </c>
      <c r="T327" s="205">
        <v>0</v>
      </c>
      <c r="U327" s="205">
        <v>0</v>
      </c>
      <c r="V327" s="205">
        <v>0</v>
      </c>
      <c r="W327" s="205">
        <v>0</v>
      </c>
      <c r="X327" s="205">
        <v>0</v>
      </c>
      <c r="Y327" s="205">
        <v>0</v>
      </c>
      <c r="Z327" s="205">
        <v>0</v>
      </c>
      <c r="AA327" s="205">
        <v>0</v>
      </c>
      <c r="AB327" s="205">
        <v>0</v>
      </c>
      <c r="AC327" s="205">
        <v>0</v>
      </c>
      <c r="AD327" s="205">
        <v>0</v>
      </c>
    </row>
    <row r="328" spans="1:30" ht="12.75">
      <c r="A328" s="169">
        <v>321</v>
      </c>
      <c r="B328" s="172" t="s">
        <v>572</v>
      </c>
      <c r="C328" s="258" t="s">
        <v>573</v>
      </c>
      <c r="D328" s="205">
        <v>31148912</v>
      </c>
      <c r="E328" s="205">
        <v>0</v>
      </c>
      <c r="F328" s="205">
        <v>0</v>
      </c>
      <c r="G328" s="205">
        <v>31148912</v>
      </c>
      <c r="H328" s="205">
        <v>386000</v>
      </c>
      <c r="I328" s="205">
        <v>0</v>
      </c>
      <c r="J328" s="205">
        <v>0</v>
      </c>
      <c r="K328" s="205">
        <v>386000</v>
      </c>
      <c r="L328" s="205">
        <v>879600</v>
      </c>
      <c r="M328" s="205">
        <v>0</v>
      </c>
      <c r="N328" s="205">
        <v>0</v>
      </c>
      <c r="O328" s="205">
        <v>879600</v>
      </c>
      <c r="P328" s="205">
        <v>29883312</v>
      </c>
      <c r="Q328" s="205">
        <v>0</v>
      </c>
      <c r="R328" s="205">
        <v>0</v>
      </c>
      <c r="S328" s="205">
        <v>29883312</v>
      </c>
      <c r="T328" s="205">
        <v>0</v>
      </c>
      <c r="U328" s="205">
        <v>0</v>
      </c>
      <c r="V328" s="205">
        <v>0</v>
      </c>
      <c r="W328" s="205">
        <v>0</v>
      </c>
      <c r="X328" s="205">
        <v>0</v>
      </c>
      <c r="Y328" s="205">
        <v>0</v>
      </c>
      <c r="Z328" s="205">
        <v>0</v>
      </c>
      <c r="AA328" s="205">
        <v>0</v>
      </c>
      <c r="AB328" s="205">
        <v>0</v>
      </c>
      <c r="AC328" s="205">
        <v>0</v>
      </c>
      <c r="AD328" s="205">
        <v>0</v>
      </c>
    </row>
    <row r="329" spans="1:30" ht="12.75">
      <c r="A329" s="169">
        <v>322</v>
      </c>
      <c r="B329" s="172" t="s">
        <v>574</v>
      </c>
      <c r="C329" s="258" t="s">
        <v>575</v>
      </c>
      <c r="D329" s="205">
        <v>39872061</v>
      </c>
      <c r="E329" s="205">
        <v>0</v>
      </c>
      <c r="F329" s="205">
        <v>0</v>
      </c>
      <c r="G329" s="205">
        <v>39872061</v>
      </c>
      <c r="H329" s="205">
        <v>398720.61</v>
      </c>
      <c r="I329" s="205">
        <v>0</v>
      </c>
      <c r="J329" s="205">
        <v>0</v>
      </c>
      <c r="K329" s="205">
        <v>398720.61</v>
      </c>
      <c r="L329" s="205">
        <v>481056</v>
      </c>
      <c r="M329" s="205">
        <v>0</v>
      </c>
      <c r="N329" s="205">
        <v>0</v>
      </c>
      <c r="O329" s="205">
        <v>481056</v>
      </c>
      <c r="P329" s="205">
        <v>38992284.4</v>
      </c>
      <c r="Q329" s="205">
        <v>0</v>
      </c>
      <c r="R329" s="205">
        <v>0</v>
      </c>
      <c r="S329" s="205">
        <v>38992284.4</v>
      </c>
      <c r="T329" s="205">
        <v>0</v>
      </c>
      <c r="U329" s="205">
        <v>0</v>
      </c>
      <c r="V329" s="205">
        <v>0</v>
      </c>
      <c r="W329" s="205">
        <v>0</v>
      </c>
      <c r="X329" s="205">
        <v>0</v>
      </c>
      <c r="Y329" s="205">
        <v>0</v>
      </c>
      <c r="Z329" s="205">
        <v>0</v>
      </c>
      <c r="AA329" s="205">
        <v>0</v>
      </c>
      <c r="AB329" s="205">
        <v>0</v>
      </c>
      <c r="AC329" s="205">
        <v>0</v>
      </c>
      <c r="AD329" s="205">
        <v>0</v>
      </c>
    </row>
    <row r="330" spans="1:30" ht="12.75">
      <c r="A330" s="169">
        <v>323</v>
      </c>
      <c r="B330" s="172" t="s">
        <v>576</v>
      </c>
      <c r="C330" s="258" t="s">
        <v>577</v>
      </c>
      <c r="D330" s="205">
        <v>73595254.7</v>
      </c>
      <c r="E330" s="205">
        <v>0</v>
      </c>
      <c r="F330" s="205">
        <v>0</v>
      </c>
      <c r="G330" s="205">
        <v>73595254.7</v>
      </c>
      <c r="H330" s="205">
        <v>720000</v>
      </c>
      <c r="I330" s="205">
        <v>0</v>
      </c>
      <c r="J330" s="205">
        <v>0</v>
      </c>
      <c r="K330" s="205">
        <v>720000</v>
      </c>
      <c r="L330" s="205">
        <v>5899738</v>
      </c>
      <c r="M330" s="205">
        <v>0</v>
      </c>
      <c r="N330" s="205">
        <v>0</v>
      </c>
      <c r="O330" s="205">
        <v>5899738</v>
      </c>
      <c r="P330" s="205">
        <v>66975516.7</v>
      </c>
      <c r="Q330" s="205">
        <v>0</v>
      </c>
      <c r="R330" s="205">
        <v>0</v>
      </c>
      <c r="S330" s="205">
        <v>66975516.7</v>
      </c>
      <c r="T330" s="205">
        <v>0</v>
      </c>
      <c r="U330" s="205">
        <v>0</v>
      </c>
      <c r="V330" s="205">
        <v>0</v>
      </c>
      <c r="W330" s="205">
        <v>0</v>
      </c>
      <c r="X330" s="205">
        <v>0</v>
      </c>
      <c r="Y330" s="205">
        <v>0</v>
      </c>
      <c r="Z330" s="205">
        <v>0</v>
      </c>
      <c r="AA330" s="205">
        <v>0</v>
      </c>
      <c r="AB330" s="205">
        <v>0</v>
      </c>
      <c r="AC330" s="205">
        <v>0</v>
      </c>
      <c r="AD330" s="205">
        <v>0</v>
      </c>
    </row>
    <row r="331" spans="1:30" ht="12.75">
      <c r="A331" s="169">
        <v>324</v>
      </c>
      <c r="B331" s="172" t="s">
        <v>578</v>
      </c>
      <c r="C331" s="258" t="s">
        <v>579</v>
      </c>
      <c r="D331" s="205">
        <v>26600651.3</v>
      </c>
      <c r="E331" s="205">
        <v>0</v>
      </c>
      <c r="F331" s="205">
        <v>0</v>
      </c>
      <c r="G331" s="205">
        <v>26600651.3</v>
      </c>
      <c r="H331" s="205">
        <v>266006.51</v>
      </c>
      <c r="I331" s="205">
        <v>0</v>
      </c>
      <c r="J331" s="205">
        <v>0</v>
      </c>
      <c r="K331" s="205">
        <v>266006.51</v>
      </c>
      <c r="L331" s="205">
        <v>798019.54</v>
      </c>
      <c r="M331" s="205">
        <v>0</v>
      </c>
      <c r="N331" s="205">
        <v>0</v>
      </c>
      <c r="O331" s="205">
        <v>798019.54</v>
      </c>
      <c r="P331" s="205">
        <v>25536625.2</v>
      </c>
      <c r="Q331" s="205">
        <v>0</v>
      </c>
      <c r="R331" s="205">
        <v>0</v>
      </c>
      <c r="S331" s="205">
        <v>25536625.2</v>
      </c>
      <c r="T331" s="205">
        <v>0</v>
      </c>
      <c r="U331" s="205">
        <v>0</v>
      </c>
      <c r="V331" s="205">
        <v>0</v>
      </c>
      <c r="W331" s="205">
        <v>0</v>
      </c>
      <c r="X331" s="205">
        <v>0</v>
      </c>
      <c r="Y331" s="205">
        <v>0</v>
      </c>
      <c r="Z331" s="205">
        <v>0</v>
      </c>
      <c r="AA331" s="205">
        <v>0</v>
      </c>
      <c r="AB331" s="205">
        <v>0</v>
      </c>
      <c r="AC331" s="205">
        <v>0</v>
      </c>
      <c r="AD331" s="205">
        <v>0</v>
      </c>
    </row>
    <row r="332" spans="1:30" ht="12.75">
      <c r="A332" s="169">
        <v>325</v>
      </c>
      <c r="B332" s="172" t="s">
        <v>580</v>
      </c>
      <c r="C332" s="258" t="s">
        <v>581</v>
      </c>
      <c r="D332" s="205">
        <v>29723605.4</v>
      </c>
      <c r="E332" s="205">
        <v>0</v>
      </c>
      <c r="F332" s="205">
        <v>0</v>
      </c>
      <c r="G332" s="205">
        <v>29723605.4</v>
      </c>
      <c r="H332" s="205">
        <v>297236</v>
      </c>
      <c r="I332" s="205">
        <v>0</v>
      </c>
      <c r="J332" s="205">
        <v>0</v>
      </c>
      <c r="K332" s="205">
        <v>297236</v>
      </c>
      <c r="L332" s="205">
        <v>517000</v>
      </c>
      <c r="M332" s="205">
        <v>0</v>
      </c>
      <c r="N332" s="205">
        <v>0</v>
      </c>
      <c r="O332" s="205">
        <v>517000</v>
      </c>
      <c r="P332" s="205">
        <v>28909369.4</v>
      </c>
      <c r="Q332" s="205">
        <v>0</v>
      </c>
      <c r="R332" s="205">
        <v>0</v>
      </c>
      <c r="S332" s="205">
        <v>28909369.4</v>
      </c>
      <c r="T332" s="205">
        <v>0</v>
      </c>
      <c r="U332" s="205">
        <v>0</v>
      </c>
      <c r="V332" s="205">
        <v>0</v>
      </c>
      <c r="W332" s="205">
        <v>0</v>
      </c>
      <c r="X332" s="205">
        <v>0</v>
      </c>
      <c r="Y332" s="205">
        <v>0</v>
      </c>
      <c r="Z332" s="205">
        <v>0</v>
      </c>
      <c r="AA332" s="205">
        <v>0</v>
      </c>
      <c r="AB332" s="205">
        <v>0</v>
      </c>
      <c r="AC332" s="205">
        <v>0</v>
      </c>
      <c r="AD332" s="205">
        <v>0</v>
      </c>
    </row>
    <row r="333" spans="1:30" ht="13.5" thickBot="1">
      <c r="A333" s="170">
        <v>326</v>
      </c>
      <c r="B333" s="174" t="s">
        <v>582</v>
      </c>
      <c r="C333" s="260" t="s">
        <v>583</v>
      </c>
      <c r="D333" s="205">
        <v>97887529</v>
      </c>
      <c r="E333" s="205">
        <v>0</v>
      </c>
      <c r="F333" s="205">
        <v>0</v>
      </c>
      <c r="G333" s="205">
        <v>97887529</v>
      </c>
      <c r="H333" s="205">
        <v>1069361</v>
      </c>
      <c r="I333" s="205">
        <v>0</v>
      </c>
      <c r="J333" s="205">
        <v>0</v>
      </c>
      <c r="K333" s="205">
        <v>1069361</v>
      </c>
      <c r="L333" s="205">
        <v>2830000</v>
      </c>
      <c r="M333" s="205">
        <v>0</v>
      </c>
      <c r="N333" s="205">
        <v>0</v>
      </c>
      <c r="O333" s="205">
        <v>2830000</v>
      </c>
      <c r="P333" s="205">
        <v>93988168</v>
      </c>
      <c r="Q333" s="205">
        <v>0</v>
      </c>
      <c r="R333" s="205">
        <v>0</v>
      </c>
      <c r="S333" s="205">
        <v>93988168</v>
      </c>
      <c r="T333" s="205">
        <v>0</v>
      </c>
      <c r="U333" s="205">
        <v>0</v>
      </c>
      <c r="V333" s="205">
        <v>0</v>
      </c>
      <c r="W333" s="205">
        <v>0</v>
      </c>
      <c r="X333" s="205">
        <v>0</v>
      </c>
      <c r="Y333" s="205">
        <v>0</v>
      </c>
      <c r="Z333" s="205">
        <v>0</v>
      </c>
      <c r="AA333" s="205">
        <v>0</v>
      </c>
      <c r="AB333" s="205">
        <v>0</v>
      </c>
      <c r="AC333" s="205">
        <v>0</v>
      </c>
      <c r="AD333" s="205">
        <v>0</v>
      </c>
    </row>
    <row r="334" spans="1:30" ht="13.5" thickBot="1">
      <c r="A334" s="175">
        <v>327</v>
      </c>
      <c r="B334" s="252" t="s">
        <v>873</v>
      </c>
      <c r="C334" s="157" t="s">
        <v>584</v>
      </c>
      <c r="D334" s="295">
        <f>SUM(D8:D333)</f>
        <v>23216355920.65</v>
      </c>
      <c r="E334" s="295">
        <f aca="true" t="shared" si="0" ref="E334:AD334">SUM(E8:E333)</f>
        <v>37191502</v>
      </c>
      <c r="F334" s="295">
        <f t="shared" si="0"/>
        <v>86202317.14</v>
      </c>
      <c r="G334" s="295">
        <f t="shared" si="0"/>
        <v>23339749739.249996</v>
      </c>
      <c r="H334" s="295">
        <f t="shared" si="0"/>
        <v>324516296.8399999</v>
      </c>
      <c r="I334" s="295">
        <f t="shared" si="0"/>
        <v>488086.38</v>
      </c>
      <c r="J334" s="295">
        <f t="shared" si="0"/>
        <v>1222625.5899999999</v>
      </c>
      <c r="K334" s="295">
        <f t="shared" si="0"/>
        <v>326227008.8099999</v>
      </c>
      <c r="L334" s="295">
        <f t="shared" si="0"/>
        <v>576189141.36</v>
      </c>
      <c r="M334" s="295">
        <f t="shared" si="0"/>
        <v>758071</v>
      </c>
      <c r="N334" s="295">
        <f t="shared" si="0"/>
        <v>1430731</v>
      </c>
      <c r="O334" s="295">
        <f t="shared" si="0"/>
        <v>578377943.36</v>
      </c>
      <c r="P334" s="295">
        <f t="shared" si="0"/>
        <v>22315650480.850002</v>
      </c>
      <c r="Q334" s="295">
        <f t="shared" si="0"/>
        <v>35945344.19</v>
      </c>
      <c r="R334" s="295">
        <f t="shared" si="0"/>
        <v>83548960.94</v>
      </c>
      <c r="S334" s="295">
        <f t="shared" si="0"/>
        <v>22435144785.450005</v>
      </c>
      <c r="T334" s="295">
        <f t="shared" si="0"/>
        <v>8680749</v>
      </c>
      <c r="U334" s="295">
        <f t="shared" si="0"/>
        <v>0</v>
      </c>
      <c r="V334" s="295">
        <f t="shared" si="0"/>
        <v>0</v>
      </c>
      <c r="W334" s="295">
        <f t="shared" si="0"/>
        <v>8680749</v>
      </c>
      <c r="X334" s="295">
        <f t="shared" si="0"/>
        <v>-62335</v>
      </c>
      <c r="Y334" s="295">
        <f t="shared" si="0"/>
        <v>75118.78</v>
      </c>
      <c r="Z334" s="295">
        <f t="shared" si="0"/>
        <v>25995748.97</v>
      </c>
      <c r="AA334" s="295">
        <f t="shared" si="0"/>
        <v>78359718.47</v>
      </c>
      <c r="AB334" s="295">
        <f t="shared" si="0"/>
        <v>10261844</v>
      </c>
      <c r="AC334" s="295">
        <f t="shared" si="0"/>
        <v>8986747.5</v>
      </c>
      <c r="AD334" s="295">
        <f t="shared" si="0"/>
        <v>8680749</v>
      </c>
    </row>
  </sheetData>
  <sheetProtection/>
  <mergeCells count="8">
    <mergeCell ref="Z2:AA2"/>
    <mergeCell ref="AB2:AD2"/>
    <mergeCell ref="D2:G2"/>
    <mergeCell ref="H2:K2"/>
    <mergeCell ref="L2:O2"/>
    <mergeCell ref="P2:S2"/>
    <mergeCell ref="T2:W2"/>
    <mergeCell ref="X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John Norman</cp:lastModifiedBy>
  <cp:lastPrinted>2014-02-20T09:34:30Z</cp:lastPrinted>
  <dcterms:created xsi:type="dcterms:W3CDTF">2013-07-12T16:47:25Z</dcterms:created>
  <dcterms:modified xsi:type="dcterms:W3CDTF">2014-03-11T13:36:07Z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9958ecef-28fc-446d-b305-22d9d19d3342</vt:lpwstr>
  </property>
  <property fmtid="{D5CDD505-2E9C-101B-9397-08002B2CF9AE}" pid="3" name="bjDocumentSecurityLabel">
    <vt:lpwstr>No Marking</vt:lpwstr>
  </property>
  <property fmtid="{D5CDD505-2E9C-101B-9397-08002B2CF9AE}" pid="4" name="bjSaver">
    <vt:lpwstr>7uCpBU0ulRjPw0URm2HK547T+b/jEUYi</vt:lpwstr>
  </property>
</Properties>
</file>