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drawings/drawing3.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harts/chart17.xml" ContentType="application/vnd.openxmlformats-officedocument.drawingml.chart+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drawings/drawing4.xml" ContentType="application/vnd.openxmlformats-officedocument.drawing+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charts/chart18.xml" ContentType="application/vnd.openxmlformats-officedocument.drawingml.chart+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drawings/drawing5.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45" yWindow="2625" windowWidth="4785" windowHeight="3435" tabRatio="738"/>
  </bookViews>
  <sheets>
    <sheet name="Index page" sheetId="32" r:id="rId1"/>
    <sheet name="Profiles - Group A " sheetId="8" r:id="rId2"/>
    <sheet name="Task metrics - Group A" sheetId="1" r:id="rId3"/>
    <sheet name="Demographic Analysis - Group A" sheetId="28" r:id="rId4"/>
    <sheet name="Profiles - Group B" sheetId="9" r:id="rId5"/>
    <sheet name="Task metrics - Group B" sheetId="10" r:id="rId6"/>
    <sheet name="Demographic Analysis - Group B" sheetId="30" r:id="rId7"/>
    <sheet name="Demographic Analysis - Graphs" sheetId="31" r:id="rId8"/>
    <sheet name="Task Time Calcs - Group A" sheetId="3" r:id="rId9"/>
    <sheet name="Averages - Group A" sheetId="4" r:id="rId10"/>
    <sheet name="Task Time Calcs - Group B" sheetId="12" r:id="rId11"/>
    <sheet name="Averages - Group B" sheetId="13" r:id="rId12"/>
    <sheet name="Averages - Both groups" sheetId="5" r:id="rId13"/>
    <sheet name="Graphs" sheetId="25" r:id="rId14"/>
    <sheet name="System A - Analysis" sheetId="18" r:id="rId15"/>
    <sheet name="System B - Analysis" sheetId="20" r:id="rId16"/>
    <sheet name="System C - Analysis" sheetId="17" r:id="rId17"/>
    <sheet name="System D - Analysis" sheetId="16" r:id="rId18"/>
    <sheet name="System E - Analysis" sheetId="15" r:id="rId19"/>
    <sheet name="System F - Analysis" sheetId="19" r:id="rId20"/>
  </sheets>
  <externalReferences>
    <externalReference r:id="rId21"/>
    <externalReference r:id="rId22"/>
  </externalReferences>
  <definedNames>
    <definedName name="_xlnm._FilterDatabase" localSheetId="4" hidden="1">'Profiles - Group B'!$B$5:$I$41</definedName>
    <definedName name="Nightly_Spend" localSheetId="11">#REF!</definedName>
    <definedName name="Nightly_Spend" localSheetId="6">#REF!</definedName>
    <definedName name="Nightly_Spend" localSheetId="4">#REF!</definedName>
    <definedName name="Nightly_Spend" localSheetId="15">#REF!</definedName>
    <definedName name="Nightly_Spend" localSheetId="17">#REF!</definedName>
    <definedName name="Nightly_Spend" localSheetId="19">#REF!</definedName>
    <definedName name="Nightly_Spend" localSheetId="5">#REF!</definedName>
    <definedName name="Nightly_Spend" localSheetId="10">#REF!</definedName>
    <definedName name="Nightly_Spend">#REF!</definedName>
    <definedName name="OLE_LINK2" localSheetId="0">'Index page'!$C$33</definedName>
    <definedName name="Trip_Purpose" localSheetId="11">#REF!</definedName>
    <definedName name="Trip_Purpose" localSheetId="6">#REF!</definedName>
    <definedName name="Trip_Purpose" localSheetId="4">#REF!</definedName>
    <definedName name="Trip_Purpose" localSheetId="15">#REF!</definedName>
    <definedName name="Trip_Purpose" localSheetId="17">#REF!</definedName>
    <definedName name="Trip_Purpose" localSheetId="19">#REF!</definedName>
    <definedName name="Trip_Purpose" localSheetId="5">#REF!</definedName>
    <definedName name="Trip_Purpose" localSheetId="10">#REF!</definedName>
    <definedName name="Trip_Purpose">#REF!</definedName>
  </definedNames>
  <calcPr calcId="145621" concurrentCalc="0"/>
</workbook>
</file>

<file path=xl/calcChain.xml><?xml version="1.0" encoding="utf-8"?>
<calcChain xmlns="http://schemas.openxmlformats.org/spreadsheetml/2006/main">
  <c r="B6" i="3" l="1"/>
  <c r="B7" i="3"/>
  <c r="B8" i="3"/>
  <c r="B9" i="3"/>
  <c r="B10" i="3"/>
  <c r="B11" i="3"/>
  <c r="B12" i="3"/>
  <c r="B13" i="3"/>
  <c r="B14" i="3"/>
  <c r="B16" i="3"/>
  <c r="B17" i="3"/>
  <c r="B18" i="3"/>
  <c r="B19" i="3"/>
  <c r="B20" i="3"/>
  <c r="B21" i="3"/>
  <c r="B22" i="3"/>
  <c r="B23" i="3"/>
  <c r="B24" i="3"/>
  <c r="B25" i="3"/>
  <c r="B26" i="3"/>
  <c r="B29" i="3"/>
  <c r="B30" i="3"/>
  <c r="B31" i="3"/>
  <c r="B32" i="3"/>
  <c r="B33" i="3"/>
  <c r="B34" i="3"/>
  <c r="B35" i="3"/>
  <c r="B36" i="3"/>
  <c r="B38" i="3"/>
  <c r="B39" i="3"/>
  <c r="B41" i="3"/>
  <c r="H33" i="3"/>
  <c r="H34" i="3"/>
  <c r="L6" i="9"/>
  <c r="L7" i="9"/>
  <c r="L8" i="9"/>
  <c r="L12" i="9"/>
  <c r="L13" i="9"/>
  <c r="L9" i="9"/>
  <c r="L10" i="9"/>
  <c r="L11"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D22" i="30"/>
  <c r="D8" i="30"/>
  <c r="B8" i="30"/>
  <c r="I8" i="30"/>
  <c r="D4" i="30"/>
  <c r="B4" i="30"/>
  <c r="I4" i="30"/>
  <c r="B5" i="30"/>
  <c r="J10" i="8"/>
  <c r="J12" i="8"/>
  <c r="J15" i="8"/>
  <c r="J17" i="8"/>
  <c r="J6" i="8"/>
  <c r="J7" i="8"/>
  <c r="J8" i="8"/>
  <c r="J9" i="8"/>
  <c r="J11" i="8"/>
  <c r="J13" i="8"/>
  <c r="J14" i="8"/>
  <c r="J16" i="8"/>
  <c r="J18" i="8"/>
  <c r="J19" i="8"/>
  <c r="J20" i="8"/>
  <c r="J21" i="8"/>
  <c r="J22" i="8"/>
  <c r="J23" i="8"/>
  <c r="J24" i="8"/>
  <c r="J25" i="8"/>
  <c r="J26" i="8"/>
  <c r="J27" i="8"/>
  <c r="J28" i="8"/>
  <c r="J29" i="8"/>
  <c r="J30" i="8"/>
  <c r="J31" i="8"/>
  <c r="J32" i="8"/>
  <c r="J33" i="8"/>
  <c r="J34" i="8"/>
  <c r="J35" i="8"/>
  <c r="J36" i="8"/>
  <c r="J37" i="8"/>
  <c r="J38" i="8"/>
  <c r="J39" i="8"/>
  <c r="J40" i="8"/>
  <c r="J41" i="8"/>
  <c r="C17" i="28"/>
  <c r="C18" i="28"/>
  <c r="C39" i="28"/>
  <c r="B17" i="28"/>
  <c r="B18" i="28"/>
  <c r="B39" i="28"/>
  <c r="H39" i="28"/>
  <c r="K9" i="9"/>
  <c r="K10" i="9"/>
  <c r="K13" i="9"/>
  <c r="K17" i="9"/>
  <c r="K7" i="9"/>
  <c r="K8" i="9"/>
  <c r="K6" i="9"/>
  <c r="K12" i="9"/>
  <c r="K14" i="9"/>
  <c r="K26" i="9"/>
  <c r="K11" i="9"/>
  <c r="K15" i="9"/>
  <c r="K16" i="9"/>
  <c r="K18" i="9"/>
  <c r="K19" i="9"/>
  <c r="K20" i="9"/>
  <c r="K21" i="9"/>
  <c r="K22" i="9"/>
  <c r="K23" i="9"/>
  <c r="K24" i="9"/>
  <c r="K25" i="9"/>
  <c r="K27" i="9"/>
  <c r="K28" i="9"/>
  <c r="K29" i="9"/>
  <c r="K30" i="9"/>
  <c r="K31" i="9"/>
  <c r="K32" i="9"/>
  <c r="K33" i="9"/>
  <c r="K34" i="9"/>
  <c r="K35" i="9"/>
  <c r="K36" i="9"/>
  <c r="K37" i="9"/>
  <c r="K38" i="9"/>
  <c r="K39" i="9"/>
  <c r="K40" i="9"/>
  <c r="K41" i="9"/>
  <c r="C22" i="30"/>
  <c r="B22" i="30"/>
  <c r="H22" i="30"/>
  <c r="C10" i="30"/>
  <c r="C19" i="30"/>
  <c r="B19" i="30"/>
  <c r="H19" i="30"/>
  <c r="C25" i="30"/>
  <c r="B25" i="30"/>
  <c r="H25" i="30"/>
  <c r="C17" i="30"/>
  <c r="B17" i="30"/>
  <c r="H17" i="30"/>
  <c r="B18" i="30"/>
  <c r="B39" i="30"/>
  <c r="C24" i="28"/>
  <c r="C25" i="28"/>
  <c r="C37" i="28"/>
  <c r="B24" i="28"/>
  <c r="B25" i="28"/>
  <c r="B37" i="28"/>
  <c r="H37" i="28"/>
  <c r="B24" i="30"/>
  <c r="B37" i="30"/>
  <c r="C22" i="28"/>
  <c r="C23" i="28"/>
  <c r="C36" i="28"/>
  <c r="B22" i="28"/>
  <c r="B23" i="28"/>
  <c r="B36" i="28"/>
  <c r="H36" i="28"/>
  <c r="B23" i="30"/>
  <c r="B36" i="30"/>
  <c r="C12" i="28"/>
  <c r="C13" i="28"/>
  <c r="C34" i="28"/>
  <c r="B12" i="28"/>
  <c r="B13" i="28"/>
  <c r="B34" i="28"/>
  <c r="H34" i="28"/>
  <c r="C12" i="30"/>
  <c r="B12" i="30"/>
  <c r="B13" i="30"/>
  <c r="B34" i="30"/>
  <c r="C10" i="28"/>
  <c r="C11" i="28"/>
  <c r="C33" i="28"/>
  <c r="B10" i="28"/>
  <c r="B11" i="28"/>
  <c r="B33" i="28"/>
  <c r="H33" i="28"/>
  <c r="B10" i="30"/>
  <c r="B11" i="30"/>
  <c r="B33" i="30"/>
  <c r="C8" i="28"/>
  <c r="C9" i="28"/>
  <c r="C32" i="28"/>
  <c r="B8" i="28"/>
  <c r="B9" i="28"/>
  <c r="B32" i="28"/>
  <c r="H32" i="28"/>
  <c r="C9" i="30"/>
  <c r="B9" i="30"/>
  <c r="B32" i="30"/>
  <c r="C29" i="28"/>
  <c r="B29" i="28"/>
  <c r="H29" i="28"/>
  <c r="B29" i="30"/>
  <c r="C28" i="28"/>
  <c r="B28" i="28"/>
  <c r="H28" i="28"/>
  <c r="B28" i="30"/>
  <c r="H25" i="28"/>
  <c r="H24" i="28"/>
  <c r="H23" i="28"/>
  <c r="H22" i="28"/>
  <c r="C19" i="28"/>
  <c r="B19" i="28"/>
  <c r="H19" i="28"/>
  <c r="H18" i="28"/>
  <c r="H17" i="28"/>
  <c r="C16" i="28"/>
  <c r="B16" i="28"/>
  <c r="H16" i="28"/>
  <c r="B16" i="30"/>
  <c r="H13" i="28"/>
  <c r="H12" i="28"/>
  <c r="H11" i="28"/>
  <c r="H10" i="28"/>
  <c r="H9" i="28"/>
  <c r="H9" i="30"/>
  <c r="H8" i="28"/>
  <c r="C5" i="28"/>
  <c r="B5" i="28"/>
  <c r="H5" i="28"/>
  <c r="C4" i="28"/>
  <c r="B4" i="28"/>
  <c r="H4" i="28"/>
  <c r="AQ10" i="1"/>
  <c r="CH10" i="1"/>
  <c r="DY10" i="1"/>
  <c r="M10" i="8"/>
  <c r="AQ12" i="1"/>
  <c r="CH12" i="1"/>
  <c r="DY12" i="1"/>
  <c r="M12" i="8"/>
  <c r="AQ15" i="1"/>
  <c r="CH15" i="1"/>
  <c r="DY15" i="1"/>
  <c r="M15" i="8"/>
  <c r="AQ17" i="1"/>
  <c r="CH17" i="1"/>
  <c r="DY17" i="1"/>
  <c r="M17" i="8"/>
  <c r="AQ6" i="1"/>
  <c r="CH6" i="1"/>
  <c r="DY6" i="1"/>
  <c r="M6" i="8"/>
  <c r="AQ7" i="1"/>
  <c r="CH7" i="1"/>
  <c r="DY7" i="1"/>
  <c r="M7" i="8"/>
  <c r="AQ8" i="1"/>
  <c r="CH8" i="1"/>
  <c r="DY8" i="1"/>
  <c r="M8" i="8"/>
  <c r="AQ9" i="1"/>
  <c r="CH9" i="1"/>
  <c r="DY9" i="1"/>
  <c r="M9" i="8"/>
  <c r="AQ11" i="1"/>
  <c r="CH11" i="1"/>
  <c r="DY11" i="1"/>
  <c r="M11" i="8"/>
  <c r="AQ13" i="1"/>
  <c r="CH13" i="1"/>
  <c r="DY13" i="1"/>
  <c r="M13" i="8"/>
  <c r="AQ14" i="1"/>
  <c r="CH14" i="1"/>
  <c r="DY14" i="1"/>
  <c r="M14" i="8"/>
  <c r="AQ16" i="1"/>
  <c r="CH16" i="1"/>
  <c r="DY16" i="1"/>
  <c r="M16" i="8"/>
  <c r="AQ18" i="1"/>
  <c r="CH18" i="1"/>
  <c r="DY18" i="1"/>
  <c r="M18" i="8"/>
  <c r="AQ19" i="1"/>
  <c r="CH19" i="1"/>
  <c r="DY19" i="1"/>
  <c r="M19" i="8"/>
  <c r="AQ20" i="1"/>
  <c r="CH20" i="1"/>
  <c r="DY20" i="1"/>
  <c r="M20" i="8"/>
  <c r="AQ21" i="1"/>
  <c r="CH21" i="1"/>
  <c r="DY21" i="1"/>
  <c r="M21" i="8"/>
  <c r="AQ22" i="1"/>
  <c r="CH22" i="1"/>
  <c r="DY22" i="1"/>
  <c r="M22" i="8"/>
  <c r="AQ23" i="1"/>
  <c r="CH23" i="1"/>
  <c r="DY23" i="1"/>
  <c r="M23" i="8"/>
  <c r="AQ24" i="1"/>
  <c r="CH24" i="1"/>
  <c r="DY24" i="1"/>
  <c r="M24" i="8"/>
  <c r="AQ25" i="1"/>
  <c r="CH25" i="1"/>
  <c r="DY25" i="1"/>
  <c r="M25" i="8"/>
  <c r="AQ26" i="1"/>
  <c r="CH26" i="1"/>
  <c r="DY26" i="1"/>
  <c r="M26" i="8"/>
  <c r="AQ27" i="1"/>
  <c r="CH27" i="1"/>
  <c r="DY27" i="1"/>
  <c r="M27" i="8"/>
  <c r="AQ28" i="1"/>
  <c r="CH28" i="1"/>
  <c r="DY28" i="1"/>
  <c r="M28" i="8"/>
  <c r="AQ29" i="1"/>
  <c r="CH29" i="1"/>
  <c r="DY29" i="1"/>
  <c r="M29" i="8"/>
  <c r="AQ30" i="1"/>
  <c r="CH30" i="1"/>
  <c r="DY30" i="1"/>
  <c r="M30" i="8"/>
  <c r="AQ31" i="1"/>
  <c r="CH31" i="1"/>
  <c r="DY31" i="1"/>
  <c r="M31" i="8"/>
  <c r="AQ32" i="1"/>
  <c r="CH32" i="1"/>
  <c r="DY32" i="1"/>
  <c r="M32" i="8"/>
  <c r="AQ33" i="1"/>
  <c r="CH33" i="1"/>
  <c r="DY33" i="1"/>
  <c r="M33" i="8"/>
  <c r="AQ34" i="1"/>
  <c r="CH34" i="1"/>
  <c r="DY34" i="1"/>
  <c r="M34" i="8"/>
  <c r="AQ35" i="1"/>
  <c r="CH35" i="1"/>
  <c r="DY35" i="1"/>
  <c r="M35" i="8"/>
  <c r="AQ36" i="1"/>
  <c r="CH36" i="1"/>
  <c r="DY36" i="1"/>
  <c r="M36" i="8"/>
  <c r="AQ37" i="1"/>
  <c r="CH37" i="1"/>
  <c r="DY37" i="1"/>
  <c r="M37" i="8"/>
  <c r="AQ38" i="1"/>
  <c r="CH38" i="1"/>
  <c r="DY38" i="1"/>
  <c r="M38" i="8"/>
  <c r="AQ39" i="1"/>
  <c r="CH39" i="1"/>
  <c r="DY39" i="1"/>
  <c r="M39" i="8"/>
  <c r="AQ40" i="1"/>
  <c r="CH40" i="1"/>
  <c r="DY40" i="1"/>
  <c r="M40" i="8"/>
  <c r="AQ41" i="1"/>
  <c r="CH41" i="1"/>
  <c r="DY41" i="1"/>
  <c r="M41" i="8"/>
  <c r="F17" i="28"/>
  <c r="F18" i="28"/>
  <c r="F39" i="28"/>
  <c r="K39" i="28"/>
  <c r="AQ9" i="10"/>
  <c r="CH9" i="10"/>
  <c r="DY9" i="10"/>
  <c r="AQ10" i="10"/>
  <c r="AQ6" i="10"/>
  <c r="AQ14" i="10"/>
  <c r="AQ19" i="10"/>
  <c r="AQ20" i="10"/>
  <c r="AQ7" i="10"/>
  <c r="AQ8" i="10"/>
  <c r="AQ11" i="10"/>
  <c r="AQ12" i="10"/>
  <c r="AQ13" i="10"/>
  <c r="AQ15" i="10"/>
  <c r="AQ16" i="10"/>
  <c r="AQ17" i="10"/>
  <c r="AQ18" i="10"/>
  <c r="AQ21" i="10"/>
  <c r="AQ22" i="10"/>
  <c r="AQ23" i="10"/>
  <c r="AQ24" i="10"/>
  <c r="AQ25" i="10"/>
  <c r="AQ26" i="10"/>
  <c r="AQ27" i="10"/>
  <c r="AQ28" i="10"/>
  <c r="AQ29" i="10"/>
  <c r="AQ30" i="10"/>
  <c r="AQ31" i="10"/>
  <c r="AQ32" i="10"/>
  <c r="AQ33" i="10"/>
  <c r="AQ34" i="10"/>
  <c r="AQ35" i="10"/>
  <c r="AQ36" i="10"/>
  <c r="AQ37" i="10"/>
  <c r="AQ38" i="10"/>
  <c r="AQ39" i="10"/>
  <c r="AQ40" i="10"/>
  <c r="AQ41" i="10"/>
  <c r="AP12" i="15"/>
  <c r="CH10" i="10"/>
  <c r="DY10" i="10"/>
  <c r="DY6" i="10"/>
  <c r="DY14" i="10"/>
  <c r="DY19" i="10"/>
  <c r="DY20" i="10"/>
  <c r="DY7" i="10"/>
  <c r="DY8" i="10"/>
  <c r="DY11" i="10"/>
  <c r="DY12" i="10"/>
  <c r="DY13" i="10"/>
  <c r="DY15" i="10"/>
  <c r="DY16" i="10"/>
  <c r="DY17" i="10"/>
  <c r="DY18" i="10"/>
  <c r="DY21" i="10"/>
  <c r="DY22" i="10"/>
  <c r="DY23" i="10"/>
  <c r="DY24" i="10"/>
  <c r="DY25" i="10"/>
  <c r="DY26" i="10"/>
  <c r="DY27" i="10"/>
  <c r="DY28" i="10"/>
  <c r="DY29" i="10"/>
  <c r="DY30" i="10"/>
  <c r="DY31" i="10"/>
  <c r="DY32" i="10"/>
  <c r="DY33" i="10"/>
  <c r="DY34" i="10"/>
  <c r="DY35" i="10"/>
  <c r="DY36" i="10"/>
  <c r="DY37" i="10"/>
  <c r="DY38" i="10"/>
  <c r="DY39" i="10"/>
  <c r="DY40" i="10"/>
  <c r="DY41" i="10"/>
  <c r="AP12" i="17"/>
  <c r="CH13" i="10"/>
  <c r="AP26" i="15"/>
  <c r="CH17" i="10"/>
  <c r="AP26" i="17"/>
  <c r="CH7" i="10"/>
  <c r="AP30" i="15"/>
  <c r="CH8" i="10"/>
  <c r="AP30" i="17"/>
  <c r="CH11" i="10"/>
  <c r="CH12" i="10"/>
  <c r="CH14" i="10"/>
  <c r="AP24" i="15"/>
  <c r="CH15" i="10"/>
  <c r="AP20" i="17"/>
  <c r="CH16" i="10"/>
  <c r="CH18" i="10"/>
  <c r="CH19" i="10"/>
  <c r="CH20" i="10"/>
  <c r="CH21" i="10"/>
  <c r="N21" i="9"/>
  <c r="CH22" i="10"/>
  <c r="CH23" i="10"/>
  <c r="CH24" i="10"/>
  <c r="CH25" i="10"/>
  <c r="CH26" i="10"/>
  <c r="CH27" i="10"/>
  <c r="CH28" i="10"/>
  <c r="CH29" i="10"/>
  <c r="CH30" i="10"/>
  <c r="CH31" i="10"/>
  <c r="CH32" i="10"/>
  <c r="CH33" i="10"/>
  <c r="CH34" i="10"/>
  <c r="CH35" i="10"/>
  <c r="CH36" i="10"/>
  <c r="CH37" i="10"/>
  <c r="CH38" i="10"/>
  <c r="CH39" i="10"/>
  <c r="CH40" i="10"/>
  <c r="CH41" i="10"/>
  <c r="L10" i="8"/>
  <c r="L12" i="8"/>
  <c r="L15" i="8"/>
  <c r="L17" i="8"/>
  <c r="L6" i="8"/>
  <c r="L7" i="8"/>
  <c r="L8" i="8"/>
  <c r="L9" i="8"/>
  <c r="L11" i="8"/>
  <c r="L13" i="8"/>
  <c r="L14" i="8"/>
  <c r="L16" i="8"/>
  <c r="L18" i="8"/>
  <c r="L19" i="8"/>
  <c r="L20" i="8"/>
  <c r="L21" i="8"/>
  <c r="L22" i="8"/>
  <c r="L23" i="8"/>
  <c r="L24" i="8"/>
  <c r="L25" i="8"/>
  <c r="L26" i="8"/>
  <c r="L27" i="8"/>
  <c r="L28" i="8"/>
  <c r="L29" i="8"/>
  <c r="L30" i="8"/>
  <c r="L31" i="8"/>
  <c r="L32" i="8"/>
  <c r="L33" i="8"/>
  <c r="L34" i="8"/>
  <c r="L35" i="8"/>
  <c r="L36" i="8"/>
  <c r="L37" i="8"/>
  <c r="L38" i="8"/>
  <c r="L39" i="8"/>
  <c r="L40" i="8"/>
  <c r="L41" i="8"/>
  <c r="E17" i="28"/>
  <c r="E18" i="28"/>
  <c r="E39" i="28"/>
  <c r="J39" i="28"/>
  <c r="M9" i="9"/>
  <c r="M10" i="9"/>
  <c r="M13" i="9"/>
  <c r="M17" i="9"/>
  <c r="M7" i="9"/>
  <c r="M8" i="9"/>
  <c r="M11" i="9"/>
  <c r="M12" i="9"/>
  <c r="M14" i="9"/>
  <c r="M15" i="9"/>
  <c r="M16" i="9"/>
  <c r="M18" i="9"/>
  <c r="M19" i="9"/>
  <c r="M20" i="9"/>
  <c r="M21" i="9"/>
  <c r="M22" i="9"/>
  <c r="M23" i="9"/>
  <c r="M24" i="9"/>
  <c r="M25" i="9"/>
  <c r="M26" i="9"/>
  <c r="M27" i="9"/>
  <c r="M28" i="9"/>
  <c r="M29" i="9"/>
  <c r="M30" i="9"/>
  <c r="M31" i="9"/>
  <c r="M32" i="9"/>
  <c r="M33" i="9"/>
  <c r="M34" i="9"/>
  <c r="M35" i="9"/>
  <c r="M36" i="9"/>
  <c r="M37" i="9"/>
  <c r="E12" i="30"/>
  <c r="M38" i="9"/>
  <c r="M39" i="9"/>
  <c r="M40" i="9"/>
  <c r="M41" i="9"/>
  <c r="E17" i="30"/>
  <c r="K10" i="8"/>
  <c r="K12" i="8"/>
  <c r="K15" i="8"/>
  <c r="K17" i="8"/>
  <c r="K6" i="8"/>
  <c r="K7" i="8"/>
  <c r="K8" i="8"/>
  <c r="K9" i="8"/>
  <c r="K11" i="8"/>
  <c r="K13" i="8"/>
  <c r="K14" i="8"/>
  <c r="K16" i="8"/>
  <c r="K18" i="8"/>
  <c r="K19" i="8"/>
  <c r="K20" i="8"/>
  <c r="K21" i="8"/>
  <c r="K22" i="8"/>
  <c r="K23" i="8"/>
  <c r="K24" i="8"/>
  <c r="K25" i="8"/>
  <c r="K26" i="8"/>
  <c r="K27" i="8"/>
  <c r="K28" i="8"/>
  <c r="K29" i="8"/>
  <c r="K30" i="8"/>
  <c r="K31" i="8"/>
  <c r="K32" i="8"/>
  <c r="K33" i="8"/>
  <c r="K34" i="8"/>
  <c r="K35" i="8"/>
  <c r="K36" i="8"/>
  <c r="K37" i="8"/>
  <c r="K38" i="8"/>
  <c r="K39" i="8"/>
  <c r="K40" i="8"/>
  <c r="K41" i="8"/>
  <c r="D17" i="28"/>
  <c r="D18" i="28"/>
  <c r="D39" i="28"/>
  <c r="I39" i="28"/>
  <c r="D18" i="30"/>
  <c r="F24" i="28"/>
  <c r="F25" i="28"/>
  <c r="F37" i="28"/>
  <c r="K37" i="28"/>
  <c r="E24" i="28"/>
  <c r="E25" i="28"/>
  <c r="E37" i="28"/>
  <c r="J37" i="28"/>
  <c r="E25" i="30"/>
  <c r="D24" i="28"/>
  <c r="D25" i="28"/>
  <c r="D37" i="28"/>
  <c r="I37" i="28"/>
  <c r="D25" i="30"/>
  <c r="I25" i="30"/>
  <c r="F22" i="28"/>
  <c r="F23" i="28"/>
  <c r="F36" i="28"/>
  <c r="K36" i="28"/>
  <c r="CH6" i="10"/>
  <c r="E22" i="28"/>
  <c r="E23" i="28"/>
  <c r="E36" i="28"/>
  <c r="J36" i="28"/>
  <c r="M6" i="9"/>
  <c r="E22" i="30"/>
  <c r="D22" i="28"/>
  <c r="D23" i="28"/>
  <c r="D36" i="28"/>
  <c r="I36" i="28"/>
  <c r="F12" i="28"/>
  <c r="F13" i="28"/>
  <c r="F34" i="28"/>
  <c r="K34" i="28"/>
  <c r="E12" i="28"/>
  <c r="E13" i="28"/>
  <c r="E34" i="28"/>
  <c r="J34" i="28"/>
  <c r="E13" i="30"/>
  <c r="J13" i="30"/>
  <c r="D12" i="28"/>
  <c r="D13" i="28"/>
  <c r="D34" i="28"/>
  <c r="I34" i="28"/>
  <c r="D12" i="30"/>
  <c r="I12" i="30"/>
  <c r="F10" i="28"/>
  <c r="F11" i="28"/>
  <c r="F33" i="28"/>
  <c r="K33" i="28"/>
  <c r="E10" i="28"/>
  <c r="E11" i="28"/>
  <c r="E33" i="28"/>
  <c r="J33" i="28"/>
  <c r="E10" i="30"/>
  <c r="D10" i="28"/>
  <c r="D11" i="28"/>
  <c r="D33" i="28"/>
  <c r="I33" i="28"/>
  <c r="D10" i="30"/>
  <c r="F8" i="28"/>
  <c r="F9" i="28"/>
  <c r="F32" i="28"/>
  <c r="K32" i="28"/>
  <c r="E8" i="28"/>
  <c r="E9" i="28"/>
  <c r="E32" i="28"/>
  <c r="J32" i="28"/>
  <c r="E9" i="30"/>
  <c r="D8" i="28"/>
  <c r="D9" i="28"/>
  <c r="D32" i="28"/>
  <c r="I32" i="28"/>
  <c r="F29" i="28"/>
  <c r="K29" i="28"/>
  <c r="E29" i="28"/>
  <c r="J29" i="28"/>
  <c r="E29" i="30"/>
  <c r="J29" i="30"/>
  <c r="D29" i="28"/>
  <c r="I29" i="28"/>
  <c r="F28" i="28"/>
  <c r="K28" i="28"/>
  <c r="E28" i="28"/>
  <c r="J28" i="28"/>
  <c r="E28" i="30"/>
  <c r="J28" i="30"/>
  <c r="D28" i="28"/>
  <c r="I28" i="28"/>
  <c r="K25" i="28"/>
  <c r="J25" i="28"/>
  <c r="I25" i="28"/>
  <c r="K24" i="28"/>
  <c r="J24" i="28"/>
  <c r="I24" i="28"/>
  <c r="K23" i="28"/>
  <c r="J23" i="28"/>
  <c r="I23" i="28"/>
  <c r="K22" i="28"/>
  <c r="J22" i="28"/>
  <c r="I22" i="28"/>
  <c r="F19" i="28"/>
  <c r="K19" i="28"/>
  <c r="E19" i="28"/>
  <c r="J19" i="28"/>
  <c r="E19" i="30"/>
  <c r="J19" i="30"/>
  <c r="D19" i="28"/>
  <c r="I19" i="28"/>
  <c r="D19" i="30"/>
  <c r="I19" i="30"/>
  <c r="K18" i="28"/>
  <c r="J18" i="28"/>
  <c r="I18" i="28"/>
  <c r="K17" i="28"/>
  <c r="J17" i="28"/>
  <c r="J17" i="30"/>
  <c r="I17" i="28"/>
  <c r="F16" i="28"/>
  <c r="K16" i="28"/>
  <c r="E16" i="28"/>
  <c r="J16" i="28"/>
  <c r="E16" i="30"/>
  <c r="J16" i="30"/>
  <c r="D16" i="28"/>
  <c r="I16" i="28"/>
  <c r="K13" i="28"/>
  <c r="J13" i="28"/>
  <c r="I13" i="28"/>
  <c r="K12" i="28"/>
  <c r="J12" i="28"/>
  <c r="J12" i="30"/>
  <c r="Q12" i="30"/>
  <c r="I12" i="28"/>
  <c r="K11" i="28"/>
  <c r="J11" i="28"/>
  <c r="I11" i="28"/>
  <c r="K10" i="28"/>
  <c r="J10" i="28"/>
  <c r="J10" i="30"/>
  <c r="I10" i="28"/>
  <c r="K9" i="28"/>
  <c r="J9" i="28"/>
  <c r="J9" i="30"/>
  <c r="I9" i="28"/>
  <c r="K8" i="28"/>
  <c r="J8" i="28"/>
  <c r="I8" i="28"/>
  <c r="F5" i="28"/>
  <c r="K5" i="28"/>
  <c r="E5" i="28"/>
  <c r="J5" i="28"/>
  <c r="E5" i="30"/>
  <c r="J5" i="30"/>
  <c r="D5" i="28"/>
  <c r="I5" i="28"/>
  <c r="F4" i="28"/>
  <c r="K4" i="28"/>
  <c r="E4" i="28"/>
  <c r="J4" i="28"/>
  <c r="E4" i="30"/>
  <c r="J4" i="30"/>
  <c r="D4" i="28"/>
  <c r="I4" i="28"/>
  <c r="B5" i="15"/>
  <c r="C5" i="15"/>
  <c r="D5" i="15"/>
  <c r="E5" i="15"/>
  <c r="F5" i="15"/>
  <c r="G5" i="15"/>
  <c r="H5" i="15"/>
  <c r="I5" i="15"/>
  <c r="J5" i="15"/>
  <c r="S18" i="12"/>
  <c r="S9" i="16"/>
  <c r="R18" i="12"/>
  <c r="R41" i="12"/>
  <c r="R9" i="16"/>
  <c r="Q18" i="12"/>
  <c r="Q34" i="12"/>
  <c r="Q9" i="16"/>
  <c r="P18" i="12"/>
  <c r="P23" i="12"/>
  <c r="P34" i="12"/>
  <c r="P38" i="12"/>
  <c r="P41" i="12"/>
  <c r="P9" i="16"/>
  <c r="O18" i="12"/>
  <c r="O34" i="12"/>
  <c r="O9" i="16"/>
  <c r="N23" i="12"/>
  <c r="N9" i="16"/>
  <c r="M23" i="12"/>
  <c r="M41" i="12"/>
  <c r="M9" i="16"/>
  <c r="S17" i="12"/>
  <c r="S37" i="12"/>
  <c r="S39" i="12"/>
  <c r="S40" i="12"/>
  <c r="S6" i="12"/>
  <c r="S12" i="12"/>
  <c r="S13" i="12"/>
  <c r="S7" i="12"/>
  <c r="S11" i="12"/>
  <c r="S15" i="12"/>
  <c r="S16" i="12"/>
  <c r="S19" i="12"/>
  <c r="S22" i="12"/>
  <c r="S29" i="12"/>
  <c r="S30" i="12"/>
  <c r="S31" i="12"/>
  <c r="S32" i="12"/>
  <c r="S33" i="12"/>
  <c r="S35" i="12"/>
  <c r="S5" i="16"/>
  <c r="S29" i="16"/>
  <c r="S13" i="16"/>
  <c r="S30" i="16"/>
  <c r="R17" i="12"/>
  <c r="R7" i="12"/>
  <c r="R8" i="12"/>
  <c r="R12" i="12"/>
  <c r="R13" i="12"/>
  <c r="R15" i="12"/>
  <c r="R21" i="12"/>
  <c r="R30" i="12"/>
  <c r="R31" i="12"/>
  <c r="R32" i="12"/>
  <c r="R42" i="12"/>
  <c r="H16" i="5"/>
  <c r="R24" i="16"/>
  <c r="R10" i="16"/>
  <c r="R30" i="16"/>
  <c r="Q37" i="12"/>
  <c r="Q39" i="12"/>
  <c r="Q19" i="12"/>
  <c r="Q12" i="12"/>
  <c r="Q13" i="12"/>
  <c r="Q16" i="12"/>
  <c r="Q27" i="12"/>
  <c r="Q28" i="12"/>
  <c r="Q31" i="12"/>
  <c r="Q12" i="16"/>
  <c r="Q18" i="16"/>
  <c r="Q14" i="16"/>
  <c r="Q30" i="16"/>
  <c r="P17" i="12"/>
  <c r="P37" i="12"/>
  <c r="P39" i="12"/>
  <c r="P40" i="12"/>
  <c r="P7" i="12"/>
  <c r="P13" i="12"/>
  <c r="P11" i="12"/>
  <c r="P14" i="12"/>
  <c r="P15" i="12"/>
  <c r="P16" i="12"/>
  <c r="P19" i="12"/>
  <c r="P22" i="12"/>
  <c r="P28" i="12"/>
  <c r="P29" i="12"/>
  <c r="P32" i="12"/>
  <c r="P35" i="12"/>
  <c r="P36" i="12"/>
  <c r="P23" i="16"/>
  <c r="P17" i="16"/>
  <c r="P10" i="16"/>
  <c r="P30" i="16"/>
  <c r="O17" i="12"/>
  <c r="O37" i="12"/>
  <c r="O40" i="12"/>
  <c r="O12" i="12"/>
  <c r="O13" i="12"/>
  <c r="O25" i="12"/>
  <c r="O28" i="12"/>
  <c r="O31" i="12"/>
  <c r="O30" i="16"/>
  <c r="M37" i="12"/>
  <c r="M11" i="12"/>
  <c r="M15" i="12"/>
  <c r="M12" i="12"/>
  <c r="M6" i="16"/>
  <c r="M10" i="16"/>
  <c r="M30" i="16"/>
  <c r="N16" i="12"/>
  <c r="P20" i="16"/>
  <c r="N15" i="12"/>
  <c r="M20" i="16"/>
  <c r="N27" i="12"/>
  <c r="N17" i="16"/>
  <c r="O13" i="16"/>
  <c r="N19" i="12"/>
  <c r="N9" i="12"/>
  <c r="N24" i="16"/>
  <c r="N11" i="12"/>
  <c r="N42" i="12"/>
  <c r="D16" i="5"/>
  <c r="L6" i="12"/>
  <c r="L8" i="12"/>
  <c r="L11" i="12"/>
  <c r="L13" i="12"/>
  <c r="L14" i="12"/>
  <c r="L15" i="12"/>
  <c r="L16" i="12"/>
  <c r="L17" i="12"/>
  <c r="L18" i="12"/>
  <c r="L19" i="12"/>
  <c r="L20" i="12"/>
  <c r="L21" i="12"/>
  <c r="L22" i="12"/>
  <c r="L23" i="12"/>
  <c r="L26" i="12"/>
  <c r="L27" i="12"/>
  <c r="L29" i="12"/>
  <c r="L30" i="12"/>
  <c r="L31" i="12"/>
  <c r="L32" i="12"/>
  <c r="L34" i="12"/>
  <c r="L35" i="12"/>
  <c r="L36" i="12"/>
  <c r="L37" i="12"/>
  <c r="L38" i="12"/>
  <c r="L39" i="12"/>
  <c r="L40" i="12"/>
  <c r="L41" i="12"/>
  <c r="L42" i="12"/>
  <c r="B16" i="5"/>
  <c r="L17" i="16"/>
  <c r="L18" i="16"/>
  <c r="L26" i="16"/>
  <c r="L19" i="16"/>
  <c r="L5" i="16"/>
  <c r="N29" i="16"/>
  <c r="R23" i="16"/>
  <c r="P6" i="16"/>
  <c r="L11" i="16"/>
  <c r="P26" i="16"/>
  <c r="R26" i="16"/>
  <c r="L9" i="16"/>
  <c r="O23" i="16"/>
  <c r="Q23" i="16"/>
  <c r="S19" i="16"/>
  <c r="O14" i="16"/>
  <c r="S14" i="16"/>
  <c r="M26" i="16"/>
  <c r="M11" i="16"/>
  <c r="O26" i="16"/>
  <c r="O11" i="16"/>
  <c r="Q26" i="16"/>
  <c r="Q11" i="16"/>
  <c r="S26" i="16"/>
  <c r="S11" i="16"/>
  <c r="B42" i="3"/>
  <c r="B13" i="5"/>
  <c r="D7" i="3"/>
  <c r="D8" i="3"/>
  <c r="D12" i="3"/>
  <c r="D13" i="3"/>
  <c r="D14" i="3"/>
  <c r="D16" i="3"/>
  <c r="D17" i="3"/>
  <c r="D18" i="3"/>
  <c r="D19" i="3"/>
  <c r="D20" i="3"/>
  <c r="D21" i="3"/>
  <c r="D23" i="3"/>
  <c r="D24" i="3"/>
  <c r="D25" i="3"/>
  <c r="D29" i="3"/>
  <c r="D32" i="3"/>
  <c r="D33" i="3"/>
  <c r="D34" i="3"/>
  <c r="D35" i="3"/>
  <c r="D36" i="3"/>
  <c r="D39" i="3"/>
  <c r="D42" i="3"/>
  <c r="D13" i="5"/>
  <c r="E13" i="3"/>
  <c r="E17" i="3"/>
  <c r="E19" i="3"/>
  <c r="E22" i="3"/>
  <c r="E26" i="3"/>
  <c r="E32" i="3"/>
  <c r="E35" i="3"/>
  <c r="E40" i="3"/>
  <c r="E42" i="3"/>
  <c r="E13" i="5"/>
  <c r="F9" i="3"/>
  <c r="F13" i="3"/>
  <c r="F15" i="3"/>
  <c r="F18" i="3"/>
  <c r="F19" i="3"/>
  <c r="F20" i="3"/>
  <c r="F26" i="3"/>
  <c r="F29" i="3"/>
  <c r="F31" i="3"/>
  <c r="F37" i="3"/>
  <c r="F40" i="3"/>
  <c r="F42" i="3"/>
  <c r="F13" i="5"/>
  <c r="G6" i="3"/>
  <c r="G9" i="3"/>
  <c r="G11" i="3"/>
  <c r="G12" i="3"/>
  <c r="G13" i="3"/>
  <c r="G14" i="3"/>
  <c r="G15" i="3"/>
  <c r="G17" i="3"/>
  <c r="G18" i="3"/>
  <c r="G19" i="3"/>
  <c r="G20" i="3"/>
  <c r="G21" i="3"/>
  <c r="G22" i="3"/>
  <c r="G23" i="3"/>
  <c r="G26" i="3"/>
  <c r="G29" i="3"/>
  <c r="G32" i="3"/>
  <c r="G33" i="3"/>
  <c r="G34" i="3"/>
  <c r="G36" i="3"/>
  <c r="G37" i="3"/>
  <c r="G38" i="3"/>
  <c r="G39" i="3"/>
  <c r="G40" i="3"/>
  <c r="G41" i="3"/>
  <c r="G42" i="3"/>
  <c r="G13" i="5"/>
  <c r="H8" i="3"/>
  <c r="H9" i="3"/>
  <c r="H12" i="3"/>
  <c r="H13" i="3"/>
  <c r="H18" i="3"/>
  <c r="H19" i="3"/>
  <c r="H21" i="3"/>
  <c r="H25" i="3"/>
  <c r="H35" i="3"/>
  <c r="H39" i="3"/>
  <c r="H40" i="3"/>
  <c r="H42" i="3"/>
  <c r="H13" i="5"/>
  <c r="L6" i="3"/>
  <c r="L9" i="3"/>
  <c r="L10" i="3"/>
  <c r="L11" i="3"/>
  <c r="L13" i="3"/>
  <c r="L15" i="3"/>
  <c r="L16" i="3"/>
  <c r="L17" i="3"/>
  <c r="L18" i="3"/>
  <c r="L19" i="3"/>
  <c r="L20" i="3"/>
  <c r="L21" i="3"/>
  <c r="L22" i="3"/>
  <c r="L23" i="3"/>
  <c r="L25" i="3"/>
  <c r="L26" i="3"/>
  <c r="L29" i="3"/>
  <c r="L33" i="3"/>
  <c r="L34" i="3"/>
  <c r="L35" i="3"/>
  <c r="L39" i="3"/>
  <c r="L41" i="3"/>
  <c r="L42" i="3"/>
  <c r="M6" i="3"/>
  <c r="M7" i="3"/>
  <c r="M9" i="3"/>
  <c r="M10" i="3"/>
  <c r="M11" i="3"/>
  <c r="M12" i="3"/>
  <c r="M13" i="3"/>
  <c r="M14" i="3"/>
  <c r="M15" i="3"/>
  <c r="M16" i="3"/>
  <c r="M17" i="3"/>
  <c r="M18" i="3"/>
  <c r="M19" i="3"/>
  <c r="M20" i="3"/>
  <c r="M21" i="3"/>
  <c r="M22" i="3"/>
  <c r="M24" i="3"/>
  <c r="M25" i="3"/>
  <c r="M26" i="3"/>
  <c r="M27" i="3"/>
  <c r="M29" i="3"/>
  <c r="M31" i="3"/>
  <c r="M32" i="3"/>
  <c r="M34" i="3"/>
  <c r="M35" i="3"/>
  <c r="M39" i="3"/>
  <c r="M41" i="3"/>
  <c r="M42" i="3"/>
  <c r="N6" i="3"/>
  <c r="N7" i="3"/>
  <c r="N11" i="3"/>
  <c r="N13" i="3"/>
  <c r="N15" i="3"/>
  <c r="N17" i="3"/>
  <c r="N18" i="3"/>
  <c r="N19" i="3"/>
  <c r="N20" i="3"/>
  <c r="N23" i="3"/>
  <c r="N24" i="3"/>
  <c r="N25" i="3"/>
  <c r="N26" i="3"/>
  <c r="N29" i="3"/>
  <c r="N30" i="3"/>
  <c r="N31" i="3"/>
  <c r="N33" i="3"/>
  <c r="N34" i="3"/>
  <c r="N35" i="3"/>
  <c r="N39" i="3"/>
  <c r="N40" i="3"/>
  <c r="N41" i="3"/>
  <c r="N42" i="3"/>
  <c r="O6" i="3"/>
  <c r="O7" i="3"/>
  <c r="O8" i="3"/>
  <c r="O9" i="3"/>
  <c r="O10" i="3"/>
  <c r="O11" i="3"/>
  <c r="O12" i="3"/>
  <c r="O14" i="3"/>
  <c r="O15" i="3"/>
  <c r="O16" i="3"/>
  <c r="O17" i="3"/>
  <c r="O18" i="3"/>
  <c r="O19" i="3"/>
  <c r="O20" i="3"/>
  <c r="O21" i="3"/>
  <c r="O22" i="3"/>
  <c r="O23" i="3"/>
  <c r="O24" i="3"/>
  <c r="O25" i="3"/>
  <c r="O27" i="3"/>
  <c r="O28" i="3"/>
  <c r="O31" i="3"/>
  <c r="O34" i="3"/>
  <c r="O35" i="3"/>
  <c r="O37" i="3"/>
  <c r="O38" i="3"/>
  <c r="O39" i="3"/>
  <c r="O41" i="3"/>
  <c r="O42" i="3"/>
  <c r="P6" i="3"/>
  <c r="P7" i="3"/>
  <c r="P8" i="3"/>
  <c r="P10" i="3"/>
  <c r="P11" i="3"/>
  <c r="P12" i="3"/>
  <c r="P13" i="3"/>
  <c r="P14" i="3"/>
  <c r="P15" i="3"/>
  <c r="P16" i="3"/>
  <c r="P17" i="3"/>
  <c r="P18" i="3"/>
  <c r="P19" i="3"/>
  <c r="P20" i="3"/>
  <c r="P21" i="3"/>
  <c r="P23" i="3"/>
  <c r="P25" i="3"/>
  <c r="P27" i="3"/>
  <c r="P28" i="3"/>
  <c r="P29" i="3"/>
  <c r="P31" i="3"/>
  <c r="P32" i="3"/>
  <c r="P34" i="3"/>
  <c r="P35" i="3"/>
  <c r="P36" i="3"/>
  <c r="P37" i="3"/>
  <c r="P38" i="3"/>
  <c r="P39" i="3"/>
  <c r="P40" i="3"/>
  <c r="P41" i="3"/>
  <c r="P42" i="3"/>
  <c r="Q6" i="3"/>
  <c r="Q8" i="3"/>
  <c r="Q9" i="3"/>
  <c r="Q13" i="3"/>
  <c r="Q15" i="3"/>
  <c r="Q16" i="3"/>
  <c r="Q20" i="3"/>
  <c r="Q21" i="3"/>
  <c r="Q22" i="3"/>
  <c r="Q23" i="3"/>
  <c r="Q24" i="3"/>
  <c r="Q25" i="3"/>
  <c r="Q27" i="3"/>
  <c r="Q29" i="3"/>
  <c r="Q31" i="3"/>
  <c r="Q33" i="3"/>
  <c r="Q34" i="3"/>
  <c r="Q35" i="3"/>
  <c r="Q36" i="3"/>
  <c r="Q39" i="3"/>
  <c r="Q40" i="3"/>
  <c r="Q41" i="3"/>
  <c r="Q42" i="3"/>
  <c r="R6" i="3"/>
  <c r="R7" i="3"/>
  <c r="R8" i="3"/>
  <c r="R12" i="3"/>
  <c r="R15" i="3"/>
  <c r="R16" i="3"/>
  <c r="R18" i="3"/>
  <c r="R34" i="3"/>
  <c r="R39" i="3"/>
  <c r="R40" i="3"/>
  <c r="R41" i="3"/>
  <c r="R42"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B6" i="12"/>
  <c r="B7" i="12"/>
  <c r="B12" i="12"/>
  <c r="B13" i="12"/>
  <c r="B14" i="12"/>
  <c r="B15" i="12"/>
  <c r="B16" i="12"/>
  <c r="B17" i="12"/>
  <c r="B18" i="12"/>
  <c r="B19" i="12"/>
  <c r="B22" i="12"/>
  <c r="B23" i="12"/>
  <c r="B25" i="12"/>
  <c r="B27" i="12"/>
  <c r="B28" i="12"/>
  <c r="B31" i="12"/>
  <c r="B32" i="12"/>
  <c r="B34" i="12"/>
  <c r="B35" i="12"/>
  <c r="B36" i="12"/>
  <c r="B37" i="12"/>
  <c r="B38" i="12"/>
  <c r="B39" i="12"/>
  <c r="B40" i="12"/>
  <c r="B41" i="12"/>
  <c r="C7" i="12"/>
  <c r="C11" i="12"/>
  <c r="C12" i="12"/>
  <c r="C13" i="12"/>
  <c r="C15" i="12"/>
  <c r="C16" i="12"/>
  <c r="C17" i="12"/>
  <c r="C18" i="12"/>
  <c r="C19" i="12"/>
  <c r="C22" i="12"/>
  <c r="C23" i="12"/>
  <c r="C24" i="12"/>
  <c r="C25" i="12"/>
  <c r="C26" i="12"/>
  <c r="C27" i="12"/>
  <c r="C28" i="12"/>
  <c r="C29" i="12"/>
  <c r="C30" i="12"/>
  <c r="C31" i="12"/>
  <c r="C34" i="12"/>
  <c r="C35" i="12"/>
  <c r="C37" i="12"/>
  <c r="C39" i="12"/>
  <c r="C41" i="12"/>
  <c r="D6" i="12"/>
  <c r="D7" i="12"/>
  <c r="D11" i="12"/>
  <c r="D13" i="12"/>
  <c r="D14" i="12"/>
  <c r="D15" i="12"/>
  <c r="D17" i="12"/>
  <c r="D18" i="12"/>
  <c r="D19" i="12"/>
  <c r="D20" i="12"/>
  <c r="D22" i="12"/>
  <c r="D23" i="12"/>
  <c r="D25" i="12"/>
  <c r="D27" i="12"/>
  <c r="D29" i="12"/>
  <c r="D31" i="12"/>
  <c r="D34" i="12"/>
  <c r="D35" i="12"/>
  <c r="D36" i="12"/>
  <c r="D37" i="12"/>
  <c r="D39" i="12"/>
  <c r="D40" i="12"/>
  <c r="D41" i="12"/>
  <c r="E6" i="12"/>
  <c r="E7" i="12"/>
  <c r="E9" i="12"/>
  <c r="E12" i="12"/>
  <c r="E13" i="12"/>
  <c r="E14" i="12"/>
  <c r="E15" i="12"/>
  <c r="E18" i="12"/>
  <c r="E19" i="12"/>
  <c r="E20" i="12"/>
  <c r="E22" i="12"/>
  <c r="E23" i="12"/>
  <c r="E25" i="12"/>
  <c r="E27" i="12"/>
  <c r="E31" i="12"/>
  <c r="E32" i="12"/>
  <c r="E38" i="12"/>
  <c r="E39" i="12"/>
  <c r="E40" i="12"/>
  <c r="E41" i="12"/>
  <c r="F7" i="12"/>
  <c r="F8" i="12"/>
  <c r="F11" i="12"/>
  <c r="F12" i="12"/>
  <c r="F13" i="12"/>
  <c r="F14" i="12"/>
  <c r="F15" i="12"/>
  <c r="F16" i="12"/>
  <c r="F17" i="12"/>
  <c r="F18" i="12"/>
  <c r="F19" i="12"/>
  <c r="F20" i="12"/>
  <c r="F21" i="12"/>
  <c r="F22" i="12"/>
  <c r="F23" i="12"/>
  <c r="F24" i="12"/>
  <c r="F26" i="12"/>
  <c r="F28" i="12"/>
  <c r="F29" i="12"/>
  <c r="F31" i="12"/>
  <c r="F32" i="12"/>
  <c r="F35" i="12"/>
  <c r="F36" i="12"/>
  <c r="F37" i="12"/>
  <c r="F38" i="12"/>
  <c r="F39" i="12"/>
  <c r="F40" i="12"/>
  <c r="F41"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5" i="12"/>
  <c r="G36" i="12"/>
  <c r="G37" i="12"/>
  <c r="G38" i="12"/>
  <c r="G39" i="12"/>
  <c r="G40" i="12"/>
  <c r="G41" i="12"/>
  <c r="H6" i="12"/>
  <c r="H7" i="12"/>
  <c r="H8" i="12"/>
  <c r="H10" i="12"/>
  <c r="H11" i="12"/>
  <c r="H13" i="12"/>
  <c r="H15" i="12"/>
  <c r="H17" i="12"/>
  <c r="H18" i="12"/>
  <c r="H19" i="12"/>
  <c r="H20" i="12"/>
  <c r="H21" i="12"/>
  <c r="H22" i="12"/>
  <c r="H23" i="12"/>
  <c r="H24" i="12"/>
  <c r="H25" i="12"/>
  <c r="H29" i="12"/>
  <c r="H31" i="12"/>
  <c r="H34" i="12"/>
  <c r="H35" i="12"/>
  <c r="H36" i="12"/>
  <c r="H37" i="12"/>
  <c r="H39" i="12"/>
  <c r="H40" i="12"/>
  <c r="H41" i="12"/>
  <c r="I6" i="12"/>
  <c r="I7" i="12"/>
  <c r="I9" i="12"/>
  <c r="I10" i="12"/>
  <c r="I11" i="12"/>
  <c r="I13" i="12"/>
  <c r="I14" i="12"/>
  <c r="I15" i="12"/>
  <c r="I16" i="12"/>
  <c r="I17" i="12"/>
  <c r="I18" i="12"/>
  <c r="I19" i="12"/>
  <c r="I20" i="12"/>
  <c r="I22" i="12"/>
  <c r="I23" i="12"/>
  <c r="I24" i="12"/>
  <c r="I25" i="12"/>
  <c r="I26" i="12"/>
  <c r="I27" i="12"/>
  <c r="I28" i="12"/>
  <c r="I29" i="12"/>
  <c r="I30" i="12"/>
  <c r="I31" i="12"/>
  <c r="I32" i="12"/>
  <c r="I33" i="12"/>
  <c r="I34" i="12"/>
  <c r="I35" i="12"/>
  <c r="I36" i="12"/>
  <c r="I37" i="12"/>
  <c r="I38" i="12"/>
  <c r="I39" i="12"/>
  <c r="I40" i="12"/>
  <c r="I41" i="12"/>
  <c r="M42" i="12"/>
  <c r="C16" i="5"/>
  <c r="O42" i="12"/>
  <c r="E16" i="5"/>
  <c r="Q42" i="12"/>
  <c r="G16" i="5"/>
  <c r="S42" i="12"/>
  <c r="I16" i="5"/>
  <c r="V13" i="12"/>
  <c r="V15" i="12"/>
  <c r="V16" i="12"/>
  <c r="V17" i="12"/>
  <c r="V18" i="12"/>
  <c r="V19" i="12"/>
  <c r="V23" i="12"/>
  <c r="V24" i="12"/>
  <c r="V27" i="12"/>
  <c r="V31" i="12"/>
  <c r="V34" i="12"/>
  <c r="V35" i="12"/>
  <c r="V37" i="12"/>
  <c r="V39" i="12"/>
  <c r="V40" i="12"/>
  <c r="V41" i="12"/>
  <c r="W7" i="12"/>
  <c r="W12" i="12"/>
  <c r="W13" i="12"/>
  <c r="W15" i="12"/>
  <c r="W16" i="12"/>
  <c r="W17" i="12"/>
  <c r="W18" i="12"/>
  <c r="W19" i="12"/>
  <c r="W20" i="12"/>
  <c r="W21" i="12"/>
  <c r="W22" i="12"/>
  <c r="W23" i="12"/>
  <c r="W24" i="12"/>
  <c r="W27" i="12"/>
  <c r="W31" i="12"/>
  <c r="W34" i="12"/>
  <c r="W35" i="12"/>
  <c r="W36" i="12"/>
  <c r="W37" i="12"/>
  <c r="W38" i="12"/>
  <c r="W39" i="12"/>
  <c r="W40" i="12"/>
  <c r="W41" i="12"/>
  <c r="X7" i="12"/>
  <c r="X8" i="12"/>
  <c r="X13" i="12"/>
  <c r="X15" i="12"/>
  <c r="X16" i="12"/>
  <c r="X18" i="12"/>
  <c r="X19" i="12"/>
  <c r="X20" i="12"/>
  <c r="X21" i="12"/>
  <c r="X22" i="12"/>
  <c r="X23" i="12"/>
  <c r="X24" i="12"/>
  <c r="X31" i="12"/>
  <c r="X34" i="12"/>
  <c r="X35" i="12"/>
  <c r="X36" i="12"/>
  <c r="X37" i="12"/>
  <c r="X39" i="12"/>
  <c r="X40" i="12"/>
  <c r="X41" i="12"/>
  <c r="Y6" i="12"/>
  <c r="Y7" i="12"/>
  <c r="Y8" i="12"/>
  <c r="Y12" i="12"/>
  <c r="Y15" i="12"/>
  <c r="Y18" i="12"/>
  <c r="Y19" i="12"/>
  <c r="Y20" i="12"/>
  <c r="Y21" i="12"/>
  <c r="Y22" i="12"/>
  <c r="Y23" i="12"/>
  <c r="Y24" i="12"/>
  <c r="Y26" i="12"/>
  <c r="Y27" i="12"/>
  <c r="Y29" i="12"/>
  <c r="Y30" i="12"/>
  <c r="Y34" i="12"/>
  <c r="Y37" i="12"/>
  <c r="Y39" i="12"/>
  <c r="Y40" i="12"/>
  <c r="Y41" i="12"/>
  <c r="Z11" i="12"/>
  <c r="Z15" i="12"/>
  <c r="Z16" i="12"/>
  <c r="Z17" i="12"/>
  <c r="Z18" i="12"/>
  <c r="Z20" i="12"/>
  <c r="Z23" i="12"/>
  <c r="Z24" i="12"/>
  <c r="Z27" i="12"/>
  <c r="Z29" i="12"/>
  <c r="Z31" i="12"/>
  <c r="Z32" i="12"/>
  <c r="Z34" i="12"/>
  <c r="Z35" i="12"/>
  <c r="Z36" i="12"/>
  <c r="Z39" i="12"/>
  <c r="Z40" i="12"/>
  <c r="Z41" i="12"/>
  <c r="AA8" i="12"/>
  <c r="AA9" i="12"/>
  <c r="AA10" i="12"/>
  <c r="AA16" i="12"/>
  <c r="AA17" i="12"/>
  <c r="AA18" i="12"/>
  <c r="AA19" i="12"/>
  <c r="AA20" i="12"/>
  <c r="AA22" i="12"/>
  <c r="AA23" i="12"/>
  <c r="AA24" i="12"/>
  <c r="AA31" i="12"/>
  <c r="AA32" i="12"/>
  <c r="AA35" i="12"/>
  <c r="AA39" i="12"/>
  <c r="AB7" i="12"/>
  <c r="AB11" i="12"/>
  <c r="AB15" i="12"/>
  <c r="AB16" i="12"/>
  <c r="AB17" i="12"/>
  <c r="AB18" i="12"/>
  <c r="AB19" i="12"/>
  <c r="AB20" i="12"/>
  <c r="AB22" i="12"/>
  <c r="AB23" i="12"/>
  <c r="AB24" i="12"/>
  <c r="AB27" i="12"/>
  <c r="AB29" i="12"/>
  <c r="AB31" i="12"/>
  <c r="AB34" i="12"/>
  <c r="AB35" i="12"/>
  <c r="AB38" i="12"/>
  <c r="AB39" i="12"/>
  <c r="AB40" i="12"/>
  <c r="AC7" i="12"/>
  <c r="AC8" i="12"/>
  <c r="AC9" i="12"/>
  <c r="AC11" i="12"/>
  <c r="AC12" i="12"/>
  <c r="AC13" i="12"/>
  <c r="AC14" i="12"/>
  <c r="AC15" i="12"/>
  <c r="AC16" i="12"/>
  <c r="AC18" i="12"/>
  <c r="AC19" i="12"/>
  <c r="AC20" i="12"/>
  <c r="AC22" i="12"/>
  <c r="AC23" i="12"/>
  <c r="AC24" i="12"/>
  <c r="AC26" i="12"/>
  <c r="AC27" i="12"/>
  <c r="AC29" i="12"/>
  <c r="AC30" i="12"/>
  <c r="AC31" i="12"/>
  <c r="AC32" i="12"/>
  <c r="AC34" i="12"/>
  <c r="AC35" i="12"/>
  <c r="AC36" i="12"/>
  <c r="AC37" i="12"/>
  <c r="AC38" i="12"/>
  <c r="AC39" i="12"/>
  <c r="AC40" i="12"/>
  <c r="AC41" i="12"/>
  <c r="V11" i="3"/>
  <c r="V13" i="3"/>
  <c r="V17" i="3"/>
  <c r="V18" i="3"/>
  <c r="V19" i="3"/>
  <c r="V24" i="3"/>
  <c r="V25" i="3"/>
  <c r="V39" i="3"/>
  <c r="V41" i="3"/>
  <c r="V42" i="3"/>
  <c r="B14" i="5"/>
  <c r="W16" i="3"/>
  <c r="W17" i="3"/>
  <c r="W18" i="3"/>
  <c r="W19" i="3"/>
  <c r="W24" i="3"/>
  <c r="W25" i="3"/>
  <c r="W29" i="3"/>
  <c r="W30" i="3"/>
  <c r="W34" i="3"/>
  <c r="W42" i="3"/>
  <c r="C14" i="5"/>
  <c r="X8" i="3"/>
  <c r="X10" i="3"/>
  <c r="X13" i="3"/>
  <c r="X15" i="3"/>
  <c r="X17" i="3"/>
  <c r="X18" i="3"/>
  <c r="X19" i="3"/>
  <c r="X21" i="3"/>
  <c r="X22" i="3"/>
  <c r="X24" i="3"/>
  <c r="X25" i="3"/>
  <c r="X29" i="3"/>
  <c r="X30" i="3"/>
  <c r="X34" i="3"/>
  <c r="X41" i="3"/>
  <c r="X42" i="3"/>
  <c r="D14" i="5"/>
  <c r="Y6" i="3"/>
  <c r="Y8" i="3"/>
  <c r="Y9" i="3"/>
  <c r="Y13" i="3"/>
  <c r="Y15" i="3"/>
  <c r="Y17" i="3"/>
  <c r="Y18" i="3"/>
  <c r="Y19" i="3"/>
  <c r="Y24" i="3"/>
  <c r="Y25" i="3"/>
  <c r="Y29" i="3"/>
  <c r="Y31" i="3"/>
  <c r="Y35" i="3"/>
  <c r="Y39" i="3"/>
  <c r="Y42" i="3"/>
  <c r="E14" i="5"/>
  <c r="Z6" i="3"/>
  <c r="Z8" i="3"/>
  <c r="Z9" i="3"/>
  <c r="Z10" i="3"/>
  <c r="Z11" i="3"/>
  <c r="Z13" i="3"/>
  <c r="Z14" i="3"/>
  <c r="Z17" i="3"/>
  <c r="Z18" i="3"/>
  <c r="Z19" i="3"/>
  <c r="Z22" i="3"/>
  <c r="Z24" i="3"/>
  <c r="Z25" i="3"/>
  <c r="Z27" i="3"/>
  <c r="Z29" i="3"/>
  <c r="Z30" i="3"/>
  <c r="Z32" i="3"/>
  <c r="Z35" i="3"/>
  <c r="Z36" i="3"/>
  <c r="Z37" i="3"/>
  <c r="Z38" i="3"/>
  <c r="Z42" i="3"/>
  <c r="F14" i="5"/>
  <c r="AA10" i="3"/>
  <c r="AA12" i="3"/>
  <c r="AA16" i="3"/>
  <c r="AA17" i="3"/>
  <c r="AA20" i="3"/>
  <c r="AA24" i="3"/>
  <c r="AA29" i="3"/>
  <c r="AA35" i="3"/>
  <c r="AA42" i="3"/>
  <c r="G14" i="5"/>
  <c r="AB12" i="3"/>
  <c r="AB16" i="3"/>
  <c r="AB17" i="3"/>
  <c r="AB18" i="3"/>
  <c r="AB20" i="3"/>
  <c r="AB22" i="3"/>
  <c r="AB24" i="3"/>
  <c r="AB25" i="3"/>
  <c r="AB27" i="3"/>
  <c r="AB29" i="3"/>
  <c r="AB35" i="3"/>
  <c r="AB39" i="3"/>
  <c r="AB42" i="3"/>
  <c r="H14" i="5"/>
  <c r="AC6" i="3"/>
  <c r="AC8" i="3"/>
  <c r="AC9" i="3"/>
  <c r="AC11" i="3"/>
  <c r="AC13" i="3"/>
  <c r="AC15" i="3"/>
  <c r="AC16" i="3"/>
  <c r="AC17" i="3"/>
  <c r="AC19" i="3"/>
  <c r="AC20" i="3"/>
  <c r="AC21" i="3"/>
  <c r="AC22" i="3"/>
  <c r="AC24" i="3"/>
  <c r="AC25" i="3"/>
  <c r="AC26" i="3"/>
  <c r="AC28" i="3"/>
  <c r="AC29" i="3"/>
  <c r="AC31" i="3"/>
  <c r="AC32" i="3"/>
  <c r="AC34" i="3"/>
  <c r="AC35" i="3"/>
  <c r="AC36" i="3"/>
  <c r="AC37" i="3"/>
  <c r="AC38" i="3"/>
  <c r="AC39" i="3"/>
  <c r="AC42" i="3"/>
  <c r="I14" i="5"/>
  <c r="B9" i="5"/>
  <c r="C9" i="5"/>
  <c r="D9" i="5"/>
  <c r="E9" i="5"/>
  <c r="F9" i="5"/>
  <c r="G9" i="5"/>
  <c r="H9" i="5"/>
  <c r="I9" i="5"/>
  <c r="J9" i="5"/>
  <c r="K9" i="5"/>
  <c r="B8" i="5"/>
  <c r="C8" i="5"/>
  <c r="D8" i="5"/>
  <c r="E8" i="5"/>
  <c r="F8" i="5"/>
  <c r="G8" i="5"/>
  <c r="H8" i="5"/>
  <c r="I8" i="5"/>
  <c r="B7" i="5"/>
  <c r="C7" i="5"/>
  <c r="D7" i="5"/>
  <c r="E7" i="5"/>
  <c r="F7" i="5"/>
  <c r="G7" i="5"/>
  <c r="H7" i="5"/>
  <c r="I7" i="5"/>
  <c r="B6" i="5"/>
  <c r="C6" i="5"/>
  <c r="D6" i="5"/>
  <c r="E6" i="5"/>
  <c r="F6" i="5"/>
  <c r="G6" i="5"/>
  <c r="H6" i="5"/>
  <c r="I6" i="5"/>
  <c r="B5" i="5"/>
  <c r="C5" i="5"/>
  <c r="D5" i="5"/>
  <c r="E5" i="5"/>
  <c r="F5" i="5"/>
  <c r="G5" i="5"/>
  <c r="H5" i="5"/>
  <c r="I5" i="5"/>
  <c r="J5" i="5"/>
  <c r="K5" i="5"/>
  <c r="J15" i="5"/>
  <c r="H22" i="5"/>
  <c r="G22" i="5"/>
  <c r="F22" i="5"/>
  <c r="E22" i="5"/>
  <c r="D22" i="5"/>
  <c r="B22" i="5"/>
  <c r="H4" i="5"/>
  <c r="G4" i="5"/>
  <c r="F4" i="5"/>
  <c r="E4" i="5"/>
  <c r="D4" i="5"/>
  <c r="B4" i="5"/>
  <c r="H4" i="4"/>
  <c r="G4" i="4"/>
  <c r="F4" i="4"/>
  <c r="E4" i="4"/>
  <c r="D4" i="4"/>
  <c r="H16" i="4"/>
  <c r="G16" i="4"/>
  <c r="F16" i="4"/>
  <c r="E16" i="4"/>
  <c r="D16" i="4"/>
  <c r="AP29" i="17"/>
  <c r="AP13" i="17"/>
  <c r="AP11" i="17"/>
  <c r="AP10" i="17"/>
  <c r="AP9" i="17"/>
  <c r="AP19" i="17"/>
  <c r="AP17" i="17"/>
  <c r="AP25" i="17"/>
  <c r="AP23" i="17"/>
  <c r="AP5" i="17"/>
  <c r="AP30" i="16"/>
  <c r="AP29" i="16"/>
  <c r="AP26" i="16"/>
  <c r="AP25" i="16"/>
  <c r="AP24" i="16"/>
  <c r="AP23" i="16"/>
  <c r="AP20" i="16"/>
  <c r="AP19" i="16"/>
  <c r="AP18" i="16"/>
  <c r="AP17" i="16"/>
  <c r="AP14" i="16"/>
  <c r="AP13" i="16"/>
  <c r="AP12" i="16"/>
  <c r="AP11" i="16"/>
  <c r="AP10" i="16"/>
  <c r="AP9" i="16"/>
  <c r="AP6" i="16"/>
  <c r="AP5" i="16"/>
  <c r="AP25" i="15"/>
  <c r="AP23" i="15"/>
  <c r="AP29" i="15"/>
  <c r="AP19" i="15"/>
  <c r="AP17" i="15"/>
  <c r="AP13" i="15"/>
  <c r="AP11" i="15"/>
  <c r="AP10" i="15"/>
  <c r="AP9" i="15"/>
  <c r="AP5" i="15"/>
  <c r="AC30" i="20"/>
  <c r="AB30" i="20"/>
  <c r="AA30" i="20"/>
  <c r="Z30" i="20"/>
  <c r="Y30" i="20"/>
  <c r="X30" i="20"/>
  <c r="W30" i="20"/>
  <c r="V30" i="20"/>
  <c r="AC29" i="20"/>
  <c r="AB29" i="20"/>
  <c r="AA29" i="20"/>
  <c r="Z29" i="20"/>
  <c r="Y29" i="20"/>
  <c r="X29" i="20"/>
  <c r="W29" i="20"/>
  <c r="V29" i="20"/>
  <c r="AC26" i="20"/>
  <c r="AB26" i="20"/>
  <c r="AA26" i="20"/>
  <c r="Z26" i="20"/>
  <c r="Y26" i="20"/>
  <c r="X26" i="20"/>
  <c r="W26" i="20"/>
  <c r="V26" i="20"/>
  <c r="AC25" i="20"/>
  <c r="AB25" i="20"/>
  <c r="AA25" i="20"/>
  <c r="Z25" i="20"/>
  <c r="Y25" i="20"/>
  <c r="X25" i="20"/>
  <c r="W25" i="20"/>
  <c r="V25" i="20"/>
  <c r="AC24" i="20"/>
  <c r="AB24" i="20"/>
  <c r="AA24" i="20"/>
  <c r="Z24" i="20"/>
  <c r="Y24" i="20"/>
  <c r="X24" i="20"/>
  <c r="W24" i="20"/>
  <c r="V24" i="20"/>
  <c r="AC23" i="20"/>
  <c r="AB23" i="20"/>
  <c r="AA23" i="20"/>
  <c r="Z23" i="20"/>
  <c r="Y23" i="20"/>
  <c r="X23" i="20"/>
  <c r="W23" i="20"/>
  <c r="V23" i="20"/>
  <c r="AC20" i="20"/>
  <c r="AB20" i="20"/>
  <c r="AA20" i="20"/>
  <c r="Z20" i="20"/>
  <c r="Y20" i="20"/>
  <c r="X20" i="20"/>
  <c r="W20" i="20"/>
  <c r="V20" i="20"/>
  <c r="AC19" i="20"/>
  <c r="AB19" i="20"/>
  <c r="AA19" i="20"/>
  <c r="Z19" i="20"/>
  <c r="Y19" i="20"/>
  <c r="X19" i="20"/>
  <c r="W19" i="20"/>
  <c r="V19" i="20"/>
  <c r="AC18" i="20"/>
  <c r="AB18" i="20"/>
  <c r="AA18" i="20"/>
  <c r="Z18" i="20"/>
  <c r="Y18" i="20"/>
  <c r="X18" i="20"/>
  <c r="W18" i="20"/>
  <c r="V18" i="20"/>
  <c r="AC17" i="20"/>
  <c r="AB17" i="20"/>
  <c r="AA17" i="20"/>
  <c r="Z17" i="20"/>
  <c r="Y17" i="20"/>
  <c r="X17" i="20"/>
  <c r="W17" i="20"/>
  <c r="V17" i="20"/>
  <c r="AC14" i="20"/>
  <c r="AB14" i="20"/>
  <c r="AA14" i="20"/>
  <c r="Z14" i="20"/>
  <c r="Y14" i="20"/>
  <c r="X14" i="20"/>
  <c r="W14" i="20"/>
  <c r="V14" i="20"/>
  <c r="AC13" i="20"/>
  <c r="AB13" i="20"/>
  <c r="AA13" i="20"/>
  <c r="Z13" i="20"/>
  <c r="Y13" i="20"/>
  <c r="X13" i="20"/>
  <c r="W13" i="20"/>
  <c r="V13" i="20"/>
  <c r="AC12" i="20"/>
  <c r="AB12" i="20"/>
  <c r="AA12" i="20"/>
  <c r="Z12" i="20"/>
  <c r="Y12" i="20"/>
  <c r="X12" i="20"/>
  <c r="W12" i="20"/>
  <c r="V12" i="20"/>
  <c r="AC11" i="20"/>
  <c r="AB11" i="20"/>
  <c r="AA11" i="20"/>
  <c r="Z11" i="20"/>
  <c r="Y11" i="20"/>
  <c r="X11" i="20"/>
  <c r="W11" i="20"/>
  <c r="V11" i="20"/>
  <c r="AC10" i="20"/>
  <c r="AB10" i="20"/>
  <c r="AA10" i="20"/>
  <c r="Z10" i="20"/>
  <c r="Y10" i="20"/>
  <c r="X10" i="20"/>
  <c r="W10" i="20"/>
  <c r="V10" i="20"/>
  <c r="AC9" i="20"/>
  <c r="AB9" i="20"/>
  <c r="AA9" i="20"/>
  <c r="Z9" i="20"/>
  <c r="Y9" i="20"/>
  <c r="X9" i="20"/>
  <c r="W9" i="20"/>
  <c r="V9" i="20"/>
  <c r="AC6" i="20"/>
  <c r="AB6" i="20"/>
  <c r="AA6" i="20"/>
  <c r="Z6" i="20"/>
  <c r="Y6" i="20"/>
  <c r="X6" i="20"/>
  <c r="W6" i="20"/>
  <c r="V6" i="20"/>
  <c r="AC5" i="20"/>
  <c r="AB5" i="20"/>
  <c r="AA5" i="20"/>
  <c r="Z5" i="20"/>
  <c r="Y5" i="20"/>
  <c r="X5" i="20"/>
  <c r="W5" i="20"/>
  <c r="V5" i="20"/>
  <c r="I30" i="20"/>
  <c r="H30" i="20"/>
  <c r="G30" i="20"/>
  <c r="F30" i="20"/>
  <c r="E30" i="20"/>
  <c r="D30" i="20"/>
  <c r="C30" i="20"/>
  <c r="I29" i="20"/>
  <c r="H29" i="20"/>
  <c r="G29" i="20"/>
  <c r="F29" i="20"/>
  <c r="E29" i="20"/>
  <c r="D29" i="20"/>
  <c r="C29" i="20"/>
  <c r="I26" i="20"/>
  <c r="H26" i="20"/>
  <c r="G26" i="20"/>
  <c r="F26" i="20"/>
  <c r="E26" i="20"/>
  <c r="D26" i="20"/>
  <c r="C26" i="20"/>
  <c r="I25" i="20"/>
  <c r="H25" i="20"/>
  <c r="G25" i="20"/>
  <c r="F25" i="20"/>
  <c r="E25" i="20"/>
  <c r="D25" i="20"/>
  <c r="C25" i="20"/>
  <c r="I24" i="20"/>
  <c r="H24" i="20"/>
  <c r="G24" i="20"/>
  <c r="F24" i="20"/>
  <c r="E24" i="20"/>
  <c r="D24" i="20"/>
  <c r="C24" i="20"/>
  <c r="I23" i="20"/>
  <c r="H23" i="20"/>
  <c r="G23" i="20"/>
  <c r="F23" i="20"/>
  <c r="E23" i="20"/>
  <c r="D23" i="20"/>
  <c r="C23" i="20"/>
  <c r="I20" i="20"/>
  <c r="H20" i="20"/>
  <c r="G20" i="20"/>
  <c r="F20" i="20"/>
  <c r="E20" i="20"/>
  <c r="D20" i="20"/>
  <c r="C20" i="20"/>
  <c r="I19" i="20"/>
  <c r="H19" i="20"/>
  <c r="G19" i="20"/>
  <c r="F19" i="20"/>
  <c r="E19" i="20"/>
  <c r="D19" i="20"/>
  <c r="C19" i="20"/>
  <c r="I18" i="20"/>
  <c r="H18" i="20"/>
  <c r="G18" i="20"/>
  <c r="F18" i="20"/>
  <c r="E18" i="20"/>
  <c r="D18" i="20"/>
  <c r="C18" i="20"/>
  <c r="I17" i="20"/>
  <c r="H17" i="20"/>
  <c r="G17" i="20"/>
  <c r="F17" i="20"/>
  <c r="E17" i="20"/>
  <c r="D17" i="20"/>
  <c r="C17" i="20"/>
  <c r="I14" i="20"/>
  <c r="H14" i="20"/>
  <c r="G14" i="20"/>
  <c r="F14" i="20"/>
  <c r="E14" i="20"/>
  <c r="D14" i="20"/>
  <c r="C14" i="20"/>
  <c r="I13" i="20"/>
  <c r="H13" i="20"/>
  <c r="G13" i="20"/>
  <c r="F13" i="20"/>
  <c r="E13" i="20"/>
  <c r="D13" i="20"/>
  <c r="C13" i="20"/>
  <c r="I12" i="20"/>
  <c r="H12" i="20"/>
  <c r="G12" i="20"/>
  <c r="F12" i="20"/>
  <c r="E12" i="20"/>
  <c r="D12" i="20"/>
  <c r="C12" i="20"/>
  <c r="I11" i="20"/>
  <c r="H11" i="20"/>
  <c r="G11" i="20"/>
  <c r="F11" i="20"/>
  <c r="E11" i="20"/>
  <c r="D11" i="20"/>
  <c r="C11" i="20"/>
  <c r="I10" i="20"/>
  <c r="H10" i="20"/>
  <c r="G10" i="20"/>
  <c r="F10" i="20"/>
  <c r="E10" i="20"/>
  <c r="D10" i="20"/>
  <c r="C10" i="20"/>
  <c r="I9" i="20"/>
  <c r="H9" i="20"/>
  <c r="G9" i="20"/>
  <c r="F9" i="20"/>
  <c r="E9" i="20"/>
  <c r="D9" i="20"/>
  <c r="C9" i="20"/>
  <c r="I6" i="20"/>
  <c r="H6" i="20"/>
  <c r="G6" i="20"/>
  <c r="F6" i="20"/>
  <c r="E6" i="20"/>
  <c r="D6" i="20"/>
  <c r="C6" i="20"/>
  <c r="I5" i="20"/>
  <c r="H5" i="20"/>
  <c r="G5" i="20"/>
  <c r="F5" i="20"/>
  <c r="E5" i="20"/>
  <c r="D5" i="20"/>
  <c r="C5" i="20"/>
  <c r="B26" i="20"/>
  <c r="J26" i="20"/>
  <c r="B25" i="20"/>
  <c r="B24" i="20"/>
  <c r="J24" i="20"/>
  <c r="B23" i="20"/>
  <c r="B20" i="20"/>
  <c r="B19" i="20"/>
  <c r="B18" i="20"/>
  <c r="B17" i="20"/>
  <c r="J17" i="20"/>
  <c r="B14" i="20"/>
  <c r="B13" i="20"/>
  <c r="B12" i="20"/>
  <c r="J12" i="20"/>
  <c r="B11" i="20"/>
  <c r="B10" i="20"/>
  <c r="B9" i="20"/>
  <c r="B6" i="20"/>
  <c r="B5" i="20"/>
  <c r="B30" i="20"/>
  <c r="B29" i="20"/>
  <c r="J29" i="20"/>
  <c r="J19" i="20"/>
  <c r="AC30" i="19"/>
  <c r="AB30" i="19"/>
  <c r="AA30" i="19"/>
  <c r="Z30" i="19"/>
  <c r="Y30" i="19"/>
  <c r="X30" i="19"/>
  <c r="W30" i="19"/>
  <c r="V30" i="19"/>
  <c r="AC29" i="19"/>
  <c r="AB29" i="19"/>
  <c r="AA29" i="19"/>
  <c r="Z29" i="19"/>
  <c r="Y29" i="19"/>
  <c r="X29" i="19"/>
  <c r="W29" i="19"/>
  <c r="V29" i="19"/>
  <c r="AC26" i="19"/>
  <c r="AB26" i="19"/>
  <c r="AA26" i="19"/>
  <c r="Z26" i="19"/>
  <c r="Y26" i="19"/>
  <c r="X26" i="19"/>
  <c r="W26" i="19"/>
  <c r="V26" i="19"/>
  <c r="AC25" i="19"/>
  <c r="AB25" i="19"/>
  <c r="AA25" i="19"/>
  <c r="Z25" i="19"/>
  <c r="Y25" i="19"/>
  <c r="X25" i="19"/>
  <c r="W25" i="19"/>
  <c r="V25" i="19"/>
  <c r="AC24" i="19"/>
  <c r="AB24" i="19"/>
  <c r="AA24" i="19"/>
  <c r="Z24" i="19"/>
  <c r="Y24" i="19"/>
  <c r="X24" i="19"/>
  <c r="W24" i="19"/>
  <c r="V24" i="19"/>
  <c r="AC23" i="19"/>
  <c r="AB23" i="19"/>
  <c r="AA23" i="19"/>
  <c r="Z23" i="19"/>
  <c r="Y23" i="19"/>
  <c r="X23" i="19"/>
  <c r="W23" i="19"/>
  <c r="V23" i="19"/>
  <c r="AC20" i="19"/>
  <c r="AB20" i="19"/>
  <c r="AA20" i="19"/>
  <c r="Z20" i="19"/>
  <c r="Y20" i="19"/>
  <c r="X20" i="19"/>
  <c r="W20" i="19"/>
  <c r="V20" i="19"/>
  <c r="AC19" i="19"/>
  <c r="AB19" i="19"/>
  <c r="AA19" i="19"/>
  <c r="Z19" i="19"/>
  <c r="Y19" i="19"/>
  <c r="X19" i="19"/>
  <c r="W19" i="19"/>
  <c r="V19" i="19"/>
  <c r="AC18" i="19"/>
  <c r="AB18" i="19"/>
  <c r="AA18" i="19"/>
  <c r="Z18" i="19"/>
  <c r="Y18" i="19"/>
  <c r="X18" i="19"/>
  <c r="W18" i="19"/>
  <c r="V18" i="19"/>
  <c r="AC17" i="19"/>
  <c r="AB17" i="19"/>
  <c r="AA17" i="19"/>
  <c r="Z17" i="19"/>
  <c r="Y17" i="19"/>
  <c r="X17" i="19"/>
  <c r="W17" i="19"/>
  <c r="V17" i="19"/>
  <c r="AC14" i="19"/>
  <c r="AB14" i="19"/>
  <c r="AA14" i="19"/>
  <c r="Z14" i="19"/>
  <c r="Y14" i="19"/>
  <c r="X14" i="19"/>
  <c r="W14" i="19"/>
  <c r="V14" i="19"/>
  <c r="AC13" i="19"/>
  <c r="AB13" i="19"/>
  <c r="AA13" i="19"/>
  <c r="Z13" i="19"/>
  <c r="Y13" i="19"/>
  <c r="X13" i="19"/>
  <c r="W13" i="19"/>
  <c r="V13" i="19"/>
  <c r="AC12" i="19"/>
  <c r="AB12" i="19"/>
  <c r="AA12" i="19"/>
  <c r="Z12" i="19"/>
  <c r="Y12" i="19"/>
  <c r="X12" i="19"/>
  <c r="W12" i="19"/>
  <c r="V12" i="19"/>
  <c r="AC11" i="19"/>
  <c r="AB11" i="19"/>
  <c r="AA11" i="19"/>
  <c r="Z11" i="19"/>
  <c r="Y11" i="19"/>
  <c r="X11" i="19"/>
  <c r="W11" i="19"/>
  <c r="V11" i="19"/>
  <c r="AC10" i="19"/>
  <c r="AB10" i="19"/>
  <c r="AA10" i="19"/>
  <c r="Z10" i="19"/>
  <c r="Y10" i="19"/>
  <c r="X10" i="19"/>
  <c r="W10" i="19"/>
  <c r="V10" i="19"/>
  <c r="AC9" i="19"/>
  <c r="AB9" i="19"/>
  <c r="AA9" i="19"/>
  <c r="Z9" i="19"/>
  <c r="Y9" i="19"/>
  <c r="X9" i="19"/>
  <c r="W9" i="19"/>
  <c r="V9" i="19"/>
  <c r="AC6" i="19"/>
  <c r="AB6" i="19"/>
  <c r="AA6" i="19"/>
  <c r="Z6" i="19"/>
  <c r="Y6" i="19"/>
  <c r="X6" i="19"/>
  <c r="W6" i="19"/>
  <c r="V6" i="19"/>
  <c r="AC5" i="19"/>
  <c r="AB5" i="19"/>
  <c r="AA5" i="19"/>
  <c r="Z5" i="19"/>
  <c r="Y5" i="19"/>
  <c r="X5" i="19"/>
  <c r="W5" i="19"/>
  <c r="V5" i="19"/>
  <c r="I30" i="19"/>
  <c r="H30" i="19"/>
  <c r="G30" i="19"/>
  <c r="F30" i="19"/>
  <c r="E30" i="19"/>
  <c r="D30" i="19"/>
  <c r="C30" i="19"/>
  <c r="I29" i="19"/>
  <c r="H29" i="19"/>
  <c r="G29" i="19"/>
  <c r="F29" i="19"/>
  <c r="E29" i="19"/>
  <c r="D29" i="19"/>
  <c r="C29" i="19"/>
  <c r="I26" i="19"/>
  <c r="H26" i="19"/>
  <c r="G26" i="19"/>
  <c r="F26" i="19"/>
  <c r="E26" i="19"/>
  <c r="D26" i="19"/>
  <c r="C26" i="19"/>
  <c r="I25" i="19"/>
  <c r="H25" i="19"/>
  <c r="G25" i="19"/>
  <c r="F25" i="19"/>
  <c r="E25" i="19"/>
  <c r="D25" i="19"/>
  <c r="C25" i="19"/>
  <c r="I24" i="19"/>
  <c r="H24" i="19"/>
  <c r="G24" i="19"/>
  <c r="F24" i="19"/>
  <c r="E24" i="19"/>
  <c r="D24" i="19"/>
  <c r="C24" i="19"/>
  <c r="I23" i="19"/>
  <c r="H23" i="19"/>
  <c r="G23" i="19"/>
  <c r="F23" i="19"/>
  <c r="E23" i="19"/>
  <c r="D23" i="19"/>
  <c r="C23" i="19"/>
  <c r="I20" i="19"/>
  <c r="H20" i="19"/>
  <c r="G20" i="19"/>
  <c r="F20" i="19"/>
  <c r="E20" i="19"/>
  <c r="D20" i="19"/>
  <c r="C20" i="19"/>
  <c r="I19" i="19"/>
  <c r="H19" i="19"/>
  <c r="G19" i="19"/>
  <c r="F19" i="19"/>
  <c r="E19" i="19"/>
  <c r="D19" i="19"/>
  <c r="C19" i="19"/>
  <c r="I18" i="19"/>
  <c r="H18" i="19"/>
  <c r="G18" i="19"/>
  <c r="F18" i="19"/>
  <c r="E18" i="19"/>
  <c r="D18" i="19"/>
  <c r="C18" i="19"/>
  <c r="I17" i="19"/>
  <c r="H17" i="19"/>
  <c r="G17" i="19"/>
  <c r="F17" i="19"/>
  <c r="E17" i="19"/>
  <c r="D17" i="19"/>
  <c r="C17" i="19"/>
  <c r="I14" i="19"/>
  <c r="H14" i="19"/>
  <c r="G14" i="19"/>
  <c r="F14" i="19"/>
  <c r="E14" i="19"/>
  <c r="D14" i="19"/>
  <c r="C14" i="19"/>
  <c r="I13" i="19"/>
  <c r="H13" i="19"/>
  <c r="G13" i="19"/>
  <c r="F13" i="19"/>
  <c r="E13" i="19"/>
  <c r="D13" i="19"/>
  <c r="C13" i="19"/>
  <c r="I12" i="19"/>
  <c r="H12" i="19"/>
  <c r="G12" i="19"/>
  <c r="F12" i="19"/>
  <c r="E12" i="19"/>
  <c r="D12" i="19"/>
  <c r="C12" i="19"/>
  <c r="I11" i="19"/>
  <c r="H11" i="19"/>
  <c r="G11" i="19"/>
  <c r="F11" i="19"/>
  <c r="E11" i="19"/>
  <c r="D11" i="19"/>
  <c r="C11" i="19"/>
  <c r="I10" i="19"/>
  <c r="H10" i="19"/>
  <c r="G10" i="19"/>
  <c r="F10" i="19"/>
  <c r="E10" i="19"/>
  <c r="D10" i="19"/>
  <c r="C10" i="19"/>
  <c r="I9" i="19"/>
  <c r="H9" i="19"/>
  <c r="G9" i="19"/>
  <c r="F9" i="19"/>
  <c r="E9" i="19"/>
  <c r="D9" i="19"/>
  <c r="C9" i="19"/>
  <c r="I6" i="19"/>
  <c r="H6" i="19"/>
  <c r="G6" i="19"/>
  <c r="F6" i="19"/>
  <c r="E6" i="19"/>
  <c r="D6" i="19"/>
  <c r="C6" i="19"/>
  <c r="I5" i="19"/>
  <c r="H5" i="19"/>
  <c r="G5" i="19"/>
  <c r="F5" i="19"/>
  <c r="E5" i="19"/>
  <c r="D5" i="19"/>
  <c r="C5" i="19"/>
  <c r="B30" i="19"/>
  <c r="B29" i="19"/>
  <c r="B26" i="19"/>
  <c r="B25" i="19"/>
  <c r="B24" i="19"/>
  <c r="B23" i="19"/>
  <c r="B20" i="19"/>
  <c r="J20" i="19"/>
  <c r="B19" i="19"/>
  <c r="B18" i="19"/>
  <c r="B17" i="19"/>
  <c r="B14" i="19"/>
  <c r="J14" i="19"/>
  <c r="B13" i="19"/>
  <c r="B12" i="19"/>
  <c r="J12" i="19"/>
  <c r="B11" i="19"/>
  <c r="B10" i="19"/>
  <c r="J10" i="19"/>
  <c r="B9" i="19"/>
  <c r="B6" i="19"/>
  <c r="B5" i="19"/>
  <c r="AB30" i="18"/>
  <c r="AA30" i="18"/>
  <c r="Z30" i="18"/>
  <c r="Y30" i="18"/>
  <c r="X30" i="18"/>
  <c r="V30" i="18"/>
  <c r="AB29" i="18"/>
  <c r="AA29" i="18"/>
  <c r="Z29" i="18"/>
  <c r="Y29" i="18"/>
  <c r="X29" i="18"/>
  <c r="V29" i="18"/>
  <c r="AB26" i="18"/>
  <c r="AA26" i="18"/>
  <c r="Z26" i="18"/>
  <c r="Y26" i="18"/>
  <c r="X26" i="18"/>
  <c r="V26" i="18"/>
  <c r="AB25" i="18"/>
  <c r="AA25" i="18"/>
  <c r="Z25" i="18"/>
  <c r="Y25" i="18"/>
  <c r="X25" i="18"/>
  <c r="V25" i="18"/>
  <c r="AB24" i="18"/>
  <c r="AA24" i="18"/>
  <c r="Z24" i="18"/>
  <c r="Y24" i="18"/>
  <c r="X24" i="18"/>
  <c r="V24" i="18"/>
  <c r="AB23" i="18"/>
  <c r="AA23" i="18"/>
  <c r="Z23" i="18"/>
  <c r="Y23" i="18"/>
  <c r="X23" i="18"/>
  <c r="V23" i="18"/>
  <c r="AB20" i="18"/>
  <c r="AA20" i="18"/>
  <c r="Z20" i="18"/>
  <c r="Y20" i="18"/>
  <c r="X20" i="18"/>
  <c r="V20" i="18"/>
  <c r="AB19" i="18"/>
  <c r="AA19" i="18"/>
  <c r="Z19" i="18"/>
  <c r="Y19" i="18"/>
  <c r="X19" i="18"/>
  <c r="V19" i="18"/>
  <c r="AB18" i="18"/>
  <c r="AA18" i="18"/>
  <c r="Z18" i="18"/>
  <c r="Y18" i="18"/>
  <c r="X18" i="18"/>
  <c r="V18" i="18"/>
  <c r="AB17" i="18"/>
  <c r="AA17" i="18"/>
  <c r="Z17" i="18"/>
  <c r="Y17" i="18"/>
  <c r="X17" i="18"/>
  <c r="V17" i="18"/>
  <c r="AB14" i="18"/>
  <c r="AA14" i="18"/>
  <c r="Z14" i="18"/>
  <c r="Y14" i="18"/>
  <c r="X14" i="18"/>
  <c r="V14" i="18"/>
  <c r="AB13" i="18"/>
  <c r="AA13" i="18"/>
  <c r="Z13" i="18"/>
  <c r="Y13" i="18"/>
  <c r="X13" i="18"/>
  <c r="V13" i="18"/>
  <c r="AB12" i="18"/>
  <c r="AA12" i="18"/>
  <c r="Z12" i="18"/>
  <c r="Y12" i="18"/>
  <c r="X12" i="18"/>
  <c r="V12" i="18"/>
  <c r="AB11" i="18"/>
  <c r="AA11" i="18"/>
  <c r="Z11" i="18"/>
  <c r="Y11" i="18"/>
  <c r="X11" i="18"/>
  <c r="V11" i="18"/>
  <c r="AB10" i="18"/>
  <c r="AA10" i="18"/>
  <c r="Z10" i="18"/>
  <c r="Y10" i="18"/>
  <c r="X10" i="18"/>
  <c r="V10" i="18"/>
  <c r="AB9" i="18"/>
  <c r="AA9" i="18"/>
  <c r="Z9" i="18"/>
  <c r="Y9" i="18"/>
  <c r="X9" i="18"/>
  <c r="V9" i="18"/>
  <c r="AB6" i="18"/>
  <c r="AA6" i="18"/>
  <c r="Z6" i="18"/>
  <c r="Y6" i="18"/>
  <c r="X6" i="18"/>
  <c r="V6" i="18"/>
  <c r="AB5" i="18"/>
  <c r="AA5" i="18"/>
  <c r="Z5" i="18"/>
  <c r="Y5" i="18"/>
  <c r="X5" i="18"/>
  <c r="V5" i="18"/>
  <c r="H30" i="18"/>
  <c r="G30" i="18"/>
  <c r="F30" i="18"/>
  <c r="E30" i="18"/>
  <c r="D30" i="18"/>
  <c r="H29" i="18"/>
  <c r="G29" i="18"/>
  <c r="F29" i="18"/>
  <c r="E29" i="18"/>
  <c r="D29" i="18"/>
  <c r="B30" i="18"/>
  <c r="B29" i="18"/>
  <c r="H26" i="18"/>
  <c r="G26" i="18"/>
  <c r="F26" i="18"/>
  <c r="E26" i="18"/>
  <c r="D26" i="18"/>
  <c r="H25" i="18"/>
  <c r="G25" i="18"/>
  <c r="F25" i="18"/>
  <c r="E25" i="18"/>
  <c r="D25" i="18"/>
  <c r="H24" i="18"/>
  <c r="G24" i="18"/>
  <c r="F24" i="18"/>
  <c r="E24" i="18"/>
  <c r="D24" i="18"/>
  <c r="H23" i="18"/>
  <c r="G23" i="18"/>
  <c r="F23" i="18"/>
  <c r="E23" i="18"/>
  <c r="D23" i="18"/>
  <c r="B26" i="18"/>
  <c r="B25" i="18"/>
  <c r="B24" i="18"/>
  <c r="B23" i="18"/>
  <c r="H20" i="18"/>
  <c r="G20" i="18"/>
  <c r="F20" i="18"/>
  <c r="E20" i="18"/>
  <c r="D20" i="18"/>
  <c r="H19" i="18"/>
  <c r="G19" i="18"/>
  <c r="F19" i="18"/>
  <c r="E19" i="18"/>
  <c r="D19" i="18"/>
  <c r="H18" i="18"/>
  <c r="G18" i="18"/>
  <c r="F18" i="18"/>
  <c r="E18" i="18"/>
  <c r="D18" i="18"/>
  <c r="H17" i="18"/>
  <c r="G17" i="18"/>
  <c r="F17" i="18"/>
  <c r="E17" i="18"/>
  <c r="D17" i="18"/>
  <c r="B20" i="18"/>
  <c r="B19" i="18"/>
  <c r="B18" i="18"/>
  <c r="B17" i="18"/>
  <c r="H14" i="18"/>
  <c r="G14" i="18"/>
  <c r="F14" i="18"/>
  <c r="E14" i="18"/>
  <c r="D14" i="18"/>
  <c r="H13" i="18"/>
  <c r="G13" i="18"/>
  <c r="F13" i="18"/>
  <c r="E13" i="18"/>
  <c r="D13" i="18"/>
  <c r="H12" i="18"/>
  <c r="G12" i="18"/>
  <c r="F12" i="18"/>
  <c r="E12" i="18"/>
  <c r="D12" i="18"/>
  <c r="H11" i="18"/>
  <c r="G11" i="18"/>
  <c r="F11" i="18"/>
  <c r="E11" i="18"/>
  <c r="D11" i="18"/>
  <c r="H10" i="18"/>
  <c r="G10" i="18"/>
  <c r="F10" i="18"/>
  <c r="E10" i="18"/>
  <c r="D10" i="18"/>
  <c r="H9" i="18"/>
  <c r="G9" i="18"/>
  <c r="F9" i="18"/>
  <c r="E9" i="18"/>
  <c r="D9" i="18"/>
  <c r="B14" i="18"/>
  <c r="B13" i="18"/>
  <c r="B12" i="18"/>
  <c r="J12" i="18"/>
  <c r="B11" i="18"/>
  <c r="B10" i="18"/>
  <c r="B9" i="18"/>
  <c r="H6" i="18"/>
  <c r="G6" i="18"/>
  <c r="F6" i="18"/>
  <c r="E6" i="18"/>
  <c r="D6" i="18"/>
  <c r="H5" i="18"/>
  <c r="G5" i="18"/>
  <c r="F5" i="18"/>
  <c r="E5" i="18"/>
  <c r="D5" i="18"/>
  <c r="B6" i="18"/>
  <c r="J6" i="18"/>
  <c r="B5" i="18"/>
  <c r="AC30" i="17"/>
  <c r="AB30" i="17"/>
  <c r="AA30" i="17"/>
  <c r="Z30" i="17"/>
  <c r="Y30" i="17"/>
  <c r="X30" i="17"/>
  <c r="W30" i="17"/>
  <c r="V30" i="17"/>
  <c r="AC29" i="17"/>
  <c r="AB29" i="17"/>
  <c r="AA29" i="17"/>
  <c r="Z29" i="17"/>
  <c r="Y29" i="17"/>
  <c r="X29" i="17"/>
  <c r="W29" i="17"/>
  <c r="V29" i="17"/>
  <c r="AC26" i="17"/>
  <c r="AB26" i="17"/>
  <c r="AA26" i="17"/>
  <c r="Z26" i="17"/>
  <c r="Y26" i="17"/>
  <c r="X26" i="17"/>
  <c r="W26" i="17"/>
  <c r="V26" i="17"/>
  <c r="AD26" i="17"/>
  <c r="AC25" i="17"/>
  <c r="AB25" i="17"/>
  <c r="AA25" i="17"/>
  <c r="Z25" i="17"/>
  <c r="Y25" i="17"/>
  <c r="X25" i="17"/>
  <c r="W25" i="17"/>
  <c r="V25" i="17"/>
  <c r="AC24" i="17"/>
  <c r="AB24" i="17"/>
  <c r="AA24" i="17"/>
  <c r="Z24" i="17"/>
  <c r="Y24" i="17"/>
  <c r="X24" i="17"/>
  <c r="W24" i="17"/>
  <c r="V24" i="17"/>
  <c r="AC23" i="17"/>
  <c r="AB23" i="17"/>
  <c r="AA23" i="17"/>
  <c r="Z23" i="17"/>
  <c r="Y23" i="17"/>
  <c r="X23" i="17"/>
  <c r="W23" i="17"/>
  <c r="V23" i="17"/>
  <c r="AC20" i="17"/>
  <c r="AB20" i="17"/>
  <c r="AA20" i="17"/>
  <c r="Z20" i="17"/>
  <c r="Y20" i="17"/>
  <c r="X20" i="17"/>
  <c r="W20" i="17"/>
  <c r="V20" i="17"/>
  <c r="AD20" i="17"/>
  <c r="AC19" i="17"/>
  <c r="AB19" i="17"/>
  <c r="AA19" i="17"/>
  <c r="Z19" i="17"/>
  <c r="Y19" i="17"/>
  <c r="X19" i="17"/>
  <c r="W19" i="17"/>
  <c r="V19" i="17"/>
  <c r="AC18" i="17"/>
  <c r="AB18" i="17"/>
  <c r="AA18" i="17"/>
  <c r="Z18" i="17"/>
  <c r="Y18" i="17"/>
  <c r="X18" i="17"/>
  <c r="W18" i="17"/>
  <c r="V18" i="17"/>
  <c r="AC17" i="17"/>
  <c r="AB17" i="17"/>
  <c r="AA17" i="17"/>
  <c r="Z17" i="17"/>
  <c r="Y17" i="17"/>
  <c r="X17" i="17"/>
  <c r="W17" i="17"/>
  <c r="V17" i="17"/>
  <c r="AC14" i="17"/>
  <c r="AB14" i="17"/>
  <c r="AA14" i="17"/>
  <c r="Z14" i="17"/>
  <c r="Y14" i="17"/>
  <c r="X14" i="17"/>
  <c r="W14" i="17"/>
  <c r="V14" i="17"/>
  <c r="AC13" i="17"/>
  <c r="AB13" i="17"/>
  <c r="AA13" i="17"/>
  <c r="Z13" i="17"/>
  <c r="Y13" i="17"/>
  <c r="X13" i="17"/>
  <c r="W13" i="17"/>
  <c r="V13" i="17"/>
  <c r="AD13" i="17"/>
  <c r="AC12" i="17"/>
  <c r="AB12" i="17"/>
  <c r="AA12" i="17"/>
  <c r="Z12" i="17"/>
  <c r="Y12" i="17"/>
  <c r="X12" i="17"/>
  <c r="W12" i="17"/>
  <c r="V12" i="17"/>
  <c r="AC11" i="17"/>
  <c r="AB11" i="17"/>
  <c r="AA11" i="17"/>
  <c r="Z11" i="17"/>
  <c r="Y11" i="17"/>
  <c r="X11" i="17"/>
  <c r="W11" i="17"/>
  <c r="V11" i="17"/>
  <c r="AC10" i="17"/>
  <c r="AB10" i="17"/>
  <c r="AA10" i="17"/>
  <c r="Z10" i="17"/>
  <c r="Y10" i="17"/>
  <c r="X10" i="17"/>
  <c r="W10" i="17"/>
  <c r="V10" i="17"/>
  <c r="AC9" i="17"/>
  <c r="AB9" i="17"/>
  <c r="AA9" i="17"/>
  <c r="Z9" i="17"/>
  <c r="Y9" i="17"/>
  <c r="X9" i="17"/>
  <c r="W9" i="17"/>
  <c r="V9" i="17"/>
  <c r="AD9" i="17"/>
  <c r="AC6" i="17"/>
  <c r="AB6" i="17"/>
  <c r="AA6" i="17"/>
  <c r="Z6" i="17"/>
  <c r="Y6" i="17"/>
  <c r="X6" i="17"/>
  <c r="W6" i="17"/>
  <c r="V6" i="17"/>
  <c r="AC5" i="17"/>
  <c r="AB5" i="17"/>
  <c r="AA5" i="17"/>
  <c r="Z5" i="17"/>
  <c r="Y5" i="17"/>
  <c r="X5" i="17"/>
  <c r="W5" i="17"/>
  <c r="V5" i="17"/>
  <c r="I30" i="17"/>
  <c r="H30" i="17"/>
  <c r="G30" i="17"/>
  <c r="F30" i="17"/>
  <c r="E30" i="17"/>
  <c r="D30" i="17"/>
  <c r="C30" i="17"/>
  <c r="I29" i="17"/>
  <c r="H29" i="17"/>
  <c r="G29" i="17"/>
  <c r="F29" i="17"/>
  <c r="E29" i="17"/>
  <c r="D29" i="17"/>
  <c r="C29" i="17"/>
  <c r="B30" i="17"/>
  <c r="B29" i="17"/>
  <c r="J29" i="17"/>
  <c r="I26" i="17"/>
  <c r="H26" i="17"/>
  <c r="G26" i="17"/>
  <c r="F26" i="17"/>
  <c r="E26" i="17"/>
  <c r="D26" i="17"/>
  <c r="C26" i="17"/>
  <c r="I25" i="17"/>
  <c r="H25" i="17"/>
  <c r="G25" i="17"/>
  <c r="F25" i="17"/>
  <c r="E25" i="17"/>
  <c r="D25" i="17"/>
  <c r="C25" i="17"/>
  <c r="B25" i="17"/>
  <c r="J25" i="17"/>
  <c r="I24" i="17"/>
  <c r="H24" i="17"/>
  <c r="G24" i="17"/>
  <c r="F24" i="17"/>
  <c r="E24" i="17"/>
  <c r="D24" i="17"/>
  <c r="C24" i="17"/>
  <c r="I23" i="17"/>
  <c r="H23" i="17"/>
  <c r="G23" i="17"/>
  <c r="F23" i="17"/>
  <c r="E23" i="17"/>
  <c r="D23" i="17"/>
  <c r="C23" i="17"/>
  <c r="B23" i="17"/>
  <c r="J23" i="17"/>
  <c r="B26" i="17"/>
  <c r="J26" i="17"/>
  <c r="B24" i="17"/>
  <c r="I20" i="17"/>
  <c r="H20" i="17"/>
  <c r="G20" i="17"/>
  <c r="F20" i="17"/>
  <c r="E20" i="17"/>
  <c r="D20" i="17"/>
  <c r="C20" i="17"/>
  <c r="I19" i="17"/>
  <c r="H19" i="17"/>
  <c r="G19" i="17"/>
  <c r="F19" i="17"/>
  <c r="E19" i="17"/>
  <c r="D19" i="17"/>
  <c r="B19" i="17"/>
  <c r="C19" i="17"/>
  <c r="J19" i="17"/>
  <c r="I18" i="17"/>
  <c r="H18" i="17"/>
  <c r="G18" i="17"/>
  <c r="F18" i="17"/>
  <c r="E18" i="17"/>
  <c r="D18" i="17"/>
  <c r="C18" i="17"/>
  <c r="I17" i="17"/>
  <c r="H17" i="17"/>
  <c r="G17" i="17"/>
  <c r="F17" i="17"/>
  <c r="E17" i="17"/>
  <c r="D17" i="17"/>
  <c r="B17" i="17"/>
  <c r="C17" i="17"/>
  <c r="J17" i="17"/>
  <c r="B20" i="17"/>
  <c r="J20" i="17"/>
  <c r="B18" i="17"/>
  <c r="J18" i="17"/>
  <c r="I14" i="17"/>
  <c r="H14" i="17"/>
  <c r="G14" i="17"/>
  <c r="F14" i="17"/>
  <c r="E14" i="17"/>
  <c r="D14" i="17"/>
  <c r="C14" i="17"/>
  <c r="I13" i="17"/>
  <c r="H13" i="17"/>
  <c r="G13" i="17"/>
  <c r="F13" i="17"/>
  <c r="E13" i="17"/>
  <c r="D13" i="17"/>
  <c r="B13" i="17"/>
  <c r="C13" i="17"/>
  <c r="J13" i="17"/>
  <c r="I12" i="17"/>
  <c r="H12" i="17"/>
  <c r="G12" i="17"/>
  <c r="F12" i="17"/>
  <c r="E12" i="17"/>
  <c r="D12" i="17"/>
  <c r="C12" i="17"/>
  <c r="I11" i="17"/>
  <c r="H11" i="17"/>
  <c r="G11" i="17"/>
  <c r="F11" i="17"/>
  <c r="E11" i="17"/>
  <c r="D11" i="17"/>
  <c r="B11" i="17"/>
  <c r="C11" i="17"/>
  <c r="J11" i="17"/>
  <c r="I10" i="17"/>
  <c r="H10" i="17"/>
  <c r="G10" i="17"/>
  <c r="F10" i="17"/>
  <c r="E10" i="17"/>
  <c r="D10" i="17"/>
  <c r="C10" i="17"/>
  <c r="I9" i="17"/>
  <c r="H9" i="17"/>
  <c r="G9" i="17"/>
  <c r="F9" i="17"/>
  <c r="E9" i="17"/>
  <c r="D9" i="17"/>
  <c r="C9" i="17"/>
  <c r="B14" i="17"/>
  <c r="B12" i="17"/>
  <c r="J12" i="17"/>
  <c r="B10" i="17"/>
  <c r="J10" i="17"/>
  <c r="B9" i="17"/>
  <c r="I6" i="17"/>
  <c r="H6" i="17"/>
  <c r="G6" i="17"/>
  <c r="F6" i="17"/>
  <c r="E6" i="17"/>
  <c r="D6" i="17"/>
  <c r="C6" i="17"/>
  <c r="I5" i="17"/>
  <c r="H5" i="17"/>
  <c r="G5" i="17"/>
  <c r="F5" i="17"/>
  <c r="E5" i="17"/>
  <c r="D5" i="17"/>
  <c r="C5" i="17"/>
  <c r="B6" i="17"/>
  <c r="J6" i="17"/>
  <c r="B5" i="17"/>
  <c r="J24" i="17"/>
  <c r="J14" i="17"/>
  <c r="AE10" i="17"/>
  <c r="J5" i="18"/>
  <c r="J19" i="18"/>
  <c r="J9" i="19"/>
  <c r="J5" i="20"/>
  <c r="J14" i="20"/>
  <c r="J29" i="18"/>
  <c r="J5" i="19"/>
  <c r="J17" i="19"/>
  <c r="J19" i="19"/>
  <c r="J29" i="19"/>
  <c r="J30" i="19"/>
  <c r="AD5" i="19"/>
  <c r="AD6" i="19"/>
  <c r="AD9" i="19"/>
  <c r="AD10" i="19"/>
  <c r="AD11" i="19"/>
  <c r="AD12" i="19"/>
  <c r="AD13" i="19"/>
  <c r="AD14" i="19"/>
  <c r="AD17" i="19"/>
  <c r="AD18" i="19"/>
  <c r="AD19" i="19"/>
  <c r="AD20" i="19"/>
  <c r="AD23" i="19"/>
  <c r="AD24" i="19"/>
  <c r="AD25" i="19"/>
  <c r="AD26" i="19"/>
  <c r="AD29" i="19"/>
  <c r="AD30" i="19"/>
  <c r="J10" i="18"/>
  <c r="J14" i="18"/>
  <c r="J20" i="18"/>
  <c r="J24" i="18"/>
  <c r="J26" i="18"/>
  <c r="J30" i="18"/>
  <c r="J24" i="19"/>
  <c r="J26" i="19"/>
  <c r="J10" i="20"/>
  <c r="J17" i="18"/>
  <c r="AD5" i="18"/>
  <c r="AD6" i="18"/>
  <c r="AD9" i="18"/>
  <c r="AD10" i="18"/>
  <c r="AD11" i="18"/>
  <c r="AD12" i="18"/>
  <c r="AD13" i="18"/>
  <c r="AD14" i="18"/>
  <c r="AD17" i="18"/>
  <c r="AD18" i="18"/>
  <c r="AD19" i="18"/>
  <c r="AD20" i="18"/>
  <c r="AD23" i="18"/>
  <c r="AD24" i="18"/>
  <c r="AD25" i="18"/>
  <c r="AD26" i="18"/>
  <c r="AD29" i="18"/>
  <c r="AD30" i="18"/>
  <c r="J6" i="19"/>
  <c r="AD5" i="20"/>
  <c r="AD6" i="20"/>
  <c r="AD9" i="20"/>
  <c r="AD10" i="20"/>
  <c r="AD11" i="20"/>
  <c r="AD12" i="20"/>
  <c r="AD13" i="20"/>
  <c r="AD14" i="20"/>
  <c r="AD17" i="20"/>
  <c r="AD18" i="20"/>
  <c r="AD19" i="20"/>
  <c r="AD20" i="20"/>
  <c r="AD23" i="20"/>
  <c r="AD24" i="20"/>
  <c r="AD25" i="20"/>
  <c r="AD26" i="20"/>
  <c r="AD29" i="20"/>
  <c r="AD30" i="20"/>
  <c r="AD24" i="17"/>
  <c r="AD30" i="17"/>
  <c r="AD5" i="17"/>
  <c r="AD11" i="17"/>
  <c r="AD17" i="17"/>
  <c r="J6" i="20"/>
  <c r="J30" i="20"/>
  <c r="J20" i="20"/>
  <c r="J9" i="20"/>
  <c r="J13" i="20"/>
  <c r="J25" i="20"/>
  <c r="J11" i="20"/>
  <c r="J18" i="20"/>
  <c r="J23" i="20"/>
  <c r="J13" i="19"/>
  <c r="J25" i="19"/>
  <c r="J11" i="19"/>
  <c r="J18" i="19"/>
  <c r="J23" i="19"/>
  <c r="J9" i="18"/>
  <c r="J13" i="18"/>
  <c r="J18" i="18"/>
  <c r="J23" i="18"/>
  <c r="J11" i="18"/>
  <c r="J25" i="18"/>
  <c r="J9" i="17"/>
  <c r="AC30" i="16"/>
  <c r="AB30" i="16"/>
  <c r="AA30" i="16"/>
  <c r="Z30" i="16"/>
  <c r="Y30" i="16"/>
  <c r="X30" i="16"/>
  <c r="W30" i="16"/>
  <c r="V30" i="16"/>
  <c r="AC29" i="16"/>
  <c r="AB29" i="16"/>
  <c r="AA29" i="16"/>
  <c r="Z29" i="16"/>
  <c r="Y29" i="16"/>
  <c r="X29" i="16"/>
  <c r="W29" i="16"/>
  <c r="V29" i="16"/>
  <c r="I30" i="16"/>
  <c r="H30" i="16"/>
  <c r="G30" i="16"/>
  <c r="F30" i="16"/>
  <c r="E30" i="16"/>
  <c r="D30" i="16"/>
  <c r="C30" i="16"/>
  <c r="I29" i="16"/>
  <c r="H29" i="16"/>
  <c r="G29" i="16"/>
  <c r="F29" i="16"/>
  <c r="E29" i="16"/>
  <c r="D29" i="16"/>
  <c r="B29" i="16"/>
  <c r="C29" i="16"/>
  <c r="J29" i="16"/>
  <c r="B30" i="16"/>
  <c r="J30" i="16"/>
  <c r="AC26" i="16"/>
  <c r="AB26" i="16"/>
  <c r="AA26" i="16"/>
  <c r="Z26" i="16"/>
  <c r="Y26" i="16"/>
  <c r="X26" i="16"/>
  <c r="W26" i="16"/>
  <c r="V26" i="16"/>
  <c r="AD26" i="16"/>
  <c r="AC25" i="16"/>
  <c r="AB25" i="16"/>
  <c r="AA25" i="16"/>
  <c r="Z25" i="16"/>
  <c r="Y25" i="16"/>
  <c r="X25" i="16"/>
  <c r="W25" i="16"/>
  <c r="V25" i="16"/>
  <c r="AD25" i="16"/>
  <c r="AC24" i="16"/>
  <c r="AB24" i="16"/>
  <c r="AA24" i="16"/>
  <c r="Z24" i="16"/>
  <c r="Y24" i="16"/>
  <c r="X24" i="16"/>
  <c r="W24" i="16"/>
  <c r="V24" i="16"/>
  <c r="AD24" i="16"/>
  <c r="AC23" i="16"/>
  <c r="AB23" i="16"/>
  <c r="AA23" i="16"/>
  <c r="Z23" i="16"/>
  <c r="Y23" i="16"/>
  <c r="X23" i="16"/>
  <c r="W23" i="16"/>
  <c r="V23" i="16"/>
  <c r="I26" i="16"/>
  <c r="H26" i="16"/>
  <c r="G26" i="16"/>
  <c r="F26" i="16"/>
  <c r="E26" i="16"/>
  <c r="D26" i="16"/>
  <c r="C26" i="16"/>
  <c r="I25" i="16"/>
  <c r="H25" i="16"/>
  <c r="G25" i="16"/>
  <c r="F25" i="16"/>
  <c r="E25" i="16"/>
  <c r="D25" i="16"/>
  <c r="B25" i="16"/>
  <c r="C25" i="16"/>
  <c r="J25" i="16"/>
  <c r="I24" i="16"/>
  <c r="H24" i="16"/>
  <c r="G24" i="16"/>
  <c r="F24" i="16"/>
  <c r="E24" i="16"/>
  <c r="D24" i="16"/>
  <c r="C24" i="16"/>
  <c r="I23" i="16"/>
  <c r="H23" i="16"/>
  <c r="G23" i="16"/>
  <c r="F23" i="16"/>
  <c r="E23" i="16"/>
  <c r="D23" i="16"/>
  <c r="B23" i="16"/>
  <c r="C23" i="16"/>
  <c r="J23" i="16"/>
  <c r="B26" i="16"/>
  <c r="J26" i="16"/>
  <c r="B24" i="16"/>
  <c r="AC20" i="16"/>
  <c r="AB20" i="16"/>
  <c r="AA20" i="16"/>
  <c r="Z20" i="16"/>
  <c r="Y20" i="16"/>
  <c r="X20" i="16"/>
  <c r="W20" i="16"/>
  <c r="V20" i="16"/>
  <c r="AC19" i="16"/>
  <c r="AB19" i="16"/>
  <c r="AA19" i="16"/>
  <c r="Z19" i="16"/>
  <c r="Y19" i="16"/>
  <c r="X19" i="16"/>
  <c r="W19" i="16"/>
  <c r="V19" i="16"/>
  <c r="AD19" i="16"/>
  <c r="AC18" i="16"/>
  <c r="AB18" i="16"/>
  <c r="AA18" i="16"/>
  <c r="Z18" i="16"/>
  <c r="Y18" i="16"/>
  <c r="X18" i="16"/>
  <c r="W18" i="16"/>
  <c r="V18" i="16"/>
  <c r="AD18" i="16"/>
  <c r="AC17" i="16"/>
  <c r="AB17" i="16"/>
  <c r="AA17" i="16"/>
  <c r="Z17" i="16"/>
  <c r="Y17" i="16"/>
  <c r="X17" i="16"/>
  <c r="W17" i="16"/>
  <c r="V17" i="16"/>
  <c r="AD17" i="16"/>
  <c r="I20" i="16"/>
  <c r="H20" i="16"/>
  <c r="G20" i="16"/>
  <c r="F20" i="16"/>
  <c r="E20" i="16"/>
  <c r="D20" i="16"/>
  <c r="C20" i="16"/>
  <c r="I19" i="16"/>
  <c r="H19" i="16"/>
  <c r="G19" i="16"/>
  <c r="F19" i="16"/>
  <c r="E19" i="16"/>
  <c r="D19" i="16"/>
  <c r="B19" i="16"/>
  <c r="C19" i="16"/>
  <c r="J19" i="16"/>
  <c r="I18" i="16"/>
  <c r="H18" i="16"/>
  <c r="G18" i="16"/>
  <c r="F18" i="16"/>
  <c r="E18" i="16"/>
  <c r="D18" i="16"/>
  <c r="C18" i="16"/>
  <c r="I17" i="16"/>
  <c r="H17" i="16"/>
  <c r="G17" i="16"/>
  <c r="F17" i="16"/>
  <c r="E17" i="16"/>
  <c r="D17" i="16"/>
  <c r="B17" i="16"/>
  <c r="C17" i="16"/>
  <c r="J17" i="16"/>
  <c r="B20" i="16"/>
  <c r="J20" i="16"/>
  <c r="B18" i="16"/>
  <c r="AC14" i="16"/>
  <c r="AB14" i="16"/>
  <c r="AA14" i="16"/>
  <c r="Z14" i="16"/>
  <c r="Y14" i="16"/>
  <c r="X14" i="16"/>
  <c r="W14" i="16"/>
  <c r="V14" i="16"/>
  <c r="AC13" i="16"/>
  <c r="AB13" i="16"/>
  <c r="AA13" i="16"/>
  <c r="Z13" i="16"/>
  <c r="Y13" i="16"/>
  <c r="X13" i="16"/>
  <c r="W13" i="16"/>
  <c r="V13" i="16"/>
  <c r="AE14" i="16"/>
  <c r="AC12" i="16"/>
  <c r="AB12" i="16"/>
  <c r="AA12" i="16"/>
  <c r="Z12" i="16"/>
  <c r="Y12" i="16"/>
  <c r="X12" i="16"/>
  <c r="W12" i="16"/>
  <c r="V12" i="16"/>
  <c r="AD12" i="16"/>
  <c r="AC11" i="16"/>
  <c r="AB11" i="16"/>
  <c r="AA11" i="16"/>
  <c r="Z11" i="16"/>
  <c r="Y11" i="16"/>
  <c r="X11" i="16"/>
  <c r="W11" i="16"/>
  <c r="V11" i="16"/>
  <c r="AE12" i="16"/>
  <c r="AC10" i="16"/>
  <c r="AB10" i="16"/>
  <c r="AA10" i="16"/>
  <c r="Z10" i="16"/>
  <c r="Y10" i="16"/>
  <c r="X10" i="16"/>
  <c r="W10" i="16"/>
  <c r="V10" i="16"/>
  <c r="AC9" i="16"/>
  <c r="AB9" i="16"/>
  <c r="AA9" i="16"/>
  <c r="Z9" i="16"/>
  <c r="Y9" i="16"/>
  <c r="X9" i="16"/>
  <c r="W9" i="16"/>
  <c r="V9" i="16"/>
  <c r="AE10" i="16"/>
  <c r="I14" i="16"/>
  <c r="H14" i="16"/>
  <c r="G14" i="16"/>
  <c r="F14" i="16"/>
  <c r="E14" i="16"/>
  <c r="D14" i="16"/>
  <c r="C14" i="16"/>
  <c r="I13" i="16"/>
  <c r="H13" i="16"/>
  <c r="G13" i="16"/>
  <c r="F13" i="16"/>
  <c r="E13" i="16"/>
  <c r="D13" i="16"/>
  <c r="C13" i="16"/>
  <c r="I12" i="16"/>
  <c r="H12" i="16"/>
  <c r="G12" i="16"/>
  <c r="F12" i="16"/>
  <c r="E12" i="16"/>
  <c r="D12" i="16"/>
  <c r="C12" i="16"/>
  <c r="I11" i="16"/>
  <c r="H11" i="16"/>
  <c r="G11" i="16"/>
  <c r="F11" i="16"/>
  <c r="E11" i="16"/>
  <c r="D11" i="16"/>
  <c r="C11" i="16"/>
  <c r="I10" i="16"/>
  <c r="H10" i="16"/>
  <c r="G10" i="16"/>
  <c r="F10" i="16"/>
  <c r="E10" i="16"/>
  <c r="D10" i="16"/>
  <c r="C10" i="16"/>
  <c r="B10" i="16"/>
  <c r="J10" i="16"/>
  <c r="I9" i="16"/>
  <c r="H9" i="16"/>
  <c r="G9" i="16"/>
  <c r="F9" i="16"/>
  <c r="E9" i="16"/>
  <c r="D9" i="16"/>
  <c r="C9" i="16"/>
  <c r="B14" i="16"/>
  <c r="J14" i="16"/>
  <c r="B13" i="16"/>
  <c r="B12" i="16"/>
  <c r="J12" i="16"/>
  <c r="B11" i="16"/>
  <c r="B9" i="16"/>
  <c r="J9" i="16"/>
  <c r="AC6" i="16"/>
  <c r="AB6" i="16"/>
  <c r="AA6" i="16"/>
  <c r="Z6" i="16"/>
  <c r="Y6" i="16"/>
  <c r="X6" i="16"/>
  <c r="W6" i="16"/>
  <c r="V6" i="16"/>
  <c r="AD6" i="16"/>
  <c r="I6" i="16"/>
  <c r="H6" i="16"/>
  <c r="G6" i="16"/>
  <c r="F6" i="16"/>
  <c r="E6" i="16"/>
  <c r="D6" i="16"/>
  <c r="C6" i="16"/>
  <c r="AC5" i="16"/>
  <c r="AB5" i="16"/>
  <c r="AA5" i="16"/>
  <c r="Z5" i="16"/>
  <c r="Y5" i="16"/>
  <c r="X5" i="16"/>
  <c r="W5" i="16"/>
  <c r="V5" i="16"/>
  <c r="I5" i="16"/>
  <c r="H5" i="16"/>
  <c r="G5" i="16"/>
  <c r="F5" i="16"/>
  <c r="E5" i="16"/>
  <c r="D5" i="16"/>
  <c r="C5" i="16"/>
  <c r="B6" i="16"/>
  <c r="B5" i="16"/>
  <c r="J5" i="16"/>
  <c r="J24" i="16"/>
  <c r="AC30" i="15"/>
  <c r="AB30" i="15"/>
  <c r="AA30" i="15"/>
  <c r="Z30" i="15"/>
  <c r="Y30" i="15"/>
  <c r="X30" i="15"/>
  <c r="W30" i="15"/>
  <c r="V30" i="15"/>
  <c r="AC29" i="15"/>
  <c r="AB29" i="15"/>
  <c r="AA29" i="15"/>
  <c r="Z29" i="15"/>
  <c r="Y29" i="15"/>
  <c r="X29" i="15"/>
  <c r="W29" i="15"/>
  <c r="V29" i="15"/>
  <c r="AC26" i="15"/>
  <c r="AB26" i="15"/>
  <c r="AA26" i="15"/>
  <c r="Z26" i="15"/>
  <c r="Y26" i="15"/>
  <c r="X26" i="15"/>
  <c r="W26" i="15"/>
  <c r="V26" i="15"/>
  <c r="AC25" i="15"/>
  <c r="AB25" i="15"/>
  <c r="AA25" i="15"/>
  <c r="Z25" i="15"/>
  <c r="Y25" i="15"/>
  <c r="X25" i="15"/>
  <c r="W25" i="15"/>
  <c r="V25" i="15"/>
  <c r="AD25" i="15"/>
  <c r="AC24" i="15"/>
  <c r="AB24" i="15"/>
  <c r="AA24" i="15"/>
  <c r="Z24" i="15"/>
  <c r="Y24" i="15"/>
  <c r="X24" i="15"/>
  <c r="W24" i="15"/>
  <c r="V24" i="15"/>
  <c r="AC23" i="15"/>
  <c r="AB23" i="15"/>
  <c r="AA23" i="15"/>
  <c r="Z23" i="15"/>
  <c r="Y23" i="15"/>
  <c r="X23" i="15"/>
  <c r="W23" i="15"/>
  <c r="V23" i="15"/>
  <c r="AC20" i="15"/>
  <c r="AB20" i="15"/>
  <c r="AA20" i="15"/>
  <c r="Z20" i="15"/>
  <c r="Y20" i="15"/>
  <c r="X20" i="15"/>
  <c r="W20" i="15"/>
  <c r="V20" i="15"/>
  <c r="AC19" i="15"/>
  <c r="AB19" i="15"/>
  <c r="AA19" i="15"/>
  <c r="Z19" i="15"/>
  <c r="Y19" i="15"/>
  <c r="X19" i="15"/>
  <c r="W19" i="15"/>
  <c r="V19" i="15"/>
  <c r="AD19" i="15"/>
  <c r="AC18" i="15"/>
  <c r="AB18" i="15"/>
  <c r="AA18" i="15"/>
  <c r="Z18" i="15"/>
  <c r="Y18" i="15"/>
  <c r="X18" i="15"/>
  <c r="W18" i="15"/>
  <c r="V18" i="15"/>
  <c r="AD18" i="15"/>
  <c r="AC17" i="15"/>
  <c r="AB17" i="15"/>
  <c r="AA17" i="15"/>
  <c r="Z17" i="15"/>
  <c r="Y17" i="15"/>
  <c r="X17" i="15"/>
  <c r="W17" i="15"/>
  <c r="V17" i="15"/>
  <c r="AC14" i="15"/>
  <c r="AB14" i="15"/>
  <c r="AA14" i="15"/>
  <c r="Z14" i="15"/>
  <c r="Y14" i="15"/>
  <c r="X14" i="15"/>
  <c r="W14" i="15"/>
  <c r="V14" i="15"/>
  <c r="AC13" i="15"/>
  <c r="AB13" i="15"/>
  <c r="AA13" i="15"/>
  <c r="Z13" i="15"/>
  <c r="Y13" i="15"/>
  <c r="X13" i="15"/>
  <c r="W13" i="15"/>
  <c r="V13" i="15"/>
  <c r="AC12" i="15"/>
  <c r="AB12" i="15"/>
  <c r="AA12" i="15"/>
  <c r="Z12" i="15"/>
  <c r="Y12" i="15"/>
  <c r="X12" i="15"/>
  <c r="W12" i="15"/>
  <c r="V12" i="15"/>
  <c r="AC11" i="15"/>
  <c r="AB11" i="15"/>
  <c r="AA11" i="15"/>
  <c r="Z11" i="15"/>
  <c r="Y11" i="15"/>
  <c r="X11" i="15"/>
  <c r="W11" i="15"/>
  <c r="V11" i="15"/>
  <c r="AC10" i="15"/>
  <c r="AB10" i="15"/>
  <c r="AA10" i="15"/>
  <c r="Z10" i="15"/>
  <c r="Y10" i="15"/>
  <c r="X10" i="15"/>
  <c r="W10" i="15"/>
  <c r="V10" i="15"/>
  <c r="AD10" i="15"/>
  <c r="AC9" i="15"/>
  <c r="AB9" i="15"/>
  <c r="AA9" i="15"/>
  <c r="Z9" i="15"/>
  <c r="Y9" i="15"/>
  <c r="X9" i="15"/>
  <c r="W9" i="15"/>
  <c r="V9" i="15"/>
  <c r="B9" i="15"/>
  <c r="AC6" i="15"/>
  <c r="AB6" i="15"/>
  <c r="AA6" i="15"/>
  <c r="Z6" i="15"/>
  <c r="Y6" i="15"/>
  <c r="X6" i="15"/>
  <c r="W6" i="15"/>
  <c r="V6" i="15"/>
  <c r="AC5" i="15"/>
  <c r="AB5" i="15"/>
  <c r="AA5" i="15"/>
  <c r="Z5" i="15"/>
  <c r="Y5" i="15"/>
  <c r="X5" i="15"/>
  <c r="W5" i="15"/>
  <c r="V5" i="15"/>
  <c r="I23" i="15"/>
  <c r="H23" i="15"/>
  <c r="G23" i="15"/>
  <c r="F23" i="15"/>
  <c r="E23" i="15"/>
  <c r="D23" i="15"/>
  <c r="C23" i="15"/>
  <c r="I30" i="15"/>
  <c r="H30" i="15"/>
  <c r="G30" i="15"/>
  <c r="F30" i="15"/>
  <c r="E30" i="15"/>
  <c r="D30" i="15"/>
  <c r="C30" i="15"/>
  <c r="I29" i="15"/>
  <c r="H29" i="15"/>
  <c r="G29" i="15"/>
  <c r="F29" i="15"/>
  <c r="E29" i="15"/>
  <c r="D29" i="15"/>
  <c r="C29" i="15"/>
  <c r="B30" i="15"/>
  <c r="B29" i="15"/>
  <c r="I26" i="15"/>
  <c r="H26" i="15"/>
  <c r="G26" i="15"/>
  <c r="F26" i="15"/>
  <c r="E26" i="15"/>
  <c r="D26" i="15"/>
  <c r="C26" i="15"/>
  <c r="B26" i="15"/>
  <c r="J26" i="15"/>
  <c r="I25" i="15"/>
  <c r="H25" i="15"/>
  <c r="G25" i="15"/>
  <c r="F25" i="15"/>
  <c r="E25" i="15"/>
  <c r="D25" i="15"/>
  <c r="C25" i="15"/>
  <c r="B25" i="15"/>
  <c r="I24" i="15"/>
  <c r="H24" i="15"/>
  <c r="G24" i="15"/>
  <c r="F24" i="15"/>
  <c r="E24" i="15"/>
  <c r="D24" i="15"/>
  <c r="C24" i="15"/>
  <c r="B24" i="15"/>
  <c r="B23" i="15"/>
  <c r="I20" i="15"/>
  <c r="H20" i="15"/>
  <c r="G20" i="15"/>
  <c r="F20" i="15"/>
  <c r="E20" i="15"/>
  <c r="D20" i="15"/>
  <c r="C20" i="15"/>
  <c r="B20" i="15"/>
  <c r="I19" i="15"/>
  <c r="H19" i="15"/>
  <c r="G19" i="15"/>
  <c r="F19" i="15"/>
  <c r="E19" i="15"/>
  <c r="D19" i="15"/>
  <c r="C19" i="15"/>
  <c r="B19" i="15"/>
  <c r="J19" i="15"/>
  <c r="I18" i="15"/>
  <c r="H18" i="15"/>
  <c r="G18" i="15"/>
  <c r="F18" i="15"/>
  <c r="E18" i="15"/>
  <c r="D18" i="15"/>
  <c r="C18" i="15"/>
  <c r="B18" i="15"/>
  <c r="I17" i="15"/>
  <c r="H17" i="15"/>
  <c r="G17" i="15"/>
  <c r="F17" i="15"/>
  <c r="E17" i="15"/>
  <c r="D17" i="15"/>
  <c r="C17" i="15"/>
  <c r="B17" i="15"/>
  <c r="J17" i="15"/>
  <c r="I14" i="15"/>
  <c r="H14" i="15"/>
  <c r="G14" i="15"/>
  <c r="F14" i="15"/>
  <c r="E14" i="15"/>
  <c r="D14" i="15"/>
  <c r="C14" i="15"/>
  <c r="B14" i="15"/>
  <c r="J14" i="15"/>
  <c r="I13" i="15"/>
  <c r="H13" i="15"/>
  <c r="G13" i="15"/>
  <c r="F13" i="15"/>
  <c r="E13" i="15"/>
  <c r="D13" i="15"/>
  <c r="C13" i="15"/>
  <c r="B13" i="15"/>
  <c r="I12" i="15"/>
  <c r="H12" i="15"/>
  <c r="G12" i="15"/>
  <c r="F12" i="15"/>
  <c r="E12" i="15"/>
  <c r="D12" i="15"/>
  <c r="C12" i="15"/>
  <c r="B12" i="15"/>
  <c r="J12" i="15"/>
  <c r="I11" i="15"/>
  <c r="H11" i="15"/>
  <c r="G11" i="15"/>
  <c r="F11" i="15"/>
  <c r="E11" i="15"/>
  <c r="D11" i="15"/>
  <c r="C11" i="15"/>
  <c r="B11" i="15"/>
  <c r="I10" i="15"/>
  <c r="H10" i="15"/>
  <c r="G10" i="15"/>
  <c r="F10" i="15"/>
  <c r="E10" i="15"/>
  <c r="D10" i="15"/>
  <c r="C10" i="15"/>
  <c r="B10" i="15"/>
  <c r="J10" i="15"/>
  <c r="I9" i="15"/>
  <c r="H9" i="15"/>
  <c r="G9" i="15"/>
  <c r="F9" i="15"/>
  <c r="E9" i="15"/>
  <c r="D9" i="15"/>
  <c r="C9" i="15"/>
  <c r="I6" i="15"/>
  <c r="H6" i="15"/>
  <c r="G6" i="15"/>
  <c r="F6" i="15"/>
  <c r="E6" i="15"/>
  <c r="D6" i="15"/>
  <c r="C6" i="15"/>
  <c r="B6" i="15"/>
  <c r="AD29" i="16"/>
  <c r="AD30" i="16"/>
  <c r="J30" i="15"/>
  <c r="AE24" i="16"/>
  <c r="AE26" i="16"/>
  <c r="AD6" i="15"/>
  <c r="J24" i="15"/>
  <c r="AD14" i="15"/>
  <c r="AD23" i="15"/>
  <c r="AD29" i="15"/>
  <c r="AD10" i="16"/>
  <c r="AD14" i="16"/>
  <c r="AE19" i="16"/>
  <c r="AD20" i="16"/>
  <c r="AD23" i="16"/>
  <c r="AD9" i="16"/>
  <c r="J11" i="16"/>
  <c r="J18" i="16"/>
  <c r="AD13" i="15"/>
  <c r="J9" i="15"/>
  <c r="B33" i="5"/>
  <c r="B34" i="5"/>
  <c r="B35" i="5"/>
  <c r="I24" i="5"/>
  <c r="H24" i="5"/>
  <c r="G24" i="5"/>
  <c r="F24" i="5"/>
  <c r="E24" i="5"/>
  <c r="D24" i="5"/>
  <c r="C24" i="5"/>
  <c r="B24" i="5"/>
  <c r="I25" i="5"/>
  <c r="H25" i="5"/>
  <c r="G25" i="5"/>
  <c r="F25" i="5"/>
  <c r="E25" i="5"/>
  <c r="D25" i="5"/>
  <c r="C25" i="5"/>
  <c r="B25" i="5"/>
  <c r="J25" i="5"/>
  <c r="I26" i="5"/>
  <c r="H26" i="5"/>
  <c r="G26" i="5"/>
  <c r="F26" i="5"/>
  <c r="E26" i="5"/>
  <c r="D26" i="5"/>
  <c r="C26" i="5"/>
  <c r="B26" i="5"/>
  <c r="I18" i="13"/>
  <c r="H18" i="13"/>
  <c r="G18" i="13"/>
  <c r="F18" i="13"/>
  <c r="E18" i="13"/>
  <c r="D18" i="13"/>
  <c r="C18" i="13"/>
  <c r="B18" i="13"/>
  <c r="J18" i="13"/>
  <c r="I17" i="13"/>
  <c r="H17" i="13"/>
  <c r="G17" i="13"/>
  <c r="F17" i="13"/>
  <c r="E17" i="13"/>
  <c r="D17" i="13"/>
  <c r="C17" i="13"/>
  <c r="B17" i="13"/>
  <c r="J17" i="13"/>
  <c r="I16" i="13"/>
  <c r="H16" i="13"/>
  <c r="G16" i="13"/>
  <c r="F16" i="13"/>
  <c r="E16" i="13"/>
  <c r="D16" i="13"/>
  <c r="C16" i="13"/>
  <c r="B16" i="13"/>
  <c r="I23" i="5"/>
  <c r="H23" i="5"/>
  <c r="G23" i="5"/>
  <c r="F23" i="5"/>
  <c r="E23" i="5"/>
  <c r="D23" i="5"/>
  <c r="C23" i="5"/>
  <c r="B23" i="5"/>
  <c r="I27" i="5"/>
  <c r="H27" i="5"/>
  <c r="G27" i="5"/>
  <c r="F27" i="5"/>
  <c r="E27" i="5"/>
  <c r="D27" i="5"/>
  <c r="C27" i="5"/>
  <c r="B27" i="5"/>
  <c r="B24" i="13"/>
  <c r="B23" i="13"/>
  <c r="B22" i="13"/>
  <c r="I6" i="13"/>
  <c r="H6" i="13"/>
  <c r="G6" i="13"/>
  <c r="F6" i="13"/>
  <c r="E6" i="13"/>
  <c r="D6" i="13"/>
  <c r="C6" i="13"/>
  <c r="B6" i="13"/>
  <c r="J6" i="13"/>
  <c r="I5" i="13"/>
  <c r="H5" i="13"/>
  <c r="G5" i="13"/>
  <c r="F5" i="13"/>
  <c r="E5" i="13"/>
  <c r="D5" i="13"/>
  <c r="C5" i="13"/>
  <c r="B5" i="13"/>
  <c r="J5" i="13"/>
  <c r="I4" i="13"/>
  <c r="H4" i="13"/>
  <c r="G4" i="13"/>
  <c r="F4" i="13"/>
  <c r="E4" i="13"/>
  <c r="D4" i="13"/>
  <c r="C4" i="13"/>
  <c r="B4" i="13"/>
  <c r="J4" i="13"/>
  <c r="S9" i="17"/>
  <c r="R9" i="17"/>
  <c r="Q9" i="17"/>
  <c r="P9" i="17"/>
  <c r="O9" i="17"/>
  <c r="N9" i="17"/>
  <c r="M9" i="17"/>
  <c r="S30" i="17"/>
  <c r="R30" i="17"/>
  <c r="Q30" i="17"/>
  <c r="P30" i="17"/>
  <c r="O30" i="17"/>
  <c r="N30" i="17"/>
  <c r="M30" i="17"/>
  <c r="S10" i="17"/>
  <c r="R10" i="17"/>
  <c r="Q10" i="17"/>
  <c r="P10" i="17"/>
  <c r="O10" i="17"/>
  <c r="N10" i="17"/>
  <c r="M10" i="17"/>
  <c r="S20" i="17"/>
  <c r="R20" i="17"/>
  <c r="Q20" i="17"/>
  <c r="P20" i="17"/>
  <c r="O20" i="17"/>
  <c r="N20" i="17"/>
  <c r="M20" i="17"/>
  <c r="S17" i="17"/>
  <c r="R17" i="17"/>
  <c r="Q17" i="17"/>
  <c r="P17" i="17"/>
  <c r="O17" i="17"/>
  <c r="N17" i="17"/>
  <c r="M17" i="17"/>
  <c r="S13" i="17"/>
  <c r="R13" i="17"/>
  <c r="Q13" i="17"/>
  <c r="P13" i="17"/>
  <c r="O13" i="17"/>
  <c r="N13" i="17"/>
  <c r="M13" i="17"/>
  <c r="O11" i="17"/>
  <c r="S25" i="17"/>
  <c r="R25" i="17"/>
  <c r="Q25" i="17"/>
  <c r="P25" i="17"/>
  <c r="O25" i="17"/>
  <c r="N25" i="17"/>
  <c r="M25" i="17"/>
  <c r="S24" i="17"/>
  <c r="R24" i="17"/>
  <c r="Q24" i="17"/>
  <c r="P24" i="17"/>
  <c r="O24" i="17"/>
  <c r="N24" i="17"/>
  <c r="M24" i="17"/>
  <c r="S18" i="17"/>
  <c r="R18" i="17"/>
  <c r="Q18" i="17"/>
  <c r="P18" i="17"/>
  <c r="O18" i="17"/>
  <c r="N18" i="17"/>
  <c r="M18" i="17"/>
  <c r="P6" i="17"/>
  <c r="S9" i="15"/>
  <c r="R9" i="15"/>
  <c r="Q9" i="15"/>
  <c r="P9" i="15"/>
  <c r="O9" i="15"/>
  <c r="N9" i="15"/>
  <c r="M9" i="15"/>
  <c r="L9" i="15"/>
  <c r="T9" i="15"/>
  <c r="S30" i="15"/>
  <c r="R30" i="15"/>
  <c r="Q30" i="15"/>
  <c r="P30" i="15"/>
  <c r="O30" i="15"/>
  <c r="N30" i="15"/>
  <c r="L30" i="15"/>
  <c r="M30" i="15"/>
  <c r="T30" i="15"/>
  <c r="S10" i="15"/>
  <c r="R10" i="15"/>
  <c r="Q10" i="15"/>
  <c r="P10" i="15"/>
  <c r="O10" i="15"/>
  <c r="N10" i="15"/>
  <c r="M10" i="15"/>
  <c r="L10" i="15"/>
  <c r="T10" i="15"/>
  <c r="S20" i="15"/>
  <c r="R20" i="15"/>
  <c r="Q20" i="15"/>
  <c r="P20" i="15"/>
  <c r="O20" i="15"/>
  <c r="N20" i="15"/>
  <c r="L20" i="15"/>
  <c r="M20" i="15"/>
  <c r="T20" i="15"/>
  <c r="S17" i="15"/>
  <c r="R17" i="15"/>
  <c r="Q17" i="15"/>
  <c r="P17" i="15"/>
  <c r="O17" i="15"/>
  <c r="N17" i="15"/>
  <c r="M17" i="15"/>
  <c r="L17" i="15"/>
  <c r="T17" i="15"/>
  <c r="S13" i="15"/>
  <c r="R13" i="15"/>
  <c r="Q13" i="15"/>
  <c r="P13" i="15"/>
  <c r="O13" i="15"/>
  <c r="N13" i="15"/>
  <c r="L13" i="15"/>
  <c r="M13" i="15"/>
  <c r="T13" i="15"/>
  <c r="S25" i="15"/>
  <c r="R25" i="15"/>
  <c r="Q25" i="15"/>
  <c r="P25" i="15"/>
  <c r="O25" i="15"/>
  <c r="N25" i="15"/>
  <c r="M25" i="15"/>
  <c r="L25" i="15"/>
  <c r="T25" i="15"/>
  <c r="S24" i="15"/>
  <c r="R24" i="15"/>
  <c r="Q24" i="15"/>
  <c r="P24" i="15"/>
  <c r="O24" i="15"/>
  <c r="N24" i="15"/>
  <c r="L24" i="15"/>
  <c r="M24" i="15"/>
  <c r="T24" i="15"/>
  <c r="S18" i="15"/>
  <c r="R18" i="15"/>
  <c r="Q18" i="15"/>
  <c r="P18" i="15"/>
  <c r="O18" i="15"/>
  <c r="N18" i="15"/>
  <c r="M18" i="15"/>
  <c r="AC43" i="12"/>
  <c r="AB43" i="12"/>
  <c r="AA43" i="12"/>
  <c r="Z43" i="12"/>
  <c r="Y43" i="12"/>
  <c r="X43" i="12"/>
  <c r="W43" i="12"/>
  <c r="V43" i="12"/>
  <c r="S43" i="12"/>
  <c r="R43" i="12"/>
  <c r="Q43" i="12"/>
  <c r="P43" i="12"/>
  <c r="O43" i="12"/>
  <c r="N43" i="12"/>
  <c r="M43" i="12"/>
  <c r="L43" i="12"/>
  <c r="I43" i="12"/>
  <c r="H43" i="12"/>
  <c r="G43" i="12"/>
  <c r="F43" i="12"/>
  <c r="E43" i="12"/>
  <c r="D43" i="12"/>
  <c r="C43" i="12"/>
  <c r="B43" i="12"/>
  <c r="DX42" i="10"/>
  <c r="DW42" i="10"/>
  <c r="DV42" i="10"/>
  <c r="DU42" i="10"/>
  <c r="DT42" i="10"/>
  <c r="DS42" i="10"/>
  <c r="DR42" i="10"/>
  <c r="DQ42" i="10"/>
  <c r="DP42" i="10"/>
  <c r="DO42" i="10"/>
  <c r="DL42" i="10"/>
  <c r="DK42" i="10"/>
  <c r="DJ42" i="10"/>
  <c r="DI42" i="10"/>
  <c r="DH42" i="10"/>
  <c r="DG42" i="10"/>
  <c r="DF42" i="10"/>
  <c r="DE42" i="10"/>
  <c r="DB42" i="10"/>
  <c r="DA42" i="10"/>
  <c r="CZ42" i="10"/>
  <c r="CY42" i="10"/>
  <c r="CX42" i="10"/>
  <c r="CW42" i="10"/>
  <c r="CV42" i="10"/>
  <c r="CU42" i="10"/>
  <c r="CR42" i="10"/>
  <c r="CQ42" i="10"/>
  <c r="CP42" i="10"/>
  <c r="CO42" i="10"/>
  <c r="CN42" i="10"/>
  <c r="CM42" i="10"/>
  <c r="CL42" i="10"/>
  <c r="CK42" i="10"/>
  <c r="CG42" i="10"/>
  <c r="CF42" i="10"/>
  <c r="CE42" i="10"/>
  <c r="CD42" i="10"/>
  <c r="CC42" i="10"/>
  <c r="CB42" i="10"/>
  <c r="CA42" i="10"/>
  <c r="BZ42" i="10"/>
  <c r="BY42" i="10"/>
  <c r="BX42" i="10"/>
  <c r="BU42" i="10"/>
  <c r="BT42" i="10"/>
  <c r="BS42" i="10"/>
  <c r="BR42" i="10"/>
  <c r="BQ42" i="10"/>
  <c r="BP42" i="10"/>
  <c r="BO42" i="10"/>
  <c r="BN42" i="10"/>
  <c r="BK42" i="10"/>
  <c r="BJ42" i="10"/>
  <c r="BI42" i="10"/>
  <c r="BH42" i="10"/>
  <c r="BG42" i="10"/>
  <c r="BF42" i="10"/>
  <c r="BE42" i="10"/>
  <c r="BD42" i="10"/>
  <c r="BA42" i="10"/>
  <c r="AZ42" i="10"/>
  <c r="AY42" i="10"/>
  <c r="AX42" i="10"/>
  <c r="AW42" i="10"/>
  <c r="AV42" i="10"/>
  <c r="AU42" i="10"/>
  <c r="AT42" i="10"/>
  <c r="AP42" i="10"/>
  <c r="AO42" i="10"/>
  <c r="AN42" i="10"/>
  <c r="AM42" i="10"/>
  <c r="AL42" i="10"/>
  <c r="AK42" i="10"/>
  <c r="AJ42" i="10"/>
  <c r="AI42" i="10"/>
  <c r="AH42" i="10"/>
  <c r="AG42" i="10"/>
  <c r="AD42" i="10"/>
  <c r="AC42" i="10"/>
  <c r="AB42" i="10"/>
  <c r="AA42" i="10"/>
  <c r="Z42" i="10"/>
  <c r="Y42" i="10"/>
  <c r="X42" i="10"/>
  <c r="W42" i="10"/>
  <c r="T42" i="10"/>
  <c r="S42" i="10"/>
  <c r="R42" i="10"/>
  <c r="Q42" i="10"/>
  <c r="P42" i="10"/>
  <c r="O42" i="10"/>
  <c r="N42" i="10"/>
  <c r="M42" i="10"/>
  <c r="J42" i="10"/>
  <c r="I42" i="10"/>
  <c r="H42" i="10"/>
  <c r="G42" i="10"/>
  <c r="F42" i="10"/>
  <c r="E42" i="10"/>
  <c r="D42" i="10"/>
  <c r="C42" i="10"/>
  <c r="DY42" i="10"/>
  <c r="CH42" i="10"/>
  <c r="AQ42" i="10"/>
  <c r="L12" i="15"/>
  <c r="L29" i="15"/>
  <c r="L23" i="15"/>
  <c r="L19" i="15"/>
  <c r="L5" i="15"/>
  <c r="N29" i="15"/>
  <c r="N23" i="15"/>
  <c r="N19" i="15"/>
  <c r="N5" i="15"/>
  <c r="N12" i="15"/>
  <c r="P29" i="15"/>
  <c r="P23" i="15"/>
  <c r="P19" i="15"/>
  <c r="P5" i="15"/>
  <c r="P12" i="15"/>
  <c r="R29" i="15"/>
  <c r="R23" i="15"/>
  <c r="R19" i="15"/>
  <c r="R5" i="15"/>
  <c r="R12" i="15"/>
  <c r="L14" i="15"/>
  <c r="L6" i="15"/>
  <c r="N14" i="15"/>
  <c r="N6" i="15"/>
  <c r="P14" i="15"/>
  <c r="P6" i="15"/>
  <c r="R14" i="15"/>
  <c r="R6" i="15"/>
  <c r="L18" i="15"/>
  <c r="L26" i="15"/>
  <c r="L11" i="15"/>
  <c r="N11" i="15"/>
  <c r="N26" i="15"/>
  <c r="P11" i="15"/>
  <c r="P26" i="15"/>
  <c r="R11" i="15"/>
  <c r="R26" i="15"/>
  <c r="L5" i="17"/>
  <c r="L29" i="17"/>
  <c r="L23" i="17"/>
  <c r="L19" i="17"/>
  <c r="L12" i="17"/>
  <c r="N29" i="17"/>
  <c r="N5" i="17"/>
  <c r="N23" i="17"/>
  <c r="N12" i="17"/>
  <c r="N19" i="17"/>
  <c r="P29" i="17"/>
  <c r="P5" i="17"/>
  <c r="P19" i="17"/>
  <c r="P23" i="17"/>
  <c r="P12" i="17"/>
  <c r="R29" i="17"/>
  <c r="R5" i="17"/>
  <c r="R23" i="17"/>
  <c r="R12" i="17"/>
  <c r="R19" i="17"/>
  <c r="L6" i="17"/>
  <c r="N6" i="17"/>
  <c r="N14" i="17"/>
  <c r="R14" i="17"/>
  <c r="R6" i="17"/>
  <c r="L18" i="17"/>
  <c r="L24" i="17"/>
  <c r="L25" i="17"/>
  <c r="L26" i="17"/>
  <c r="L11" i="17"/>
  <c r="N26" i="17"/>
  <c r="N11" i="17"/>
  <c r="P11" i="17"/>
  <c r="P26" i="17"/>
  <c r="R11" i="17"/>
  <c r="R26" i="17"/>
  <c r="L13" i="17"/>
  <c r="L17" i="17"/>
  <c r="T17" i="17"/>
  <c r="L20" i="17"/>
  <c r="L10" i="17"/>
  <c r="T10" i="17"/>
  <c r="L30" i="17"/>
  <c r="T30" i="17"/>
  <c r="L9" i="17"/>
  <c r="M12" i="15"/>
  <c r="M29" i="15"/>
  <c r="O29" i="15"/>
  <c r="Q29" i="15"/>
  <c r="S29" i="15"/>
  <c r="T29" i="15"/>
  <c r="M23" i="15"/>
  <c r="M19" i="15"/>
  <c r="M5" i="15"/>
  <c r="O12" i="15"/>
  <c r="O23" i="15"/>
  <c r="O19" i="15"/>
  <c r="O5" i="15"/>
  <c r="Q12" i="15"/>
  <c r="Q23" i="15"/>
  <c r="Q19" i="15"/>
  <c r="Q5" i="15"/>
  <c r="S12" i="15"/>
  <c r="S23" i="15"/>
  <c r="S19" i="15"/>
  <c r="S5" i="15"/>
  <c r="M14" i="15"/>
  <c r="M6" i="15"/>
  <c r="O6" i="15"/>
  <c r="Q6" i="15"/>
  <c r="S6" i="15"/>
  <c r="T6" i="15"/>
  <c r="O14" i="15"/>
  <c r="Q14" i="15"/>
  <c r="S14" i="15"/>
  <c r="M26" i="15"/>
  <c r="M11" i="15"/>
  <c r="O26" i="15"/>
  <c r="O11" i="15"/>
  <c r="Q26" i="15"/>
  <c r="Q11" i="15"/>
  <c r="S26" i="15"/>
  <c r="S11" i="15"/>
  <c r="M23" i="17"/>
  <c r="M19" i="17"/>
  <c r="O19" i="17"/>
  <c r="Q19" i="17"/>
  <c r="S19" i="17"/>
  <c r="T19" i="17"/>
  <c r="M12" i="17"/>
  <c r="M5" i="17"/>
  <c r="M29" i="17"/>
  <c r="O23" i="17"/>
  <c r="Q23" i="17"/>
  <c r="S23" i="17"/>
  <c r="T23" i="17"/>
  <c r="O12" i="17"/>
  <c r="Q12" i="17"/>
  <c r="S12" i="17"/>
  <c r="T12" i="17"/>
  <c r="O29" i="17"/>
  <c r="O5" i="17"/>
  <c r="Q5" i="17"/>
  <c r="Q29" i="17"/>
  <c r="S29" i="17"/>
  <c r="S5" i="17"/>
  <c r="M14" i="17"/>
  <c r="M6" i="17"/>
  <c r="O14" i="17"/>
  <c r="O6" i="17"/>
  <c r="Q6" i="17"/>
  <c r="Q14" i="17"/>
  <c r="S6" i="17"/>
  <c r="S14" i="17"/>
  <c r="M26" i="17"/>
  <c r="M11" i="17"/>
  <c r="Q26" i="17"/>
  <c r="Q11" i="17"/>
  <c r="S26" i="17"/>
  <c r="S11" i="17"/>
  <c r="J16" i="13"/>
  <c r="T25" i="17"/>
  <c r="T26" i="17"/>
  <c r="T14" i="15"/>
  <c r="T13" i="17"/>
  <c r="T9" i="16"/>
  <c r="T23" i="15"/>
  <c r="T12" i="15"/>
  <c r="D11" i="13"/>
  <c r="B11" i="13"/>
  <c r="G11" i="13"/>
  <c r="C11" i="13"/>
  <c r="H11" i="13"/>
  <c r="I11" i="13"/>
  <c r="E11" i="13"/>
  <c r="J22" i="5"/>
  <c r="I18" i="4"/>
  <c r="H18" i="4"/>
  <c r="G18" i="4"/>
  <c r="F18" i="4"/>
  <c r="E18" i="4"/>
  <c r="D18" i="4"/>
  <c r="C18" i="4"/>
  <c r="B18" i="4"/>
  <c r="I17" i="4"/>
  <c r="H17" i="4"/>
  <c r="G17" i="4"/>
  <c r="F17" i="4"/>
  <c r="E17" i="4"/>
  <c r="D17" i="4"/>
  <c r="C17" i="4"/>
  <c r="B17" i="4"/>
  <c r="B16" i="4"/>
  <c r="I6" i="4"/>
  <c r="H6" i="4"/>
  <c r="G6" i="4"/>
  <c r="F6" i="4"/>
  <c r="E6" i="4"/>
  <c r="D6" i="4"/>
  <c r="C6" i="4"/>
  <c r="B6" i="4"/>
  <c r="I5" i="4"/>
  <c r="H5" i="4"/>
  <c r="G5" i="4"/>
  <c r="F5" i="4"/>
  <c r="E5" i="4"/>
  <c r="D5" i="4"/>
  <c r="C5" i="4"/>
  <c r="B5" i="4"/>
  <c r="B4" i="4"/>
  <c r="S13" i="19"/>
  <c r="R13" i="19"/>
  <c r="Q13" i="19"/>
  <c r="P13" i="19"/>
  <c r="O13" i="19"/>
  <c r="N13" i="19"/>
  <c r="M13" i="19"/>
  <c r="S17" i="19"/>
  <c r="Q17" i="19"/>
  <c r="P17" i="19"/>
  <c r="O17" i="19"/>
  <c r="N17" i="19"/>
  <c r="M17" i="19"/>
  <c r="S9" i="19"/>
  <c r="R9" i="19"/>
  <c r="Q9" i="19"/>
  <c r="P9" i="19"/>
  <c r="O9" i="19"/>
  <c r="N9" i="19"/>
  <c r="M9" i="19"/>
  <c r="S26" i="19"/>
  <c r="R26" i="19"/>
  <c r="Q26" i="19"/>
  <c r="P26" i="19"/>
  <c r="O26" i="19"/>
  <c r="N26" i="19"/>
  <c r="M26" i="19"/>
  <c r="J18" i="5"/>
  <c r="R13" i="18"/>
  <c r="Q13" i="18"/>
  <c r="O13" i="18"/>
  <c r="N13" i="18"/>
  <c r="R17" i="18"/>
  <c r="Q17" i="18"/>
  <c r="P17" i="18"/>
  <c r="O17" i="18"/>
  <c r="N17" i="18"/>
  <c r="R9" i="18"/>
  <c r="Q9" i="18"/>
  <c r="P9" i="18"/>
  <c r="N9" i="18"/>
  <c r="R26" i="18"/>
  <c r="Q26" i="18"/>
  <c r="P26" i="18"/>
  <c r="N26" i="18"/>
  <c r="J13" i="5"/>
  <c r="AC43" i="3"/>
  <c r="AB43" i="3"/>
  <c r="AA43" i="3"/>
  <c r="Z43" i="3"/>
  <c r="Y43" i="3"/>
  <c r="X43" i="3"/>
  <c r="W43" i="3"/>
  <c r="V43" i="3"/>
  <c r="S43" i="3"/>
  <c r="R43" i="3"/>
  <c r="Q43" i="3"/>
  <c r="P43" i="3"/>
  <c r="O43" i="3"/>
  <c r="N43" i="3"/>
  <c r="M43" i="3"/>
  <c r="L43" i="3"/>
  <c r="H43" i="3"/>
  <c r="G43" i="3"/>
  <c r="F43" i="3"/>
  <c r="E43" i="3"/>
  <c r="D43" i="3"/>
  <c r="B43" i="3"/>
  <c r="DX42" i="1"/>
  <c r="DW42" i="1"/>
  <c r="CR42" i="1"/>
  <c r="CG42" i="1"/>
  <c r="CF42" i="1"/>
  <c r="BA42" i="1"/>
  <c r="AV42" i="1"/>
  <c r="AP42" i="1"/>
  <c r="AO42" i="1"/>
  <c r="P42" i="1"/>
  <c r="M26" i="20"/>
  <c r="O26" i="20"/>
  <c r="Q26" i="20"/>
  <c r="S26" i="20"/>
  <c r="M9" i="20"/>
  <c r="O9" i="20"/>
  <c r="Q9" i="20"/>
  <c r="S9" i="20"/>
  <c r="M17" i="20"/>
  <c r="O17" i="20"/>
  <c r="Q17" i="20"/>
  <c r="S17" i="20"/>
  <c r="M13" i="20"/>
  <c r="S13" i="20"/>
  <c r="J14" i="5"/>
  <c r="N26" i="20"/>
  <c r="P26" i="20"/>
  <c r="R26" i="20"/>
  <c r="N9" i="20"/>
  <c r="P9" i="20"/>
  <c r="R9" i="20"/>
  <c r="N17" i="20"/>
  <c r="P17" i="20"/>
  <c r="R17" i="20"/>
  <c r="N13" i="20"/>
  <c r="P13" i="20"/>
  <c r="R13" i="20"/>
  <c r="L26" i="18"/>
  <c r="L9" i="18"/>
  <c r="L17" i="18"/>
  <c r="L13" i="18"/>
  <c r="L26" i="19"/>
  <c r="L9" i="19"/>
  <c r="L17" i="19"/>
  <c r="L13" i="19"/>
  <c r="L26" i="20"/>
  <c r="L9" i="20"/>
  <c r="T17" i="20"/>
  <c r="L30" i="18"/>
  <c r="L19" i="18"/>
  <c r="L5" i="18"/>
  <c r="L24" i="18"/>
  <c r="L12" i="18"/>
  <c r="O24" i="18"/>
  <c r="O19" i="18"/>
  <c r="O12" i="18"/>
  <c r="O5" i="18"/>
  <c r="Q30" i="18"/>
  <c r="Q24" i="18"/>
  <c r="Q19" i="18"/>
  <c r="Q12" i="18"/>
  <c r="Q5" i="18"/>
  <c r="L23" i="18"/>
  <c r="L14" i="18"/>
  <c r="O14" i="18"/>
  <c r="O23" i="18"/>
  <c r="Q14" i="18"/>
  <c r="Q23" i="18"/>
  <c r="L29" i="18"/>
  <c r="L20" i="18"/>
  <c r="L6" i="18"/>
  <c r="O29" i="18"/>
  <c r="O20" i="18"/>
  <c r="O6" i="18"/>
  <c r="Q29" i="18"/>
  <c r="Q20" i="18"/>
  <c r="Q6" i="18"/>
  <c r="L11" i="18"/>
  <c r="L18" i="18"/>
  <c r="O11" i="18"/>
  <c r="O18" i="18"/>
  <c r="Q11" i="18"/>
  <c r="Q18" i="18"/>
  <c r="T9" i="18"/>
  <c r="L25" i="18"/>
  <c r="L10" i="18"/>
  <c r="O25" i="18"/>
  <c r="O10" i="18"/>
  <c r="Q25" i="18"/>
  <c r="Q10" i="18"/>
  <c r="T13" i="18"/>
  <c r="L19" i="19"/>
  <c r="L5" i="19"/>
  <c r="L30" i="19"/>
  <c r="L24" i="19"/>
  <c r="L12" i="19"/>
  <c r="N19" i="19"/>
  <c r="N12" i="19"/>
  <c r="N30" i="19"/>
  <c r="N24" i="19"/>
  <c r="N5" i="19"/>
  <c r="P19" i="19"/>
  <c r="P12" i="19"/>
  <c r="P30" i="19"/>
  <c r="P24" i="19"/>
  <c r="P5" i="19"/>
  <c r="R19" i="19"/>
  <c r="R12" i="19"/>
  <c r="R30" i="19"/>
  <c r="R24" i="19"/>
  <c r="R5" i="19"/>
  <c r="L23" i="19"/>
  <c r="L14" i="19"/>
  <c r="N23" i="19"/>
  <c r="N14" i="19"/>
  <c r="P23" i="19"/>
  <c r="P14" i="19"/>
  <c r="R23" i="19"/>
  <c r="R14" i="19"/>
  <c r="L29" i="19"/>
  <c r="L20" i="19"/>
  <c r="L6" i="19"/>
  <c r="N29" i="19"/>
  <c r="N6" i="19"/>
  <c r="N20" i="19"/>
  <c r="P29" i="19"/>
  <c r="P6" i="19"/>
  <c r="P20" i="19"/>
  <c r="R29" i="19"/>
  <c r="R6" i="19"/>
  <c r="R20" i="19"/>
  <c r="L11" i="19"/>
  <c r="L18" i="19"/>
  <c r="N18" i="19"/>
  <c r="N11" i="19"/>
  <c r="P18" i="19"/>
  <c r="P11" i="19"/>
  <c r="R18" i="19"/>
  <c r="R11" i="19"/>
  <c r="L25" i="19"/>
  <c r="L10" i="19"/>
  <c r="N25" i="19"/>
  <c r="N10" i="19"/>
  <c r="P25" i="19"/>
  <c r="P10" i="19"/>
  <c r="R25" i="19"/>
  <c r="R10" i="19"/>
  <c r="T13" i="19"/>
  <c r="L19" i="20"/>
  <c r="L5" i="20"/>
  <c r="L30" i="20"/>
  <c r="L24" i="20"/>
  <c r="L12" i="20"/>
  <c r="N30" i="20"/>
  <c r="N24" i="20"/>
  <c r="N19" i="20"/>
  <c r="N12" i="20"/>
  <c r="N5" i="20"/>
  <c r="P30" i="20"/>
  <c r="P24" i="20"/>
  <c r="P19" i="20"/>
  <c r="P12" i="20"/>
  <c r="P5" i="20"/>
  <c r="R30" i="20"/>
  <c r="R24" i="20"/>
  <c r="R5" i="20"/>
  <c r="R19" i="20"/>
  <c r="R12" i="20"/>
  <c r="L23" i="20"/>
  <c r="L14" i="20"/>
  <c r="N23" i="20"/>
  <c r="N14" i="20"/>
  <c r="P23" i="20"/>
  <c r="P14" i="20"/>
  <c r="R23" i="20"/>
  <c r="R14" i="20"/>
  <c r="L29" i="20"/>
  <c r="L20" i="20"/>
  <c r="L6" i="20"/>
  <c r="N20" i="20"/>
  <c r="N29" i="20"/>
  <c r="N6" i="20"/>
  <c r="P20" i="20"/>
  <c r="P29" i="20"/>
  <c r="P6" i="20"/>
  <c r="R20" i="20"/>
  <c r="R29" i="20"/>
  <c r="R6" i="20"/>
  <c r="L11" i="20"/>
  <c r="L18" i="20"/>
  <c r="N11" i="20"/>
  <c r="N18" i="20"/>
  <c r="P11" i="20"/>
  <c r="P18" i="20"/>
  <c r="R11" i="20"/>
  <c r="R18" i="20"/>
  <c r="T9" i="20"/>
  <c r="L25" i="20"/>
  <c r="L10" i="20"/>
  <c r="N25" i="20"/>
  <c r="N10" i="20"/>
  <c r="P25" i="20"/>
  <c r="P10" i="20"/>
  <c r="R25" i="20"/>
  <c r="R10" i="20"/>
  <c r="T26" i="18"/>
  <c r="T17" i="18"/>
  <c r="T26" i="19"/>
  <c r="T9" i="19"/>
  <c r="T17" i="19"/>
  <c r="T26" i="20"/>
  <c r="N30" i="18"/>
  <c r="N12" i="18"/>
  <c r="N5" i="18"/>
  <c r="N24" i="18"/>
  <c r="N19" i="18"/>
  <c r="P12" i="18"/>
  <c r="P5" i="18"/>
  <c r="P30" i="18"/>
  <c r="P24" i="18"/>
  <c r="P19" i="18"/>
  <c r="R12" i="18"/>
  <c r="R5" i="18"/>
  <c r="R30" i="18"/>
  <c r="R24" i="18"/>
  <c r="R19" i="18"/>
  <c r="N23" i="18"/>
  <c r="N14" i="18"/>
  <c r="P23" i="18"/>
  <c r="P14" i="18"/>
  <c r="R23" i="18"/>
  <c r="R14" i="18"/>
  <c r="N29" i="18"/>
  <c r="N20" i="18"/>
  <c r="N6" i="18"/>
  <c r="P29" i="18"/>
  <c r="R29" i="18"/>
  <c r="T29" i="18"/>
  <c r="P20" i="18"/>
  <c r="P6" i="18"/>
  <c r="R20" i="18"/>
  <c r="R6" i="18"/>
  <c r="N18" i="18"/>
  <c r="P18" i="18"/>
  <c r="R18" i="18"/>
  <c r="T18" i="18"/>
  <c r="N11" i="18"/>
  <c r="P11" i="18"/>
  <c r="R11" i="18"/>
  <c r="N25" i="18"/>
  <c r="P25" i="18"/>
  <c r="R25" i="18"/>
  <c r="T25" i="18"/>
  <c r="N10" i="18"/>
  <c r="P10" i="18"/>
  <c r="R10" i="18"/>
  <c r="M30" i="19"/>
  <c r="M24" i="19"/>
  <c r="M5" i="19"/>
  <c r="M19" i="19"/>
  <c r="M12" i="19"/>
  <c r="O12" i="19"/>
  <c r="Q12" i="19"/>
  <c r="S12" i="19"/>
  <c r="T12" i="19"/>
  <c r="O30" i="19"/>
  <c r="O24" i="19"/>
  <c r="Q24" i="19"/>
  <c r="S24" i="19"/>
  <c r="T24" i="19"/>
  <c r="O5" i="19"/>
  <c r="O19" i="19"/>
  <c r="Q19" i="19"/>
  <c r="S19" i="19"/>
  <c r="T19" i="19"/>
  <c r="Q30" i="19"/>
  <c r="Q5" i="19"/>
  <c r="S30" i="19"/>
  <c r="S5" i="19"/>
  <c r="M23" i="19"/>
  <c r="M14" i="19"/>
  <c r="O23" i="19"/>
  <c r="O14" i="19"/>
  <c r="Q23" i="19"/>
  <c r="Q14" i="19"/>
  <c r="S23" i="19"/>
  <c r="S14" i="19"/>
  <c r="M20" i="19"/>
  <c r="O20" i="19"/>
  <c r="Q20" i="19"/>
  <c r="S20" i="19"/>
  <c r="T20" i="19"/>
  <c r="M29" i="19"/>
  <c r="M6" i="19"/>
  <c r="O29" i="19"/>
  <c r="O6" i="19"/>
  <c r="Q29" i="19"/>
  <c r="Q6" i="19"/>
  <c r="S29" i="19"/>
  <c r="S6" i="19"/>
  <c r="M18" i="19"/>
  <c r="M11" i="19"/>
  <c r="O18" i="19"/>
  <c r="O11" i="19"/>
  <c r="Q18" i="19"/>
  <c r="Q11" i="19"/>
  <c r="S18" i="19"/>
  <c r="S11" i="19"/>
  <c r="M25" i="19"/>
  <c r="O25" i="19"/>
  <c r="Q25" i="19"/>
  <c r="S25" i="19"/>
  <c r="T25" i="19"/>
  <c r="M10" i="19"/>
  <c r="O10" i="19"/>
  <c r="Q10" i="19"/>
  <c r="S10" i="19"/>
  <c r="M5" i="20"/>
  <c r="M30" i="20"/>
  <c r="M24" i="20"/>
  <c r="O24" i="20"/>
  <c r="Q24" i="20"/>
  <c r="S24" i="20"/>
  <c r="T24" i="20"/>
  <c r="M19" i="20"/>
  <c r="O5" i="20"/>
  <c r="O30" i="20"/>
  <c r="O19" i="20"/>
  <c r="O12" i="20"/>
  <c r="S12" i="20"/>
  <c r="T12" i="20"/>
  <c r="Q30" i="20"/>
  <c r="S19" i="20"/>
  <c r="S30" i="20"/>
  <c r="S5" i="20"/>
  <c r="M23" i="20"/>
  <c r="O23" i="20"/>
  <c r="Q23" i="20"/>
  <c r="S23" i="20"/>
  <c r="T23" i="20"/>
  <c r="M14" i="20"/>
  <c r="O14" i="20"/>
  <c r="Q14" i="20"/>
  <c r="S14" i="20"/>
  <c r="M29" i="20"/>
  <c r="M6" i="20"/>
  <c r="M20" i="20"/>
  <c r="O20" i="20"/>
  <c r="Q20" i="20"/>
  <c r="S20" i="20"/>
  <c r="T20" i="20"/>
  <c r="O29" i="20"/>
  <c r="O6" i="20"/>
  <c r="Q6" i="20"/>
  <c r="S6" i="20"/>
  <c r="T6" i="20"/>
  <c r="Q29" i="20"/>
  <c r="S29" i="20"/>
  <c r="M18" i="20"/>
  <c r="M11" i="20"/>
  <c r="O18" i="20"/>
  <c r="O11" i="20"/>
  <c r="Q18" i="20"/>
  <c r="Q11" i="20"/>
  <c r="S18" i="20"/>
  <c r="S11" i="20"/>
  <c r="M25" i="20"/>
  <c r="O25" i="20"/>
  <c r="Q25" i="20"/>
  <c r="S25" i="20"/>
  <c r="T25" i="20"/>
  <c r="M10" i="20"/>
  <c r="O10" i="20"/>
  <c r="Q10" i="20"/>
  <c r="S10" i="20"/>
  <c r="T13" i="20"/>
  <c r="J4" i="5"/>
  <c r="K4" i="5"/>
  <c r="J24" i="5"/>
  <c r="J27" i="5"/>
  <c r="J26" i="5"/>
  <c r="J23" i="5"/>
  <c r="J4" i="4"/>
  <c r="J18" i="4"/>
  <c r="J17" i="4"/>
  <c r="J16" i="4"/>
  <c r="J6" i="4"/>
  <c r="J5" i="4"/>
  <c r="F10" i="4"/>
  <c r="G10" i="4"/>
  <c r="H10" i="4"/>
  <c r="D10" i="4"/>
  <c r="E10" i="4"/>
  <c r="T18" i="19"/>
  <c r="T23" i="18"/>
  <c r="T10" i="20"/>
  <c r="T18" i="20"/>
  <c r="T14" i="20"/>
  <c r="T5" i="20"/>
  <c r="T10" i="19"/>
  <c r="T29" i="19"/>
  <c r="T14" i="19"/>
  <c r="T5" i="19"/>
  <c r="T10" i="18"/>
  <c r="T6" i="18"/>
  <c r="T12" i="18"/>
  <c r="T5" i="18"/>
  <c r="T30" i="18"/>
  <c r="T11" i="20"/>
  <c r="T19" i="20"/>
  <c r="T23" i="19"/>
  <c r="T11" i="18"/>
  <c r="T30" i="19"/>
  <c r="T29" i="20"/>
  <c r="T30" i="20"/>
  <c r="T11" i="19"/>
  <c r="T6" i="19"/>
  <c r="T20" i="18"/>
  <c r="T14" i="18"/>
  <c r="T24" i="18"/>
  <c r="T19" i="18"/>
  <c r="F12" i="4"/>
  <c r="H12" i="4"/>
  <c r="D12" i="4"/>
  <c r="E12" i="4"/>
  <c r="B10" i="4"/>
  <c r="J10" i="4"/>
  <c r="G12" i="4"/>
  <c r="C12" i="4"/>
  <c r="B12" i="4"/>
  <c r="I12" i="4"/>
  <c r="J12" i="4"/>
  <c r="DV42" i="1"/>
  <c r="DU42" i="1"/>
  <c r="DT42" i="1"/>
  <c r="DS42" i="1"/>
  <c r="DR42" i="1"/>
  <c r="DQ42" i="1"/>
  <c r="DP42" i="1"/>
  <c r="DO42" i="1"/>
  <c r="DL42" i="1"/>
  <c r="DK42" i="1"/>
  <c r="DJ42" i="1"/>
  <c r="DI42" i="1"/>
  <c r="DH42" i="1"/>
  <c r="DG42" i="1"/>
  <c r="DF42" i="1"/>
  <c r="DE42" i="1"/>
  <c r="DB42" i="1"/>
  <c r="DA42" i="1"/>
  <c r="CZ42" i="1"/>
  <c r="CY42" i="1"/>
  <c r="CX42" i="1"/>
  <c r="CW42" i="1"/>
  <c r="CV42" i="1"/>
  <c r="CU42" i="1"/>
  <c r="CQ42" i="1"/>
  <c r="CP42" i="1"/>
  <c r="CO42" i="1"/>
  <c r="CN42" i="1"/>
  <c r="CM42" i="1"/>
  <c r="CL42" i="1"/>
  <c r="CK42" i="1"/>
  <c r="CE42" i="1"/>
  <c r="CD42" i="1"/>
  <c r="CC42" i="1"/>
  <c r="CB42" i="1"/>
  <c r="CA42" i="1"/>
  <c r="BZ42" i="1"/>
  <c r="BY42" i="1"/>
  <c r="BX42" i="1"/>
  <c r="BU42" i="1"/>
  <c r="BT42" i="1"/>
  <c r="BS42" i="1"/>
  <c r="BR42" i="1"/>
  <c r="BQ42" i="1"/>
  <c r="BP42" i="1"/>
  <c r="BO42" i="1"/>
  <c r="BN42" i="1"/>
  <c r="BK42" i="1"/>
  <c r="BJ42" i="1"/>
  <c r="BI42" i="1"/>
  <c r="BH42" i="1"/>
  <c r="BG42" i="1"/>
  <c r="BF42" i="1"/>
  <c r="BE42" i="1"/>
  <c r="BD42" i="1"/>
  <c r="AZ42" i="1"/>
  <c r="AY42" i="1"/>
  <c r="AX42" i="1"/>
  <c r="AW42" i="1"/>
  <c r="AU42" i="1"/>
  <c r="AT42" i="1"/>
  <c r="AP9" i="19"/>
  <c r="AN42" i="1"/>
  <c r="AM42" i="1"/>
  <c r="AL42" i="1"/>
  <c r="AK42" i="1"/>
  <c r="AJ42" i="1"/>
  <c r="AI42" i="1"/>
  <c r="AH42" i="1"/>
  <c r="AG42" i="1"/>
  <c r="AP9" i="20"/>
  <c r="AP17" i="20"/>
  <c r="AP26" i="19"/>
  <c r="AP13" i="19"/>
  <c r="AP25" i="18"/>
  <c r="AP10" i="18"/>
  <c r="AP23" i="18"/>
  <c r="AP14" i="18"/>
  <c r="AP30" i="19"/>
  <c r="AP24" i="19"/>
  <c r="AP12" i="19"/>
  <c r="AP30" i="20"/>
  <c r="AP19" i="19"/>
  <c r="AP5" i="19"/>
  <c r="B36" i="5"/>
  <c r="CH42" i="1"/>
  <c r="B23" i="4"/>
  <c r="AP29" i="20"/>
  <c r="AP20" i="19"/>
  <c r="AP6" i="19"/>
  <c r="AP29" i="19"/>
  <c r="AP18" i="19"/>
  <c r="AP11" i="19"/>
  <c r="AP23" i="20"/>
  <c r="AP14" i="20"/>
  <c r="AP25" i="20"/>
  <c r="AP10" i="20"/>
  <c r="AP13" i="18"/>
  <c r="AP26" i="18"/>
  <c r="AP17" i="19"/>
  <c r="AP26" i="20"/>
  <c r="AP13" i="20"/>
  <c r="AP11" i="18"/>
  <c r="AP18" i="18"/>
  <c r="AP29" i="18"/>
  <c r="AP20" i="18"/>
  <c r="AP6" i="18"/>
  <c r="AP19" i="18"/>
  <c r="AP5" i="18"/>
  <c r="AP30" i="18"/>
  <c r="AP24" i="18"/>
  <c r="AP12" i="18"/>
  <c r="B31" i="5"/>
  <c r="B22" i="4"/>
  <c r="AQ42" i="1"/>
  <c r="AP14" i="19"/>
  <c r="AP23" i="19"/>
  <c r="AP10" i="19"/>
  <c r="AP25" i="19"/>
  <c r="AP19" i="20"/>
  <c r="AP5" i="20"/>
  <c r="AP24" i="20"/>
  <c r="AP12" i="20"/>
  <c r="B32" i="5"/>
  <c r="B24" i="4"/>
  <c r="DY42" i="1"/>
  <c r="AP20" i="20"/>
  <c r="AP6" i="20"/>
  <c r="AP11" i="20"/>
  <c r="AP18" i="20"/>
  <c r="AP17" i="18"/>
  <c r="AP9" i="18"/>
  <c r="Y42" i="1"/>
  <c r="Z42" i="1"/>
  <c r="AA42" i="1"/>
  <c r="AB42" i="1"/>
  <c r="AC42" i="1"/>
  <c r="W42" i="1"/>
  <c r="O42" i="1"/>
  <c r="Q42" i="1"/>
  <c r="R42" i="1"/>
  <c r="S42" i="1"/>
  <c r="M42" i="1"/>
  <c r="E42" i="1"/>
  <c r="F42" i="1"/>
  <c r="G42" i="1"/>
  <c r="H42" i="1"/>
  <c r="I42" i="1"/>
  <c r="C42" i="1"/>
  <c r="K14" i="5"/>
  <c r="K13" i="5"/>
  <c r="I18" i="5"/>
  <c r="I11" i="4"/>
  <c r="H18" i="5"/>
  <c r="H11" i="4"/>
  <c r="G18" i="5"/>
  <c r="G11" i="4"/>
  <c r="F18" i="5"/>
  <c r="F11" i="4"/>
  <c r="E18" i="5"/>
  <c r="E11" i="4"/>
  <c r="D18" i="5"/>
  <c r="D11" i="4"/>
  <c r="C18" i="5"/>
  <c r="C11" i="4"/>
  <c r="B18" i="5"/>
  <c r="K18" i="5"/>
  <c r="B11" i="4"/>
  <c r="J11" i="4"/>
  <c r="Q5" i="30"/>
  <c r="Q9" i="30"/>
  <c r="Q10" i="30"/>
  <c r="Q19" i="30"/>
  <c r="Q29" i="30"/>
  <c r="P12" i="30"/>
  <c r="P25" i="30"/>
  <c r="Q4" i="30"/>
  <c r="Q16" i="30"/>
  <c r="Q17" i="30"/>
  <c r="P19" i="30"/>
  <c r="Q28" i="30"/>
  <c r="Q13" i="30"/>
  <c r="O9" i="30"/>
  <c r="O17" i="30"/>
  <c r="O25" i="30"/>
  <c r="O19" i="30"/>
  <c r="O22" i="30"/>
  <c r="P4" i="30"/>
  <c r="P8" i="30"/>
  <c r="T14" i="17"/>
  <c r="T19" i="15"/>
  <c r="T20" i="17"/>
  <c r="T24" i="17"/>
  <c r="T11" i="15"/>
  <c r="T26" i="15"/>
  <c r="T18" i="15"/>
  <c r="T5" i="15"/>
  <c r="T9" i="17"/>
  <c r="H10" i="30"/>
  <c r="O10" i="30"/>
  <c r="I22" i="30"/>
  <c r="P22" i="30"/>
  <c r="T11" i="17"/>
  <c r="T18" i="17"/>
  <c r="T6" i="17"/>
  <c r="T5" i="17"/>
  <c r="T29" i="17"/>
  <c r="AD11" i="16"/>
  <c r="J6" i="15"/>
  <c r="J11" i="15"/>
  <c r="J13" i="15"/>
  <c r="J18" i="15"/>
  <c r="J20" i="15"/>
  <c r="J23" i="15"/>
  <c r="J25" i="15"/>
  <c r="J29" i="15"/>
  <c r="AD5" i="15"/>
  <c r="AD9" i="15"/>
  <c r="AD11" i="15"/>
  <c r="AD12" i="15"/>
  <c r="AD17" i="15"/>
  <c r="AD20" i="15"/>
  <c r="AD24" i="15"/>
  <c r="AD26" i="15"/>
  <c r="AD30" i="15"/>
  <c r="J6" i="16"/>
  <c r="AD5" i="16"/>
  <c r="J13" i="16"/>
  <c r="J5" i="17"/>
  <c r="J30" i="17"/>
  <c r="AD6" i="17"/>
  <c r="AD10" i="17"/>
  <c r="AE12" i="17"/>
  <c r="AD12" i="17"/>
  <c r="AE14" i="17"/>
  <c r="AD14" i="17"/>
  <c r="AE19" i="17"/>
  <c r="AD19" i="17"/>
  <c r="AE24" i="17"/>
  <c r="AE26" i="17"/>
  <c r="AD29" i="17"/>
  <c r="AP6" i="15"/>
  <c r="AP14" i="15"/>
  <c r="AP18" i="15"/>
  <c r="AP20" i="15"/>
  <c r="AP6" i="17"/>
  <c r="AP24" i="17"/>
  <c r="AP18" i="17"/>
  <c r="AP14" i="17"/>
  <c r="J6" i="5"/>
  <c r="K6" i="5"/>
  <c r="J7" i="5"/>
  <c r="K7" i="5"/>
  <c r="J8" i="5"/>
  <c r="K8" i="5"/>
  <c r="P42" i="12"/>
  <c r="M29" i="16"/>
  <c r="L10" i="16"/>
  <c r="N11" i="16"/>
  <c r="L29" i="16"/>
  <c r="L25" i="16"/>
  <c r="R25" i="16"/>
  <c r="I10" i="30"/>
  <c r="P10" i="30"/>
  <c r="D29" i="30"/>
  <c r="I29" i="30"/>
  <c r="P29" i="30"/>
  <c r="N6" i="9"/>
  <c r="J25" i="30"/>
  <c r="Q25" i="30"/>
  <c r="E34" i="30"/>
  <c r="J34" i="30"/>
  <c r="Q34" i="30"/>
  <c r="E18" i="30"/>
  <c r="E8" i="30"/>
  <c r="E24" i="30"/>
  <c r="J24" i="30"/>
  <c r="Q24" i="30"/>
  <c r="E11" i="30"/>
  <c r="E23" i="30"/>
  <c r="J23" i="30"/>
  <c r="Q23" i="30"/>
  <c r="N41" i="9"/>
  <c r="N39" i="9"/>
  <c r="N37" i="9"/>
  <c r="N35" i="9"/>
  <c r="N33" i="9"/>
  <c r="N31" i="9"/>
  <c r="N29" i="9"/>
  <c r="N27" i="9"/>
  <c r="N25" i="9"/>
  <c r="N23" i="9"/>
  <c r="N19" i="9"/>
  <c r="N16" i="9"/>
  <c r="N14" i="9"/>
  <c r="N11" i="9"/>
  <c r="N7" i="9"/>
  <c r="N13" i="9"/>
  <c r="N9" i="9"/>
  <c r="H12" i="30"/>
  <c r="O12" i="30"/>
  <c r="AC42" i="12"/>
  <c r="AB42" i="12"/>
  <c r="AA42" i="12"/>
  <c r="Z42" i="12"/>
  <c r="Y42" i="12"/>
  <c r="E15" i="5"/>
  <c r="X42" i="12"/>
  <c r="W42" i="12"/>
  <c r="C15" i="5"/>
  <c r="V42" i="12"/>
  <c r="B15" i="5"/>
  <c r="I42" i="12"/>
  <c r="H42" i="12"/>
  <c r="G42" i="12"/>
  <c r="F42" i="12"/>
  <c r="E42" i="12"/>
  <c r="D42" i="12"/>
  <c r="C42" i="12"/>
  <c r="B42" i="12"/>
  <c r="N18" i="16"/>
  <c r="N6" i="16"/>
  <c r="N26" i="16"/>
  <c r="T26" i="16"/>
  <c r="M25" i="16"/>
  <c r="M13" i="16"/>
  <c r="M23" i="16"/>
  <c r="O6" i="16"/>
  <c r="O18" i="16"/>
  <c r="O12" i="16"/>
  <c r="P25" i="16"/>
  <c r="P24" i="16"/>
  <c r="P12" i="16"/>
  <c r="Q13" i="16"/>
  <c r="Q29" i="16"/>
  <c r="Q5" i="16"/>
  <c r="R17" i="16"/>
  <c r="R6" i="16"/>
  <c r="R5" i="16"/>
  <c r="R20" i="16"/>
  <c r="S6" i="16"/>
  <c r="S18" i="16"/>
  <c r="S12" i="16"/>
  <c r="I18" i="30"/>
  <c r="P18" i="30"/>
  <c r="N20" i="9"/>
  <c r="N18" i="9"/>
  <c r="N15" i="9"/>
  <c r="N12" i="9"/>
  <c r="N8" i="9"/>
  <c r="N17" i="9"/>
  <c r="N10" i="9"/>
  <c r="C28" i="30"/>
  <c r="H28" i="30"/>
  <c r="O28" i="30"/>
  <c r="C8" i="30"/>
  <c r="C16" i="30"/>
  <c r="H16" i="30"/>
  <c r="O16" i="30"/>
  <c r="C24" i="30"/>
  <c r="C13" i="30"/>
  <c r="H13" i="30"/>
  <c r="O13" i="30"/>
  <c r="C4" i="30"/>
  <c r="H4" i="30"/>
  <c r="O4" i="30"/>
  <c r="C18" i="30"/>
  <c r="H18" i="30"/>
  <c r="O18" i="30"/>
  <c r="C29" i="30"/>
  <c r="H29" i="30"/>
  <c r="O29" i="30"/>
  <c r="C5" i="30"/>
  <c r="H5" i="30"/>
  <c r="O5" i="30"/>
  <c r="C11" i="30"/>
  <c r="H11" i="30"/>
  <c r="O11" i="30"/>
  <c r="C23" i="30"/>
  <c r="D9" i="30"/>
  <c r="D11" i="30"/>
  <c r="I11" i="30"/>
  <c r="P11" i="30"/>
  <c r="D16" i="30"/>
  <c r="I16" i="30"/>
  <c r="P16" i="30"/>
  <c r="D17" i="30"/>
  <c r="I17" i="30"/>
  <c r="P17" i="30"/>
  <c r="D23" i="30"/>
  <c r="I23" i="30"/>
  <c r="P23" i="30"/>
  <c r="D28" i="30"/>
  <c r="I28" i="30"/>
  <c r="P28" i="30"/>
  <c r="D5" i="30"/>
  <c r="I5" i="30"/>
  <c r="P5" i="30"/>
  <c r="D24" i="30"/>
  <c r="D13" i="30"/>
  <c r="N40" i="9"/>
  <c r="N38" i="9"/>
  <c r="N36" i="9"/>
  <c r="N34" i="9"/>
  <c r="F25" i="30"/>
  <c r="K25" i="30"/>
  <c r="R25" i="30"/>
  <c r="N32" i="9"/>
  <c r="N30" i="9"/>
  <c r="N28" i="9"/>
  <c r="N26" i="9"/>
  <c r="N24" i="9"/>
  <c r="N22" i="9"/>
  <c r="I15" i="5"/>
  <c r="I12" i="13"/>
  <c r="H15" i="5"/>
  <c r="H12" i="13"/>
  <c r="G15" i="5"/>
  <c r="G12" i="13"/>
  <c r="F15" i="5"/>
  <c r="F12" i="13"/>
  <c r="D15" i="5"/>
  <c r="D12" i="13"/>
  <c r="K15" i="5"/>
  <c r="I17" i="5"/>
  <c r="I10" i="13"/>
  <c r="H17" i="5"/>
  <c r="H10" i="13"/>
  <c r="G17" i="5"/>
  <c r="G10" i="13"/>
  <c r="F17" i="5"/>
  <c r="F10" i="13"/>
  <c r="E12" i="13"/>
  <c r="C12" i="13"/>
  <c r="B12" i="13"/>
  <c r="AD13" i="16"/>
  <c r="AD18" i="17"/>
  <c r="AD25" i="17"/>
  <c r="AD23" i="17"/>
  <c r="J17" i="5"/>
  <c r="J16" i="5"/>
  <c r="Q6" i="16"/>
  <c r="S23" i="16"/>
  <c r="Q19" i="16"/>
  <c r="P5" i="16"/>
  <c r="N19" i="16"/>
  <c r="N14" i="16"/>
  <c r="L20" i="16"/>
  <c r="L13" i="16"/>
  <c r="L24" i="16"/>
  <c r="L30" i="16"/>
  <c r="T30" i="16"/>
  <c r="L23" i="16"/>
  <c r="L14" i="16"/>
  <c r="L6" i="16"/>
  <c r="T6" i="16"/>
  <c r="N20" i="16"/>
  <c r="N10" i="16"/>
  <c r="F9" i="30"/>
  <c r="K9" i="30"/>
  <c r="R9" i="30"/>
  <c r="F19" i="30"/>
  <c r="K19" i="30"/>
  <c r="R19" i="30"/>
  <c r="F10" i="30"/>
  <c r="F16" i="30"/>
  <c r="K16" i="30"/>
  <c r="R16" i="30"/>
  <c r="F4" i="30"/>
  <c r="K4" i="30"/>
  <c r="R4" i="30"/>
  <c r="F17" i="30"/>
  <c r="F23" i="30"/>
  <c r="K23" i="30"/>
  <c r="R23" i="30"/>
  <c r="F29" i="30"/>
  <c r="K29" i="30"/>
  <c r="R29" i="30"/>
  <c r="F11" i="30"/>
  <c r="K11" i="30"/>
  <c r="R11" i="30"/>
  <c r="L12" i="16"/>
  <c r="N5" i="16"/>
  <c r="N25" i="16"/>
  <c r="N12" i="16"/>
  <c r="N13" i="16"/>
  <c r="M17" i="16"/>
  <c r="M24" i="16"/>
  <c r="M18" i="16"/>
  <c r="M5" i="16"/>
  <c r="M19" i="16"/>
  <c r="O10" i="16"/>
  <c r="O25" i="16"/>
  <c r="O17" i="16"/>
  <c r="O29" i="16"/>
  <c r="O24" i="16"/>
  <c r="O5" i="16"/>
  <c r="O19" i="16"/>
  <c r="O20" i="16"/>
  <c r="P11" i="16"/>
  <c r="P13" i="16"/>
  <c r="P29" i="16"/>
  <c r="P14" i="16"/>
  <c r="P18" i="16"/>
  <c r="P19" i="16"/>
  <c r="Q10" i="16"/>
  <c r="Q25" i="16"/>
  <c r="Q17" i="16"/>
  <c r="Q24" i="16"/>
  <c r="Q20" i="16"/>
  <c r="R11" i="16"/>
  <c r="R13" i="16"/>
  <c r="R29" i="16"/>
  <c r="R14" i="16"/>
  <c r="R18" i="16"/>
  <c r="R19" i="16"/>
  <c r="S10" i="16"/>
  <c r="S25" i="16"/>
  <c r="S17" i="16"/>
  <c r="S24" i="16"/>
  <c r="S20" i="16"/>
  <c r="E36" i="30"/>
  <c r="J36" i="30"/>
  <c r="Q36" i="30"/>
  <c r="J22" i="30"/>
  <c r="Q22" i="30"/>
  <c r="E39" i="30"/>
  <c r="J39" i="30"/>
  <c r="Q39" i="30"/>
  <c r="J18" i="30"/>
  <c r="Q18" i="30"/>
  <c r="F13" i="30"/>
  <c r="K13" i="30"/>
  <c r="R13" i="30"/>
  <c r="F8" i="30"/>
  <c r="F24" i="30"/>
  <c r="F18" i="30"/>
  <c r="K18" i="30"/>
  <c r="R18" i="30"/>
  <c r="F12" i="30"/>
  <c r="F28" i="30"/>
  <c r="K28" i="30"/>
  <c r="R28" i="30"/>
  <c r="T11" i="16"/>
  <c r="T5" i="16"/>
  <c r="T25" i="16"/>
  <c r="T12" i="16"/>
  <c r="D37" i="30"/>
  <c r="I37" i="30"/>
  <c r="P37" i="30"/>
  <c r="I24" i="30"/>
  <c r="P24" i="30"/>
  <c r="C36" i="30"/>
  <c r="H36" i="30"/>
  <c r="O36" i="30"/>
  <c r="H23" i="30"/>
  <c r="O23" i="30"/>
  <c r="B17" i="5"/>
  <c r="B10" i="13"/>
  <c r="C10" i="13"/>
  <c r="D10" i="13"/>
  <c r="E10" i="13"/>
  <c r="J10" i="13"/>
  <c r="D17" i="5"/>
  <c r="C39" i="30"/>
  <c r="H39" i="30"/>
  <c r="O39" i="30"/>
  <c r="E33" i="30"/>
  <c r="J33" i="30"/>
  <c r="Q33" i="30"/>
  <c r="J11" i="30"/>
  <c r="Q11" i="30"/>
  <c r="E32" i="30"/>
  <c r="J32" i="30"/>
  <c r="Q32" i="30"/>
  <c r="J8" i="30"/>
  <c r="Q8" i="30"/>
  <c r="E37" i="30"/>
  <c r="J37" i="30"/>
  <c r="Q37" i="30"/>
  <c r="T29" i="16"/>
  <c r="F16" i="5"/>
  <c r="K16" i="5"/>
  <c r="F11" i="13"/>
  <c r="J11" i="13"/>
  <c r="T10" i="16"/>
  <c r="D34" i="30"/>
  <c r="I34" i="30"/>
  <c r="P34" i="30"/>
  <c r="I13" i="30"/>
  <c r="P13" i="30"/>
  <c r="D32" i="30"/>
  <c r="I32" i="30"/>
  <c r="P32" i="30"/>
  <c r="I9" i="30"/>
  <c r="P9" i="30"/>
  <c r="C37" i="30"/>
  <c r="H37" i="30"/>
  <c r="O37" i="30"/>
  <c r="H24" i="30"/>
  <c r="O24" i="30"/>
  <c r="C32" i="30"/>
  <c r="H32" i="30"/>
  <c r="O32" i="30"/>
  <c r="H8" i="30"/>
  <c r="O8" i="30"/>
  <c r="F5" i="30"/>
  <c r="K5" i="30"/>
  <c r="R5" i="30"/>
  <c r="D39" i="30"/>
  <c r="I39" i="30"/>
  <c r="P39" i="30"/>
  <c r="C17" i="5"/>
  <c r="E17" i="5"/>
  <c r="F22" i="30"/>
  <c r="D36" i="30"/>
  <c r="I36" i="30"/>
  <c r="P36" i="30"/>
  <c r="C33" i="30"/>
  <c r="H33" i="30"/>
  <c r="O33" i="30"/>
  <c r="C34" i="30"/>
  <c r="H34" i="30"/>
  <c r="O34" i="30"/>
  <c r="D33" i="30"/>
  <c r="I33" i="30"/>
  <c r="P33" i="30"/>
  <c r="F34" i="30"/>
  <c r="K34" i="30"/>
  <c r="R34" i="30"/>
  <c r="K12" i="30"/>
  <c r="R12" i="30"/>
  <c r="F37" i="30"/>
  <c r="K37" i="30"/>
  <c r="R37" i="30"/>
  <c r="K24" i="30"/>
  <c r="R24" i="30"/>
  <c r="F39" i="30"/>
  <c r="K39" i="30"/>
  <c r="R39" i="30"/>
  <c r="K17" i="30"/>
  <c r="R17" i="30"/>
  <c r="T14" i="16"/>
  <c r="T13" i="16"/>
  <c r="F32" i="30"/>
  <c r="K32" i="30"/>
  <c r="R32" i="30"/>
  <c r="K8" i="30"/>
  <c r="R8" i="30"/>
  <c r="T19" i="16"/>
  <c r="T18" i="16"/>
  <c r="T17" i="16"/>
  <c r="F33" i="30"/>
  <c r="K33" i="30"/>
  <c r="R33" i="30"/>
  <c r="K10" i="30"/>
  <c r="R10" i="30"/>
  <c r="T23" i="16"/>
  <c r="T24" i="16"/>
  <c r="T20" i="16"/>
  <c r="J12" i="13"/>
  <c r="K22" i="30"/>
  <c r="R22" i="30"/>
  <c r="F36" i="30"/>
  <c r="K36" i="30"/>
  <c r="R36" i="30"/>
  <c r="K17" i="5"/>
</calcChain>
</file>

<file path=xl/sharedStrings.xml><?xml version="1.0" encoding="utf-8"?>
<sst xmlns="http://schemas.openxmlformats.org/spreadsheetml/2006/main" count="2941" uniqueCount="240">
  <si>
    <t>User</t>
  </si>
  <si>
    <t>Task 1</t>
  </si>
  <si>
    <t>Task 2</t>
  </si>
  <si>
    <t>Task 3</t>
  </si>
  <si>
    <t>Task 4</t>
  </si>
  <si>
    <t>Task 5</t>
  </si>
  <si>
    <t>Task 6</t>
  </si>
  <si>
    <t>Task 7</t>
  </si>
  <si>
    <t>Task Completion</t>
  </si>
  <si>
    <t>Completion time</t>
  </si>
  <si>
    <t>Satisfaction</t>
  </si>
  <si>
    <t>Total</t>
  </si>
  <si>
    <t>SUS</t>
  </si>
  <si>
    <t>Q1</t>
  </si>
  <si>
    <t>Q2</t>
  </si>
  <si>
    <t>Q3</t>
  </si>
  <si>
    <t>Q4</t>
  </si>
  <si>
    <t>Q5</t>
  </si>
  <si>
    <t>Q6</t>
  </si>
  <si>
    <t>Q7</t>
  </si>
  <si>
    <t>Q8</t>
  </si>
  <si>
    <t>Q9</t>
  </si>
  <si>
    <t>Q10</t>
  </si>
  <si>
    <t>TOTAL</t>
  </si>
  <si>
    <t>Task Completion (0, 0.25, 1)</t>
  </si>
  <si>
    <t>Completion time (in seconds)</t>
  </si>
  <si>
    <t>Satisfaction (1 - 5)</t>
  </si>
  <si>
    <t>Task 1a</t>
  </si>
  <si>
    <t>Task 1b</t>
  </si>
  <si>
    <t>Task Completion(0, 0.25, 1.0)</t>
  </si>
  <si>
    <t>Device</t>
  </si>
  <si>
    <t>Overall</t>
  </si>
  <si>
    <t>Completion Time (seconds)</t>
  </si>
  <si>
    <t>Satisfaction (1-5)</t>
  </si>
  <si>
    <t>SUS (overall score out of 100)</t>
  </si>
  <si>
    <t>User ID</t>
  </si>
  <si>
    <t>Age range</t>
  </si>
  <si>
    <t>Education level</t>
  </si>
  <si>
    <t>Category of phone</t>
  </si>
  <si>
    <t>Q9. How much is your total pre-tax household income?</t>
  </si>
  <si>
    <t>B: Accessibilty Screener</t>
  </si>
  <si>
    <t>46 to 55</t>
  </si>
  <si>
    <t>Below or completed GCSE</t>
  </si>
  <si>
    <t>Non-SMART</t>
  </si>
  <si>
    <t>£30,001 - £50,000</t>
  </si>
  <si>
    <t>66 to 75</t>
  </si>
  <si>
    <t>iPhone</t>
  </si>
  <si>
    <t>Mild visual impairment</t>
  </si>
  <si>
    <t>Android</t>
  </si>
  <si>
    <t>£12,001 - £30,000</t>
  </si>
  <si>
    <t>Completed A Level</t>
  </si>
  <si>
    <t>Undergraduate</t>
  </si>
  <si>
    <t>36 to 45</t>
  </si>
  <si>
    <t>Graduate (Masters or above)</t>
  </si>
  <si>
    <t>56 to 65</t>
  </si>
  <si>
    <t>Below £12,000</t>
  </si>
  <si>
    <t>Above £50,000</t>
  </si>
  <si>
    <t>26 to 35</t>
  </si>
  <si>
    <t>No</t>
  </si>
  <si>
    <t>18 to 25</t>
  </si>
  <si>
    <t>Low dexterity</t>
  </si>
  <si>
    <t>Group A</t>
  </si>
  <si>
    <t>iphone</t>
  </si>
  <si>
    <t>Group B</t>
  </si>
  <si>
    <r>
      <t xml:space="preserve">NOTE: Please fill in the columns with </t>
    </r>
    <r>
      <rPr>
        <b/>
        <sz val="16"/>
        <color indexed="21"/>
        <rFont val="Calibri"/>
        <family val="2"/>
      </rPr>
      <t xml:space="preserve">GREEN </t>
    </r>
    <r>
      <rPr>
        <b/>
        <sz val="16"/>
        <rFont val="Calibri"/>
        <family val="2"/>
      </rPr>
      <t>highlights with the exact format shown in tab '5. Check quotas'</t>
    </r>
  </si>
  <si>
    <t>Personal data</t>
  </si>
  <si>
    <t>Session Time</t>
  </si>
  <si>
    <t>First Name</t>
  </si>
  <si>
    <t>9:30am - 11:00am</t>
  </si>
  <si>
    <t xml:space="preserve">Robert </t>
  </si>
  <si>
    <t>11.30am - 1.00pm</t>
  </si>
  <si>
    <t>Deanna</t>
  </si>
  <si>
    <t>2.00pm - 3.30pm</t>
  </si>
  <si>
    <t xml:space="preserve">Vivienne </t>
  </si>
  <si>
    <t>4:00pm - 5:00pm</t>
  </si>
  <si>
    <t xml:space="preserve">Rochelle </t>
  </si>
  <si>
    <t>Ella</t>
  </si>
  <si>
    <t>Miranda</t>
  </si>
  <si>
    <t xml:space="preserve">Daphne </t>
  </si>
  <si>
    <t>Alexander</t>
  </si>
  <si>
    <t xml:space="preserve">Gunilla </t>
  </si>
  <si>
    <t>Felipe</t>
  </si>
  <si>
    <t>Enrica</t>
  </si>
  <si>
    <t>John</t>
  </si>
  <si>
    <t>James</t>
  </si>
  <si>
    <t>Mark</t>
  </si>
  <si>
    <t>Andrew</t>
  </si>
  <si>
    <t>undergraduate</t>
  </si>
  <si>
    <t>Margaret</t>
  </si>
  <si>
    <t>Michelle</t>
  </si>
  <si>
    <t>Julie</t>
  </si>
  <si>
    <t>Gary</t>
  </si>
  <si>
    <t>9:15am - 11:00am</t>
  </si>
  <si>
    <t xml:space="preserve">Marie-claude </t>
  </si>
  <si>
    <t>Mary</t>
  </si>
  <si>
    <t>Paul</t>
  </si>
  <si>
    <t>Daniel</t>
  </si>
  <si>
    <t>11:45am - 1:15pm</t>
  </si>
  <si>
    <t>Barrie</t>
  </si>
  <si>
    <t>Mazen</t>
  </si>
  <si>
    <t>Trish</t>
  </si>
  <si>
    <t>1:45pm - 3:30pm</t>
  </si>
  <si>
    <t>Linda</t>
  </si>
  <si>
    <t>Aidan</t>
  </si>
  <si>
    <t>Melvyn</t>
  </si>
  <si>
    <t>Miriam</t>
  </si>
  <si>
    <t xml:space="preserve">Helen </t>
  </si>
  <si>
    <t>Jai</t>
  </si>
  <si>
    <t>6pm</t>
  </si>
  <si>
    <t>Julius</t>
  </si>
  <si>
    <t>April</t>
  </si>
  <si>
    <t>9.30am - 10.30am</t>
  </si>
  <si>
    <t>Alison Mary Wall</t>
  </si>
  <si>
    <t>Task 9</t>
  </si>
  <si>
    <t>Column1</t>
  </si>
  <si>
    <t>Smart</t>
  </si>
  <si>
    <t>Non-smart</t>
  </si>
  <si>
    <t>18-25</t>
  </si>
  <si>
    <t>26-35</t>
  </si>
  <si>
    <t>36-45</t>
  </si>
  <si>
    <t>46-55</t>
  </si>
  <si>
    <t>56-65</t>
  </si>
  <si>
    <t>66-75</t>
  </si>
  <si>
    <t>Dexterity or visual impairment</t>
  </si>
  <si>
    <t>No impairment</t>
  </si>
  <si>
    <t>Task completion time</t>
  </si>
  <si>
    <t>System A</t>
  </si>
  <si>
    <t>System B</t>
  </si>
  <si>
    <t>System C</t>
  </si>
  <si>
    <t>System D</t>
  </si>
  <si>
    <t>System E</t>
  </si>
  <si>
    <t>System F</t>
  </si>
  <si>
    <t>Column2</t>
  </si>
  <si>
    <t>Mean</t>
  </si>
  <si>
    <t>Median</t>
  </si>
  <si>
    <t>Overall (Percentage)</t>
  </si>
  <si>
    <t>Total time on task</t>
  </si>
  <si>
    <t>Demographic</t>
  </si>
  <si>
    <t>Column3</t>
  </si>
  <si>
    <t>Column4</t>
  </si>
  <si>
    <t>Column5</t>
  </si>
  <si>
    <t>Column6</t>
  </si>
  <si>
    <t>Column7</t>
  </si>
  <si>
    <t>Column8</t>
  </si>
  <si>
    <t>Column9</t>
  </si>
  <si>
    <t>Column10</t>
  </si>
  <si>
    <t>Column11</t>
  </si>
  <si>
    <t>Demographics</t>
  </si>
  <si>
    <t>Completion Time</t>
  </si>
  <si>
    <t>Sums</t>
  </si>
  <si>
    <t>N</t>
  </si>
  <si>
    <t>18 to 35</t>
  </si>
  <si>
    <t>36 to 55</t>
  </si>
  <si>
    <t>56 to 75</t>
  </si>
  <si>
    <t>Below degree level</t>
  </si>
  <si>
    <t>degree level or above</t>
  </si>
  <si>
    <t>£12,001 or above</t>
  </si>
  <si>
    <t>Task completion</t>
  </si>
  <si>
    <t>Task Time</t>
  </si>
  <si>
    <t>18 to 35 years</t>
  </si>
  <si>
    <t>36 to 55 years</t>
  </si>
  <si>
    <t>56 to 75 years</t>
  </si>
  <si>
    <t>Below degree level education</t>
  </si>
  <si>
    <t>Degree level education or above</t>
  </si>
  <si>
    <t>User Profiles</t>
  </si>
  <si>
    <t>Key demographic details about the participants who took part in this research</t>
  </si>
  <si>
    <t>Task metrics</t>
  </si>
  <si>
    <t>Usability task performance raw data showing the recorded scores for each system on each task in terms of task completion, completion times and user satisfaction rating</t>
  </si>
  <si>
    <t>Demographic Analysis</t>
  </si>
  <si>
    <t>Analysis of performance by key demographic criteria: Smartphone ownership, Age, Income, Education and Accessibility issues</t>
  </si>
  <si>
    <t>Task time calculations</t>
  </si>
  <si>
    <t>Calculations for Mean and Median task times for each system</t>
  </si>
  <si>
    <t>Averaged performance scores</t>
  </si>
  <si>
    <t>Summary of average scores for overall task completion, completion times and user satisfaction for each system</t>
  </si>
  <si>
    <t>Task performance graphs</t>
  </si>
  <si>
    <t>System specific data</t>
  </si>
  <si>
    <t>Analysis for each specific system</t>
  </si>
  <si>
    <t>Data</t>
  </si>
  <si>
    <t>Description</t>
  </si>
  <si>
    <t>Quick links</t>
  </si>
  <si>
    <t>Analysis graphs</t>
  </si>
  <si>
    <t>Both groups</t>
  </si>
  <si>
    <t>Graphs</t>
  </si>
  <si>
    <t>Graphs showing average task performance scores for each system by individual task</t>
  </si>
  <si>
    <t>Demographic Analysis - Group A</t>
  </si>
  <si>
    <t>Demographic Analysis - Group B</t>
  </si>
  <si>
    <t>Demographic Analysis - Graphs</t>
  </si>
  <si>
    <t>Task Time Calculations - Group B</t>
  </si>
  <si>
    <t>Task Time Calculations - Group A</t>
  </si>
  <si>
    <t>System A - Analysis</t>
  </si>
  <si>
    <t>System B - Analysis</t>
  </si>
  <si>
    <t>System C - Analysis</t>
  </si>
  <si>
    <t>System D - Analysis</t>
  </si>
  <si>
    <t>System E - Analysis</t>
  </si>
  <si>
    <t>System F - Analysis</t>
  </si>
  <si>
    <t>The views expressed in this report are those of the authors, not necessarily those of the Department of Energy and Climate Change (nor do they reflect Government policy).</t>
  </si>
  <si>
    <t xml:space="preserve">Credits </t>
  </si>
  <si>
    <t xml:space="preserve">This report was written by Dr. Steven Wall and Filip Healy of Amberlight. </t>
  </si>
  <si>
    <t>The methodology for this usability study was designed by Filip Healy</t>
  </si>
  <si>
    <t>The research team comprised of Steve Wall of Amberlight; Filip Healy of Amberlight; and Anthony Lau of Amberlight</t>
  </si>
  <si>
    <t xml:space="preserve">Citation </t>
  </si>
  <si>
    <t>Acknowledgments</t>
  </si>
  <si>
    <t>The authors of this report wish to thank the manufacturers of the smarter heating controls used in this study for their assistance, including the provision of devices for testing purposes, and their technical support. We would also like to thank the members of the public who participated in the usability sessions.</t>
  </si>
  <si>
    <r>
      <t xml:space="preserve">Wall, S. and Healy, F. (2013). </t>
    </r>
    <r>
      <rPr>
        <i/>
        <sz val="12"/>
        <color theme="1"/>
        <rFont val="Arial"/>
        <family val="2"/>
      </rPr>
      <t>Usability testing of smarter heating controls – user scores data</t>
    </r>
    <r>
      <rPr>
        <sz val="12"/>
        <color theme="1"/>
        <rFont val="Arial"/>
        <family val="2"/>
      </rPr>
      <t>. A report to the Department for Energy and Climate Change. Amberlight. DECC, London.</t>
    </r>
  </si>
  <si>
    <r>
      <rPr>
        <b/>
        <sz val="24"/>
        <color theme="1"/>
        <rFont val="Arial"/>
        <family val="2"/>
      </rPr>
      <t>WP5 Usability Testing of Smarter Heating Controls - user score data</t>
    </r>
    <r>
      <rPr>
        <sz val="11"/>
        <color theme="1"/>
        <rFont val="Arial"/>
        <family val="2"/>
      </rPr>
      <t xml:space="preserve">
Anonymised usability testing data and performance analysis</t>
    </r>
  </si>
  <si>
    <t>© Crown copyright 2013</t>
  </si>
  <si>
    <t xml:space="preserve">You may re-use this information (not including logos) free of charge in any format or medium, under the terms of the Open Government Licence. </t>
  </si>
  <si>
    <t>To view this licence, visit www.nationalarchives.gov.uk/doc/open-government-licence/</t>
  </si>
  <si>
    <t>or write to the Information Policy Team, The National Archives, Kew, London TW9 4DU,</t>
  </si>
  <si>
    <t xml:space="preserve">or email: psi@nationalarchives.gsi.gov.uk. </t>
  </si>
  <si>
    <t xml:space="preserve">Any enquiries regarding this publication should be sent to us at max.stanford@decc.gsi.gov.uk. </t>
  </si>
  <si>
    <t>User profiles</t>
  </si>
  <si>
    <t>Group A - Average performance scores</t>
  </si>
  <si>
    <t>Group A and Group B -  Average performance scores</t>
  </si>
  <si>
    <t>Group B - Average performance scores</t>
  </si>
  <si>
    <t>Group A and Group B - Average performance scores graphs</t>
  </si>
  <si>
    <r>
      <t xml:space="preserve">This file contains  user score data used in the report Wall, S. and Healy, F. (2013). </t>
    </r>
    <r>
      <rPr>
        <i/>
        <sz val="12"/>
        <color theme="1"/>
        <rFont val="Arial"/>
        <family val="2"/>
      </rPr>
      <t>Usability testing of smarter heating controls</t>
    </r>
    <r>
      <rPr>
        <sz val="12"/>
        <color theme="1"/>
        <rFont val="Arial"/>
        <family val="2"/>
      </rPr>
      <t xml:space="preserve">. Amberlight conducted the research and prepared the report for the Department of Energy and Climate Change (DECC) between July and August 2013. 
The overall purpose of the research was to assess the usability of smarter heating controls for suitability for future research trials. Amberlight conducted summative usability testing of 5 smarter heating controls with a sample of 72 participants. Participants were divided in to two matched groups of 36 participants each. Each group evaluated 3 heating controls (one of the heating controls was tested with both groups, with one group focussing on the web portal as a platform for that particular service, and the other group focussing on the wall mounted unit). 
Each participant attempted 8 compelled tasks with the 3 smarter heating controls assigned to their group. Metrics were recorded for effectiveness, efficiency and satisfaction for each controller. The overall metrics for each device were compared to a benchmark level of performance to determine whether difficulty using smarter heating controls may potentially pose a barrier to people engaging in energy saving behaviours.
Data in this file contains anonymised user scores data  analysed and presented in the main report and appendices. 
</t>
    </r>
  </si>
  <si>
    <t>X</t>
  </si>
  <si>
    <t>Means*</t>
  </si>
  <si>
    <t>*divided by the number of tasks undertaken by the participant. For Group B this is 24 tasks</t>
  </si>
  <si>
    <t>*divided by the number of tasks undertaken by the participant. For Group A this is 22 tasks</t>
  </si>
  <si>
    <t>Setup the weekly heating schedule for a two room house (bedroom and living room)</t>
  </si>
  <si>
    <t>Edit the heating schedule for the bedroom to come on earlier one day per week</t>
  </si>
  <si>
    <t>Edit the heating schedule remotely (using mobile or desktop) to come on earlier one day per week</t>
  </si>
  <si>
    <t>Temporarily switch the heating on when returning home</t>
  </si>
  <si>
    <t>Temporarily stop the heating schedule for 1 week while on holiday, ensuring the system is protected in the event of very cold weather</t>
  </si>
  <si>
    <t>Temporarily switch the heating off, without affecting the schedule</t>
  </si>
  <si>
    <t>Turn the heating on remotely (using mobile or desktop)</t>
  </si>
  <si>
    <t>Find information about your energy usage</t>
  </si>
  <si>
    <t>Task metrics* - Group A</t>
  </si>
  <si>
    <t>*Task Key</t>
  </si>
  <si>
    <t>x</t>
  </si>
  <si>
    <t>This document is available from our website at https://www.gov.uk/government/publications/usability-testing-of-smarter-heating-controls</t>
  </si>
  <si>
    <t>URN: 13D/339</t>
  </si>
  <si>
    <t>Task metrics* - Group B</t>
  </si>
  <si>
    <t>Description of tasks</t>
  </si>
  <si>
    <t>Tasks scores</t>
  </si>
  <si>
    <t>Task partially completed</t>
  </si>
  <si>
    <t>Task completed</t>
  </si>
  <si>
    <t>Task not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</si>
</sst>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sz val="11"/>
      <color theme="1" tint="4.9989318521683403E-2"/>
      <name val="Calibri"/>
      <family val="2"/>
      <scheme val="minor"/>
    </font>
    <font>
      <sz val="11"/>
      <color theme="1" tint="4.9989318521683403E-2"/>
      <name val="Calibri"/>
      <family val="2"/>
      <scheme val="minor"/>
    </font>
    <font>
      <sz val="48"/>
      <color theme="1"/>
      <name val="Calibri"/>
      <family val="2"/>
      <scheme val="minor"/>
    </font>
    <font>
      <sz val="11"/>
      <color theme="1" tint="4.9989318521683403E-2"/>
      <name val="Calibri"/>
      <family val="2"/>
      <scheme val="minor"/>
    </font>
    <font>
      <sz val="48"/>
      <color theme="1" tint="4.9989318521683403E-2"/>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
      <b/>
      <sz val="10"/>
      <name val="Calibri"/>
      <family val="2"/>
    </font>
    <font>
      <b/>
      <sz val="16"/>
      <color indexed="8"/>
      <name val="Calibri"/>
      <family val="2"/>
    </font>
    <font>
      <b/>
      <sz val="16"/>
      <color indexed="21"/>
      <name val="Calibri"/>
      <family val="2"/>
    </font>
    <font>
      <b/>
      <sz val="16"/>
      <name val="Calibri"/>
      <family val="2"/>
    </font>
    <font>
      <sz val="11"/>
      <color indexed="9"/>
      <name val="Calibri"/>
      <family val="2"/>
    </font>
    <font>
      <b/>
      <sz val="11"/>
      <color indexed="8"/>
      <name val="Calibri"/>
      <family val="2"/>
    </font>
    <font>
      <sz val="11"/>
      <color theme="1" tint="4.9989318521683403E-2"/>
      <name val="Calibri"/>
      <scheme val="minor"/>
    </font>
    <font>
      <sz val="11"/>
      <color theme="1"/>
      <name val="Calibri"/>
      <scheme val="minor"/>
    </font>
    <font>
      <u/>
      <sz val="11"/>
      <color theme="10"/>
      <name val="Calibri"/>
      <family val="2"/>
      <scheme val="minor"/>
    </font>
    <font>
      <b/>
      <sz val="16"/>
      <color theme="0"/>
      <name val="Calibri"/>
      <family val="2"/>
      <scheme val="minor"/>
    </font>
    <font>
      <sz val="11"/>
      <color theme="0"/>
      <name val="Calibri"/>
      <family val="2"/>
      <scheme val="minor"/>
    </font>
    <font>
      <sz val="12"/>
      <color theme="1"/>
      <name val="Calibri"/>
      <family val="2"/>
      <scheme val="minor"/>
    </font>
    <font>
      <sz val="18"/>
      <color theme="1"/>
      <name val="Calibri"/>
      <family val="2"/>
      <scheme val="minor"/>
    </font>
    <font>
      <b/>
      <sz val="18"/>
      <color theme="0"/>
      <name val="Calibri"/>
      <family val="2"/>
      <scheme val="minor"/>
    </font>
    <font>
      <b/>
      <sz val="22"/>
      <color theme="0"/>
      <name val="Calibri"/>
      <family val="2"/>
      <scheme val="minor"/>
    </font>
    <font>
      <b/>
      <sz val="24"/>
      <color theme="0"/>
      <name val="Calibri"/>
      <family val="2"/>
      <scheme val="minor"/>
    </font>
    <font>
      <sz val="28"/>
      <color theme="0"/>
      <name val="Calibri"/>
      <family val="2"/>
      <scheme val="minor"/>
    </font>
    <font>
      <sz val="12"/>
      <color theme="1"/>
      <name val="HelveticaNeue-Light"/>
    </font>
    <font>
      <b/>
      <sz val="12"/>
      <color theme="1"/>
      <name val="Arial"/>
      <family val="2"/>
    </font>
    <font>
      <sz val="12"/>
      <color theme="1"/>
      <name val="Arial"/>
      <family val="2"/>
    </font>
    <font>
      <i/>
      <sz val="12"/>
      <color theme="1"/>
      <name val="Arial"/>
      <family val="2"/>
    </font>
    <font>
      <sz val="11"/>
      <color theme="1"/>
      <name val="Arial"/>
      <family val="2"/>
    </font>
    <font>
      <b/>
      <sz val="16"/>
      <color theme="0"/>
      <name val="Arial"/>
      <family val="2"/>
    </font>
    <font>
      <u/>
      <sz val="11"/>
      <color theme="10"/>
      <name val="Arial"/>
      <family val="2"/>
    </font>
    <font>
      <b/>
      <sz val="24"/>
      <color theme="1"/>
      <name val="Arial"/>
      <family val="2"/>
    </font>
    <font>
      <u/>
      <sz val="12"/>
      <color theme="10"/>
      <name val="Arial"/>
      <family val="2"/>
    </font>
    <font>
      <b/>
      <sz val="22"/>
      <color theme="0"/>
      <name val="Calibri"/>
      <family val="2"/>
    </font>
    <font>
      <b/>
      <sz val="28"/>
      <color theme="0"/>
      <name val="Calibri"/>
      <family val="2"/>
      <scheme val="minor"/>
    </font>
    <font>
      <sz val="12"/>
      <color theme="0"/>
      <name val="Calibri"/>
      <family val="2"/>
      <scheme val="minor"/>
    </font>
    <font>
      <sz val="20"/>
      <color theme="0"/>
      <name val="Calibri"/>
      <family val="2"/>
      <scheme val="minor"/>
    </font>
    <font>
      <b/>
      <sz val="20"/>
      <color theme="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2" tint="-9.9978637043366805E-2"/>
        <bgColor indexed="64"/>
      </patternFill>
    </fill>
    <fill>
      <patternFill patternType="solid">
        <fgColor rgb="FFFFC7CE"/>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indexed="9"/>
        <bgColor indexed="64"/>
      </patternFill>
    </fill>
    <fill>
      <patternFill patternType="solid">
        <fgColor rgb="FFFFFF00"/>
        <bgColor indexed="64"/>
      </patternFill>
    </fill>
    <fill>
      <patternFill patternType="solid">
        <fgColor rgb="FF0070C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theme="4" tint="0.39997558519241921"/>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theme="0"/>
      </bottom>
      <diagonal/>
    </border>
    <border>
      <left/>
      <right/>
      <top style="double">
        <color theme="4"/>
      </top>
      <bottom style="thin">
        <color theme="4" tint="0.39997558519241921"/>
      </bottom>
      <diagonal/>
    </border>
    <border>
      <left/>
      <right/>
      <top/>
      <bottom style="thin">
        <color indexed="64"/>
      </bottom>
      <diagonal/>
    </border>
  </borders>
  <cellStyleXfs count="3">
    <xf numFmtId="0" fontId="0" fillId="0" borderId="0"/>
    <xf numFmtId="0" fontId="11" fillId="10" borderId="0" applyNumberFormat="0" applyBorder="0" applyAlignment="0" applyProtection="0"/>
    <xf numFmtId="0" fontId="21" fillId="0" borderId="0" applyNumberFormat="0" applyFill="0" applyBorder="0" applyAlignment="0" applyProtection="0"/>
  </cellStyleXfs>
  <cellXfs count="176">
    <xf numFmtId="0" fontId="0" fillId="0" borderId="0" xfId="0"/>
    <xf numFmtId="0" fontId="0" fillId="2" borderId="0" xfId="0" applyFill="1"/>
    <xf numFmtId="0" fontId="0" fillId="5" borderId="0" xfId="0" applyFill="1"/>
    <xf numFmtId="0" fontId="0" fillId="2" borderId="1" xfId="0" applyFill="1" applyBorder="1"/>
    <xf numFmtId="0" fontId="0" fillId="2" borderId="1" xfId="0" applyFont="1" applyFill="1" applyBorder="1"/>
    <xf numFmtId="164" fontId="0" fillId="2" borderId="4" xfId="0" applyNumberFormat="1" applyFill="1" applyBorder="1"/>
    <xf numFmtId="0" fontId="0" fillId="2" borderId="8" xfId="0" applyFont="1" applyFill="1" applyBorder="1"/>
    <xf numFmtId="0" fontId="0" fillId="2" borderId="5" xfId="0" applyFont="1" applyFill="1" applyBorder="1"/>
    <xf numFmtId="0" fontId="0" fillId="2" borderId="9" xfId="0" applyFont="1" applyFill="1" applyBorder="1"/>
    <xf numFmtId="0" fontId="0" fillId="5" borderId="7" xfId="0" applyFont="1" applyFill="1" applyBorder="1"/>
    <xf numFmtId="0" fontId="0" fillId="5" borderId="2" xfId="0" applyFont="1" applyFill="1" applyBorder="1"/>
    <xf numFmtId="0" fontId="4" fillId="2" borderId="6" xfId="0" applyFont="1" applyFill="1" applyBorder="1"/>
    <xf numFmtId="0" fontId="4" fillId="2" borderId="0" xfId="0" applyFont="1" applyFill="1" applyBorder="1" applyAlignment="1">
      <alignment horizontal="center"/>
    </xf>
    <xf numFmtId="0" fontId="3" fillId="2" borderId="0" xfId="0" applyFont="1" applyFill="1" applyBorder="1" applyAlignment="1">
      <alignment horizontal="center"/>
    </xf>
    <xf numFmtId="0" fontId="3" fillId="2" borderId="10" xfId="0" applyFont="1" applyFill="1" applyBorder="1" applyAlignment="1">
      <alignment horizontal="center"/>
    </xf>
    <xf numFmtId="0" fontId="2" fillId="2" borderId="6" xfId="0" applyFont="1" applyFill="1" applyBorder="1"/>
    <xf numFmtId="0" fontId="0" fillId="5" borderId="0" xfId="0" applyFont="1" applyFill="1" applyBorder="1"/>
    <xf numFmtId="164" fontId="0" fillId="2" borderId="11" xfId="0" applyNumberFormat="1" applyFont="1" applyFill="1" applyBorder="1"/>
    <xf numFmtId="0" fontId="5" fillId="2" borderId="0" xfId="0" applyFont="1" applyFill="1" applyAlignment="1">
      <alignment horizontal="center"/>
    </xf>
    <xf numFmtId="0" fontId="6" fillId="2" borderId="0" xfId="0" applyFont="1" applyFill="1" applyAlignment="1">
      <alignment horizontal="center"/>
    </xf>
    <xf numFmtId="0" fontId="0" fillId="2" borderId="4" xfId="0" applyFill="1" applyBorder="1"/>
    <xf numFmtId="0" fontId="0" fillId="2" borderId="12" xfId="0" applyFill="1" applyBorder="1"/>
    <xf numFmtId="0" fontId="0" fillId="2" borderId="5" xfId="0" applyFill="1" applyBorder="1"/>
    <xf numFmtId="0" fontId="8" fillId="2" borderId="0" xfId="0" applyFont="1" applyFill="1" applyAlignment="1">
      <alignment horizontal="center"/>
    </xf>
    <xf numFmtId="0" fontId="10" fillId="5" borderId="0" xfId="0" applyFont="1" applyFill="1" applyBorder="1"/>
    <xf numFmtId="164" fontId="10" fillId="2" borderId="11" xfId="0" applyNumberFormat="1" applyFont="1" applyFill="1" applyBorder="1"/>
    <xf numFmtId="0" fontId="10" fillId="2" borderId="8" xfId="0" applyFont="1" applyFill="1" applyBorder="1"/>
    <xf numFmtId="0" fontId="0" fillId="2" borderId="8" xfId="0" applyFill="1" applyBorder="1"/>
    <xf numFmtId="0" fontId="11" fillId="2" borderId="1" xfId="1" applyFill="1" applyBorder="1"/>
    <xf numFmtId="0" fontId="0" fillId="0" borderId="1" xfId="0" applyFill="1" applyBorder="1"/>
    <xf numFmtId="0" fontId="0" fillId="0" borderId="8" xfId="0" applyFill="1" applyBorder="1"/>
    <xf numFmtId="0" fontId="12" fillId="2" borderId="0" xfId="0" applyFont="1" applyFill="1"/>
    <xf numFmtId="0" fontId="0" fillId="5" borderId="7" xfId="0" applyFill="1" applyBorder="1"/>
    <xf numFmtId="2" fontId="0" fillId="2" borderId="8" xfId="0" applyNumberFormat="1" applyFont="1" applyFill="1" applyBorder="1"/>
    <xf numFmtId="2" fontId="0" fillId="2" borderId="5" xfId="0" applyNumberFormat="1" applyFont="1" applyFill="1" applyBorder="1"/>
    <xf numFmtId="2" fontId="0" fillId="0" borderId="8" xfId="0" applyNumberFormat="1" applyFill="1" applyBorder="1"/>
    <xf numFmtId="2" fontId="0" fillId="2" borderId="8" xfId="0" applyNumberFormat="1" applyFill="1" applyBorder="1"/>
    <xf numFmtId="2" fontId="10" fillId="2" borderId="11" xfId="0" applyNumberFormat="1" applyFont="1" applyFill="1" applyBorder="1"/>
    <xf numFmtId="2" fontId="0" fillId="2" borderId="5" xfId="0" applyNumberFormat="1" applyFill="1" applyBorder="1"/>
    <xf numFmtId="2" fontId="10" fillId="2" borderId="8" xfId="0" applyNumberFormat="1" applyFont="1" applyFill="1" applyBorder="1"/>
    <xf numFmtId="2" fontId="10" fillId="2" borderId="5" xfId="0" applyNumberFormat="1" applyFont="1" applyFill="1" applyBorder="1"/>
    <xf numFmtId="0" fontId="1" fillId="11" borderId="13" xfId="0" applyFont="1" applyFill="1" applyBorder="1"/>
    <xf numFmtId="0" fontId="0" fillId="5" borderId="6" xfId="0" applyFont="1" applyFill="1" applyBorder="1"/>
    <xf numFmtId="0" fontId="0" fillId="0" borderId="0" xfId="0" applyAlignment="1">
      <alignment horizontal="center"/>
    </xf>
    <xf numFmtId="0" fontId="0" fillId="12" borderId="2" xfId="0" applyNumberFormat="1" applyFont="1" applyFill="1" applyBorder="1" applyAlignment="1">
      <alignment horizontal="center"/>
    </xf>
    <xf numFmtId="0" fontId="0" fillId="5" borderId="14" xfId="0" applyFont="1" applyFill="1" applyBorder="1"/>
    <xf numFmtId="2" fontId="0" fillId="0" borderId="0" xfId="0" applyNumberFormat="1" applyBorder="1" applyAlignment="1">
      <alignment horizontal="center"/>
    </xf>
    <xf numFmtId="0" fontId="2" fillId="0" borderId="0" xfId="0" applyFont="1"/>
    <xf numFmtId="2" fontId="0" fillId="0" borderId="0" xfId="0" applyNumberFormat="1" applyAlignment="1">
      <alignment horizontal="left"/>
    </xf>
    <xf numFmtId="2" fontId="2" fillId="0" borderId="0" xfId="0" applyNumberFormat="1" applyFont="1" applyAlignment="1">
      <alignment horizontal="left"/>
    </xf>
    <xf numFmtId="2" fontId="2" fillId="12" borderId="3" xfId="0" applyNumberFormat="1" applyFont="1" applyFill="1" applyBorder="1" applyAlignment="1">
      <alignment horizontal="left"/>
    </xf>
    <xf numFmtId="0" fontId="1" fillId="11" borderId="0" xfId="0" applyFont="1" applyFill="1" applyBorder="1"/>
    <xf numFmtId="0" fontId="2" fillId="12" borderId="13" xfId="0" applyFont="1" applyFill="1" applyBorder="1"/>
    <xf numFmtId="2" fontId="2" fillId="12" borderId="2" xfId="0" applyNumberFormat="1" applyFont="1" applyFill="1" applyBorder="1" applyAlignment="1">
      <alignment horizontal="left"/>
    </xf>
    <xf numFmtId="0" fontId="2" fillId="0" borderId="13" xfId="0" applyFont="1" applyBorder="1"/>
    <xf numFmtId="2" fontId="2" fillId="0" borderId="0" xfId="0" applyNumberFormat="1" applyFont="1" applyBorder="1" applyAlignment="1">
      <alignment horizontal="left"/>
    </xf>
    <xf numFmtId="0" fontId="2" fillId="12" borderId="0" xfId="0" applyFont="1" applyFill="1" applyBorder="1"/>
    <xf numFmtId="2" fontId="2" fillId="12" borderId="7" xfId="0" applyNumberFormat="1" applyFont="1" applyFill="1" applyBorder="1" applyAlignment="1">
      <alignment horizontal="left"/>
    </xf>
    <xf numFmtId="2" fontId="2" fillId="0" borderId="3" xfId="0" applyNumberFormat="1" applyFont="1" applyBorder="1" applyAlignment="1">
      <alignment horizontal="left"/>
    </xf>
    <xf numFmtId="2" fontId="2" fillId="0" borderId="7" xfId="0" applyNumberFormat="1" applyFont="1" applyBorder="1" applyAlignment="1">
      <alignment horizontal="left"/>
    </xf>
    <xf numFmtId="2" fontId="2" fillId="12" borderId="0" xfId="0" applyNumberFormat="1" applyFont="1" applyFill="1" applyBorder="1" applyAlignment="1">
      <alignment horizontal="left"/>
    </xf>
    <xf numFmtId="2" fontId="2" fillId="13" borderId="3" xfId="0" applyNumberFormat="1" applyFont="1" applyFill="1" applyBorder="1" applyAlignment="1">
      <alignment horizontal="left"/>
    </xf>
    <xf numFmtId="0" fontId="0" fillId="14" borderId="0" xfId="0" applyFill="1"/>
    <xf numFmtId="0" fontId="13" fillId="14" borderId="16" xfId="0" applyFont="1" applyFill="1" applyBorder="1" applyAlignment="1">
      <alignment horizontal="left" vertical="top" wrapText="1"/>
    </xf>
    <xf numFmtId="0" fontId="13" fillId="14" borderId="16" xfId="0" applyFont="1" applyFill="1" applyBorder="1" applyAlignment="1">
      <alignment vertical="top" wrapText="1"/>
    </xf>
    <xf numFmtId="0" fontId="0" fillId="14" borderId="16" xfId="0" applyFill="1" applyBorder="1"/>
    <xf numFmtId="0" fontId="0" fillId="14" borderId="17" xfId="0" applyFill="1" applyBorder="1"/>
    <xf numFmtId="0" fontId="0" fillId="14" borderId="18" xfId="0" applyFill="1" applyBorder="1"/>
    <xf numFmtId="0" fontId="0" fillId="14" borderId="1" xfId="0" applyFill="1" applyBorder="1"/>
    <xf numFmtId="0" fontId="0" fillId="14" borderId="17" xfId="0" applyFill="1" applyBorder="1" applyAlignment="1">
      <alignment wrapText="1"/>
    </xf>
    <xf numFmtId="0" fontId="13" fillId="14" borderId="19" xfId="0" applyFont="1" applyFill="1" applyBorder="1" applyAlignment="1">
      <alignment vertical="top" wrapText="1"/>
    </xf>
    <xf numFmtId="0" fontId="0" fillId="14" borderId="0" xfId="0" applyFill="1" applyAlignment="1">
      <alignment horizontal="left" vertical="top" wrapText="1"/>
    </xf>
    <xf numFmtId="0" fontId="0" fillId="14" borderId="20" xfId="0" applyFill="1" applyBorder="1"/>
    <xf numFmtId="0" fontId="0" fillId="14" borderId="21" xfId="0" applyFill="1" applyBorder="1"/>
    <xf numFmtId="0" fontId="0" fillId="0" borderId="17" xfId="0" applyFill="1" applyBorder="1"/>
    <xf numFmtId="0" fontId="0" fillId="14" borderId="17" xfId="0" applyFont="1" applyFill="1" applyBorder="1"/>
    <xf numFmtId="0" fontId="18" fillId="14" borderId="21" xfId="0" applyFont="1" applyFill="1" applyBorder="1"/>
    <xf numFmtId="0" fontId="0" fillId="14" borderId="20" xfId="0" applyFont="1" applyFill="1" applyBorder="1"/>
    <xf numFmtId="0" fontId="0" fillId="14" borderId="21" xfId="0" applyFont="1" applyFill="1" applyBorder="1"/>
    <xf numFmtId="0" fontId="0" fillId="14" borderId="18" xfId="0" applyFont="1" applyFill="1" applyBorder="1"/>
    <xf numFmtId="0" fontId="3" fillId="2" borderId="0" xfId="0" applyFont="1" applyFill="1" applyAlignment="1">
      <alignment horizontal="center"/>
    </xf>
    <xf numFmtId="0" fontId="10" fillId="2" borderId="0" xfId="0" applyFont="1" applyFill="1" applyAlignment="1">
      <alignment horizontal="center"/>
    </xf>
    <xf numFmtId="0" fontId="19" fillId="2" borderId="0" xfId="0" applyFont="1" applyFill="1" applyAlignment="1">
      <alignment horizontal="center"/>
    </xf>
    <xf numFmtId="0" fontId="0" fillId="2" borderId="11" xfId="0" applyFont="1" applyFill="1" applyBorder="1"/>
    <xf numFmtId="2" fontId="10" fillId="2" borderId="4" xfId="0" applyNumberFormat="1" applyFont="1" applyFill="1" applyBorder="1"/>
    <xf numFmtId="0" fontId="10" fillId="2" borderId="5" xfId="0" applyFont="1" applyFill="1" applyBorder="1"/>
    <xf numFmtId="0" fontId="20" fillId="2" borderId="8" xfId="0" applyFont="1" applyFill="1" applyBorder="1"/>
    <xf numFmtId="0" fontId="20" fillId="2" borderId="5" xfId="0" applyFont="1" applyFill="1" applyBorder="1"/>
    <xf numFmtId="0" fontId="0" fillId="15" borderId="0" xfId="0" applyFill="1"/>
    <xf numFmtId="0" fontId="20" fillId="5" borderId="0" xfId="0" applyFont="1" applyFill="1" applyBorder="1"/>
    <xf numFmtId="2" fontId="20" fillId="2" borderId="11" xfId="0" applyNumberFormat="1" applyFont="1" applyFill="1" applyBorder="1"/>
    <xf numFmtId="0" fontId="13" fillId="14" borderId="19" xfId="0" applyFont="1" applyFill="1" applyBorder="1" applyAlignment="1">
      <alignment horizontal="left" vertical="top" wrapText="1"/>
    </xf>
    <xf numFmtId="0" fontId="0" fillId="14" borderId="19" xfId="0" applyFill="1" applyBorder="1"/>
    <xf numFmtId="0" fontId="13" fillId="14" borderId="22" xfId="0" applyFont="1" applyFill="1" applyBorder="1" applyAlignment="1">
      <alignment horizontal="left" vertical="top" wrapText="1"/>
    </xf>
    <xf numFmtId="0" fontId="0" fillId="14" borderId="23" xfId="0" applyFill="1" applyBorder="1"/>
    <xf numFmtId="2" fontId="0" fillId="0" borderId="0" xfId="0" applyNumberFormat="1"/>
    <xf numFmtId="0" fontId="0" fillId="0" borderId="0" xfId="0" applyAlignment="1">
      <alignment horizontal="right"/>
    </xf>
    <xf numFmtId="0" fontId="0" fillId="14" borderId="17" xfId="0" applyFont="1" applyFill="1" applyBorder="1" applyAlignment="1">
      <alignment horizontal="right"/>
    </xf>
    <xf numFmtId="0" fontId="0" fillId="14" borderId="18" xfId="0" applyFont="1" applyFill="1" applyBorder="1" applyAlignment="1">
      <alignment horizontal="right"/>
    </xf>
    <xf numFmtId="0" fontId="0" fillId="14" borderId="24" xfId="0" applyFont="1" applyFill="1" applyBorder="1" applyAlignment="1">
      <alignment horizontal="right"/>
    </xf>
    <xf numFmtId="0" fontId="0" fillId="14" borderId="0" xfId="0" applyFont="1" applyFill="1" applyBorder="1" applyAlignment="1">
      <alignment horizontal="right"/>
    </xf>
    <xf numFmtId="2" fontId="0" fillId="2" borderId="4" xfId="0" applyNumberFormat="1" applyFont="1" applyFill="1" applyBorder="1"/>
    <xf numFmtId="2" fontId="0" fillId="2" borderId="11" xfId="0" applyNumberFormat="1" applyFont="1" applyFill="1" applyBorder="1"/>
    <xf numFmtId="0" fontId="0" fillId="2" borderId="0" xfId="0" applyFont="1" applyFill="1" applyAlignment="1">
      <alignment horizontal="center"/>
    </xf>
    <xf numFmtId="2" fontId="0" fillId="0" borderId="0" xfId="0" applyNumberFormat="1" applyAlignment="1">
      <alignment horizontal="right"/>
    </xf>
    <xf numFmtId="2" fontId="2" fillId="0" borderId="25" xfId="0" applyNumberFormat="1" applyFont="1" applyBorder="1" applyAlignment="1">
      <alignment horizontal="center"/>
    </xf>
    <xf numFmtId="2" fontId="2" fillId="0" borderId="15" xfId="0" applyNumberFormat="1" applyFont="1" applyBorder="1" applyAlignment="1">
      <alignment horizontal="left"/>
    </xf>
    <xf numFmtId="2" fontId="2" fillId="13" borderId="0" xfId="0" applyNumberFormat="1" applyFont="1" applyFill="1" applyAlignment="1">
      <alignment horizontal="left"/>
    </xf>
    <xf numFmtId="2" fontId="2" fillId="12" borderId="15" xfId="0" applyNumberFormat="1" applyFont="1" applyFill="1" applyBorder="1" applyAlignment="1">
      <alignment horizontal="left"/>
    </xf>
    <xf numFmtId="2" fontId="2" fillId="0" borderId="2" xfId="0" applyNumberFormat="1" applyFont="1" applyBorder="1" applyAlignment="1">
      <alignment horizontal="left"/>
    </xf>
    <xf numFmtId="0" fontId="2" fillId="5" borderId="6" xfId="0" applyFont="1" applyFill="1" applyBorder="1"/>
    <xf numFmtId="0" fontId="2" fillId="5" borderId="7" xfId="0" applyFont="1" applyFill="1" applyBorder="1"/>
    <xf numFmtId="0" fontId="0" fillId="0" borderId="0" xfId="0" applyAlignment="1"/>
    <xf numFmtId="0" fontId="2" fillId="0" borderId="0" xfId="0" applyFont="1" applyAlignment="1">
      <alignment horizontal="center"/>
    </xf>
    <xf numFmtId="0" fontId="0" fillId="0" borderId="0" xfId="0" applyAlignment="1">
      <alignment vertical="center"/>
    </xf>
    <xf numFmtId="0" fontId="0" fillId="2" borderId="0" xfId="0" applyFill="1" applyAlignment="1">
      <alignment wrapText="1"/>
    </xf>
    <xf numFmtId="0" fontId="0" fillId="2" borderId="0" xfId="0" applyFill="1" applyAlignment="1">
      <alignment horizontal="center" wrapText="1"/>
    </xf>
    <xf numFmtId="0" fontId="0" fillId="16" borderId="0" xfId="0" applyFill="1"/>
    <xf numFmtId="0" fontId="22" fillId="16" borderId="0" xfId="0" applyFont="1" applyFill="1" applyAlignment="1">
      <alignment vertical="center"/>
    </xf>
    <xf numFmtId="0" fontId="0" fillId="16" borderId="0" xfId="0" applyFill="1" applyAlignment="1"/>
    <xf numFmtId="0" fontId="25" fillId="16" borderId="0" xfId="0" applyFont="1" applyFill="1" applyAlignment="1"/>
    <xf numFmtId="0" fontId="26" fillId="16" borderId="0" xfId="0" applyFont="1" applyFill="1" applyAlignment="1"/>
    <xf numFmtId="0" fontId="23" fillId="16" borderId="0" xfId="0" applyFont="1" applyFill="1"/>
    <xf numFmtId="0" fontId="27" fillId="16" borderId="0" xfId="0" applyFont="1" applyFill="1" applyAlignment="1">
      <alignment vertical="center"/>
    </xf>
    <xf numFmtId="0" fontId="14" fillId="16" borderId="0" xfId="0" applyFont="1" applyFill="1" applyAlignment="1">
      <alignment vertical="center"/>
    </xf>
    <xf numFmtId="0" fontId="27" fillId="16" borderId="0" xfId="0" applyFont="1" applyFill="1"/>
    <xf numFmtId="0" fontId="1" fillId="16" borderId="0" xfId="0" applyFont="1" applyFill="1"/>
    <xf numFmtId="0" fontId="29" fillId="16" borderId="0" xfId="0" applyFont="1" applyFill="1"/>
    <xf numFmtId="0" fontId="29" fillId="2" borderId="0" xfId="0" applyFont="1" applyFill="1"/>
    <xf numFmtId="0" fontId="30" fillId="2" borderId="0" xfId="0" applyFont="1" applyFill="1" applyAlignment="1">
      <alignment vertical="center"/>
    </xf>
    <xf numFmtId="0" fontId="31" fillId="2" borderId="0" xfId="0" applyFont="1" applyFill="1" applyAlignment="1">
      <alignment vertical="center"/>
    </xf>
    <xf numFmtId="0" fontId="32" fillId="2" borderId="0" xfId="0" applyFont="1" applyFill="1" applyAlignment="1">
      <alignment vertical="center"/>
    </xf>
    <xf numFmtId="0" fontId="34" fillId="2" borderId="0" xfId="0" applyFont="1" applyFill="1" applyAlignment="1">
      <alignment wrapText="1"/>
    </xf>
    <xf numFmtId="0" fontId="34" fillId="2" borderId="0" xfId="0" applyFont="1" applyFill="1"/>
    <xf numFmtId="0" fontId="35" fillId="16" borderId="1" xfId="0" applyFont="1" applyFill="1" applyBorder="1"/>
    <xf numFmtId="0" fontId="35" fillId="16" borderId="1" xfId="0" applyFont="1" applyFill="1" applyBorder="1" applyAlignment="1">
      <alignment wrapText="1"/>
    </xf>
    <xf numFmtId="0" fontId="36" fillId="2" borderId="1" xfId="2" applyFont="1" applyFill="1" applyBorder="1" applyAlignment="1">
      <alignment vertical="top" wrapText="1"/>
    </xf>
    <xf numFmtId="0" fontId="36" fillId="2" borderId="1" xfId="2" applyFont="1" applyFill="1" applyBorder="1" applyAlignment="1">
      <alignment vertical="top"/>
    </xf>
    <xf numFmtId="0" fontId="34" fillId="2" borderId="1" xfId="0" applyFont="1" applyFill="1" applyBorder="1" applyAlignment="1">
      <alignment horizontal="left" vertical="top" wrapText="1"/>
    </xf>
    <xf numFmtId="0" fontId="36" fillId="2" borderId="1" xfId="2" applyFont="1" applyFill="1" applyBorder="1"/>
    <xf numFmtId="0" fontId="24" fillId="2" borderId="0" xfId="0" applyFont="1" applyFill="1" applyAlignment="1">
      <alignment wrapText="1"/>
    </xf>
    <xf numFmtId="0" fontId="24" fillId="2" borderId="0" xfId="0" applyFont="1" applyFill="1"/>
    <xf numFmtId="0" fontId="38" fillId="2" borderId="0" xfId="2" applyFont="1" applyFill="1" applyAlignment="1">
      <alignment vertical="center"/>
    </xf>
    <xf numFmtId="0" fontId="30" fillId="2" borderId="0" xfId="0" applyFont="1" applyFill="1" applyAlignment="1">
      <alignment horizontal="left" vertical="top" wrapText="1"/>
    </xf>
    <xf numFmtId="0" fontId="39" fillId="16" borderId="0" xfId="0" applyFont="1" applyFill="1" applyAlignment="1">
      <alignment vertical="top"/>
    </xf>
    <xf numFmtId="0" fontId="40" fillId="16" borderId="0" xfId="0" applyFont="1" applyFill="1"/>
    <xf numFmtId="0" fontId="23" fillId="16" borderId="0" xfId="0" applyFont="1" applyFill="1" applyAlignment="1">
      <alignment vertical="top"/>
    </xf>
    <xf numFmtId="0" fontId="41" fillId="16" borderId="0" xfId="0" applyFont="1" applyFill="1"/>
    <xf numFmtId="0" fontId="38" fillId="0" borderId="0" xfId="2" applyFont="1"/>
    <xf numFmtId="0" fontId="42" fillId="16" borderId="0" xfId="0" applyFont="1" applyFill="1"/>
    <xf numFmtId="0" fontId="24" fillId="2" borderId="0" xfId="0" applyFont="1" applyFill="1" applyAlignment="1">
      <alignment horizontal="left"/>
    </xf>
    <xf numFmtId="0" fontId="43" fillId="16" borderId="0" xfId="0" applyFont="1" applyFill="1"/>
    <xf numFmtId="0" fontId="0" fillId="2" borderId="0" xfId="0" applyFill="1" applyAlignment="1">
      <alignment horizontal="left"/>
    </xf>
    <xf numFmtId="0" fontId="34" fillId="2" borderId="0" xfId="0" applyFont="1" applyFill="1" applyAlignment="1">
      <alignment horizontal="left" wrapText="1"/>
    </xf>
    <xf numFmtId="0" fontId="34" fillId="2" borderId="1" xfId="0" applyFont="1" applyFill="1" applyBorder="1" applyAlignment="1">
      <alignment horizontal="left" vertical="top" wrapText="1"/>
    </xf>
    <xf numFmtId="0" fontId="30" fillId="2" borderId="0" xfId="0" applyFont="1" applyFill="1" applyAlignment="1">
      <alignment horizontal="left" vertical="top" wrapText="1"/>
    </xf>
    <xf numFmtId="0" fontId="32" fillId="2" borderId="26" xfId="0" applyFont="1" applyFill="1" applyBorder="1" applyAlignment="1">
      <alignment horizontal="left" vertical="top" wrapText="1"/>
    </xf>
    <xf numFmtId="0" fontId="32" fillId="2" borderId="0" xfId="0" applyFont="1" applyFill="1" applyAlignment="1">
      <alignment horizontal="left" vertical="center" wrapText="1"/>
    </xf>
    <xf numFmtId="0" fontId="32" fillId="2" borderId="0" xfId="0" applyFont="1" applyFill="1" applyAlignment="1">
      <alignment horizontal="left" vertical="top" wrapText="1"/>
    </xf>
    <xf numFmtId="0" fontId="27" fillId="16" borderId="0" xfId="0" applyFont="1" applyFill="1" applyAlignment="1">
      <alignment horizontal="center"/>
    </xf>
    <xf numFmtId="0" fontId="7" fillId="7" borderId="0" xfId="0" applyFont="1" applyFill="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6" borderId="0" xfId="0" applyFont="1" applyFill="1" applyAlignment="1">
      <alignment horizontal="center"/>
    </xf>
    <xf numFmtId="0" fontId="1" fillId="8" borderId="0" xfId="0" applyFont="1" applyFill="1" applyAlignment="1">
      <alignment horizontal="center"/>
    </xf>
    <xf numFmtId="0" fontId="9" fillId="9" borderId="0" xfId="0" applyFont="1" applyFill="1" applyAlignment="1">
      <alignment horizontal="center"/>
    </xf>
    <xf numFmtId="0" fontId="26" fillId="16" borderId="0" xfId="0" applyFont="1" applyFill="1" applyAlignment="1">
      <alignment horizontal="center"/>
    </xf>
    <xf numFmtId="0" fontId="17" fillId="16" borderId="0" xfId="0" applyFont="1" applyFill="1" applyAlignment="1">
      <alignment horizontal="center"/>
    </xf>
    <xf numFmtId="0" fontId="39" fillId="16" borderId="0" xfId="0" applyFont="1" applyFill="1" applyAlignment="1">
      <alignment horizontal="center" vertical="top"/>
    </xf>
    <xf numFmtId="0" fontId="23" fillId="16" borderId="0" xfId="0" applyFont="1" applyFill="1" applyAlignment="1">
      <alignment horizontal="center" vertical="top" wrapText="1"/>
    </xf>
    <xf numFmtId="0" fontId="27" fillId="16" borderId="13" xfId="0" applyFont="1" applyFill="1" applyBorder="1" applyAlignment="1">
      <alignment horizontal="center"/>
    </xf>
    <xf numFmtId="0" fontId="28" fillId="16" borderId="13" xfId="0" applyFont="1" applyFill="1" applyBorder="1" applyAlignment="1">
      <alignment horizontal="center"/>
    </xf>
    <xf numFmtId="0" fontId="1" fillId="16" borderId="2" xfId="0" applyFont="1" applyFill="1" applyBorder="1" applyAlignment="1">
      <alignment horizontal="center"/>
    </xf>
    <xf numFmtId="0" fontId="1" fillId="16" borderId="3" xfId="0" applyFont="1" applyFill="1" applyBorder="1" applyAlignment="1">
      <alignment horizontal="center"/>
    </xf>
  </cellXfs>
  <cellStyles count="3">
    <cellStyle name="Bad" xfId="1" builtinId="27"/>
    <cellStyle name="Hyperlink" xfId="2" builtinId="8"/>
    <cellStyle name="Normal" xfId="0" builtinId="0"/>
  </cellStyles>
  <dxfs count="981">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strike val="0"/>
        <condense val="0"/>
        <extend val="0"/>
        <outline val="0"/>
        <shadow val="0"/>
        <u val="none"/>
        <vertAlign val="baseline"/>
        <sz val="11"/>
        <color theme="1"/>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strike val="0"/>
        <condense val="0"/>
        <extend val="0"/>
        <outline val="0"/>
        <shadow val="0"/>
        <u val="none"/>
        <vertAlign val="baseline"/>
        <sz val="11"/>
        <color theme="1"/>
        <name val="Calibri"/>
        <scheme val="minor"/>
      </font>
    </dxf>
    <dxf>
      <numFmt numFmtId="2" formatCode="0.00"/>
    </dxf>
    <dxf>
      <font>
        <b/>
        <i val="0"/>
        <strike val="0"/>
        <condense val="0"/>
        <extend val="0"/>
        <outline val="0"/>
        <shadow val="0"/>
        <u val="none"/>
        <vertAlign val="baseline"/>
        <sz val="11"/>
        <color theme="1"/>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strike val="0"/>
        <condense val="0"/>
        <extend val="0"/>
        <outline val="0"/>
        <shadow val="0"/>
        <u val="none"/>
        <vertAlign val="baseline"/>
        <sz val="11"/>
        <color theme="1"/>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strike val="0"/>
        <condense val="0"/>
        <extend val="0"/>
        <outline val="0"/>
        <shadow val="0"/>
        <u val="none"/>
        <vertAlign val="baseline"/>
        <sz val="11"/>
        <color theme="1"/>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strike val="0"/>
        <condense val="0"/>
        <extend val="0"/>
        <outline val="0"/>
        <shadow val="0"/>
        <u val="none"/>
        <vertAlign val="baseline"/>
        <sz val="11"/>
        <color theme="1"/>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strike val="0"/>
        <condense val="0"/>
        <extend val="0"/>
        <outline val="0"/>
        <shadow val="0"/>
        <u val="none"/>
        <vertAlign val="baseline"/>
        <sz val="11"/>
        <color theme="1"/>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strike val="0"/>
        <condense val="0"/>
        <extend val="0"/>
        <outline val="0"/>
        <shadow val="0"/>
        <u val="none"/>
        <vertAlign val="baseline"/>
        <sz val="11"/>
        <color theme="1"/>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strike val="0"/>
        <condense val="0"/>
        <extend val="0"/>
        <outline val="0"/>
        <shadow val="0"/>
        <u val="none"/>
        <vertAlign val="baseline"/>
        <sz val="11"/>
        <color theme="1"/>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strike val="0"/>
        <condense val="0"/>
        <extend val="0"/>
        <outline val="0"/>
        <shadow val="0"/>
        <u val="none"/>
        <vertAlign val="baseline"/>
        <sz val="11"/>
        <color theme="1"/>
        <name val="Calibri"/>
        <scheme val="minor"/>
      </font>
    </dxf>
    <dxf>
      <numFmt numFmtId="2" formatCode="0.00"/>
    </dxf>
    <dxf>
      <font>
        <b/>
        <i val="0"/>
        <strike val="0"/>
        <condense val="0"/>
        <extend val="0"/>
        <outline val="0"/>
        <shadow val="0"/>
        <u val="none"/>
        <vertAlign val="baseline"/>
        <sz val="11"/>
        <color theme="1"/>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strike val="0"/>
        <condense val="0"/>
        <extend val="0"/>
        <outline val="0"/>
        <shadow val="0"/>
        <u val="none"/>
        <vertAlign val="baseline"/>
        <sz val="11"/>
        <color theme="1"/>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strike val="0"/>
        <condense val="0"/>
        <extend val="0"/>
        <outline val="0"/>
        <shadow val="0"/>
        <u val="none"/>
        <vertAlign val="baseline"/>
        <sz val="11"/>
        <color theme="1"/>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strike val="0"/>
        <condense val="0"/>
        <extend val="0"/>
        <outline val="0"/>
        <shadow val="0"/>
        <u val="none"/>
        <vertAlign val="baseline"/>
        <sz val="11"/>
        <color theme="1"/>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strike val="0"/>
        <condense val="0"/>
        <extend val="0"/>
        <outline val="0"/>
        <shadow val="0"/>
        <u val="none"/>
        <vertAlign val="baseline"/>
        <sz val="11"/>
        <color theme="1"/>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strike val="0"/>
        <condense val="0"/>
        <extend val="0"/>
        <outline val="0"/>
        <shadow val="0"/>
        <u val="none"/>
        <vertAlign val="baseline"/>
        <sz val="11"/>
        <color theme="1"/>
        <name val="Calibri"/>
        <scheme val="minor"/>
      </font>
    </dxf>
    <dxf>
      <numFmt numFmtId="2" formatCode="0.00"/>
    </dxf>
    <dxf>
      <font>
        <b/>
        <i val="0"/>
        <strike val="0"/>
        <condense val="0"/>
        <extend val="0"/>
        <outline val="0"/>
        <shadow val="0"/>
        <u val="none"/>
        <vertAlign val="baseline"/>
        <sz val="11"/>
        <color theme="1"/>
        <name val="Calibri"/>
        <scheme val="minor"/>
      </font>
    </dxf>
    <dxf>
      <border outline="0">
        <left style="thin">
          <color theme="4" tint="0.39997558519241921"/>
        </left>
        <right style="thin">
          <color theme="4" tint="0.39997558519241921"/>
        </right>
        <top style="thin">
          <color theme="4" tint="0.39997558519241921"/>
        </top>
        <bottom style="thin">
          <color theme="4" tint="0.39997558519241921"/>
        </bottom>
      </border>
    </dxf>
    <dxf>
      <font>
        <b/>
      </font>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dxf>
    <dxf>
      <numFmt numFmtId="2" formatCode="0.00"/>
      <alignment horizontal="left" vertical="bottom" textRotation="0" wrapText="0" indent="0" justifyLastLine="0" shrinkToFit="0" readingOrder="0"/>
    </dxf>
    <dxf>
      <font>
        <b/>
      </font>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dxf>
    <dxf>
      <numFmt numFmtId="2" formatCode="0.00"/>
      <alignment horizontal="left" vertical="bottom" textRotation="0" wrapText="0" relativeIndent="0" justifyLastLine="0" shrinkToFit="0" readingOrder="0"/>
    </dxf>
    <dxf>
      <font>
        <b/>
      </font>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font>
        <b/>
        <i val="0"/>
        <strike val="0"/>
        <condense val="0"/>
        <extend val="0"/>
        <outline val="0"/>
        <shadow val="0"/>
        <u val="none"/>
        <vertAlign val="baseline"/>
        <sz val="11"/>
        <color theme="1"/>
        <name val="Calibri"/>
        <scheme val="minor"/>
      </font>
    </dxf>
    <dxf>
      <alignment horizontal="left" vertical="bottom" textRotation="0" wrapText="0" relativeIndent="0" justifyLastLine="0" shrinkToFit="0" readingOrder="0"/>
    </dxf>
    <dxf>
      <font>
        <b/>
        <i val="0"/>
        <strike val="0"/>
        <condense val="0"/>
        <extend val="0"/>
        <outline val="0"/>
        <shadow val="0"/>
        <u val="none"/>
        <vertAlign val="baseline"/>
        <sz val="11"/>
        <color theme="1"/>
        <name val="Calibri"/>
        <scheme val="minor"/>
      </font>
    </dxf>
    <dxf>
      <numFmt numFmtId="2" formatCode="0.00"/>
    </dxf>
    <dxf>
      <border outline="0">
        <left style="thin">
          <color theme="4" tint="0.39997558519241921"/>
        </left>
        <right style="thin">
          <color theme="4" tint="0.39997558519241921"/>
        </right>
        <top style="thin">
          <color theme="4" tint="0.39997558519241921"/>
        </top>
        <bottom style="thin">
          <color theme="4" tint="0.39997558519241921"/>
        </bottom>
      </border>
    </dxf>
    <dxf>
      <font>
        <b/>
      </font>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font>
        <b/>
      </font>
    </dxf>
    <dxf>
      <font>
        <b/>
      </font>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font>
        <b/>
      </font>
    </dxf>
    <dxf>
      <font>
        <b/>
      </font>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font>
        <b/>
        <i val="0"/>
        <strike val="0"/>
        <condense val="0"/>
        <extend val="0"/>
        <outline val="0"/>
        <shadow val="0"/>
        <u val="none"/>
        <vertAlign val="baseline"/>
        <sz val="11"/>
        <color theme="1"/>
        <name val="Calibri"/>
        <scheme val="minor"/>
      </font>
    </dxf>
    <dxf>
      <alignment horizontal="left" vertical="bottom" textRotation="0" wrapText="0" relativeIndent="0" justifyLastLine="0" shrinkToFit="0" readingOrder="0"/>
    </dxf>
    <dxf>
      <font>
        <b/>
        <i val="0"/>
        <strike val="0"/>
        <condense val="0"/>
        <extend val="0"/>
        <outline val="0"/>
        <shadow val="0"/>
        <u val="none"/>
        <vertAlign val="baseline"/>
        <sz val="11"/>
        <color theme="1"/>
        <name val="Calibri"/>
        <scheme val="minor"/>
      </font>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left/>
        <right/>
        <top style="thin">
          <color theme="4" tint="0.39997558519241921"/>
        </top>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bottom" textRotation="0" wrapText="0" relativeIndent="0" justifyLastLine="0" shrinkToFit="0" readingOrder="0"/>
    </dxf>
    <dxf>
      <border outline="0">
        <bottom style="thin">
          <color theme="4" tint="0.39997558519241921"/>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fill>
        <patternFill patternType="solid">
          <fgColor indexed="64"/>
          <bgColor theme="0" tint="-4.9989318521683403E-2"/>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left/>
        <right/>
        <top style="thin">
          <color theme="4" tint="0.39997558519241921"/>
        </top>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bottom" textRotation="0" wrapText="0" relativeIndent="0" justifyLastLine="0" shrinkToFit="0" readingOrder="0"/>
    </dxf>
    <dxf>
      <border outline="0">
        <bottom style="thin">
          <color theme="4" tint="0.39997558519241921"/>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style="thin">
          <color theme="4" tint="0.39997558519241921"/>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left style="thin">
          <color theme="4" tint="0.39997558519241921"/>
        </left>
        <right/>
        <top style="thin">
          <color theme="4" tint="0.39997558519241921"/>
        </top>
        <bottom/>
        <vertical/>
        <horizontal/>
      </border>
    </dxf>
    <dxf>
      <alignment horizontal="center" vertical="bottom" textRotation="0" wrapText="0" relative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bottom" textRotation="0" wrapText="0" relativeIndent="0" justifyLastLine="0" shrinkToFit="0" readingOrder="0"/>
    </dxf>
    <dxf>
      <numFmt numFmtId="2" formatCode="0.00"/>
    </dxf>
    <dxf>
      <border outline="0">
        <left style="thin">
          <color theme="4" tint="0.39997558519241921"/>
        </left>
        <right style="thin">
          <color theme="4" tint="0.39997558519241921"/>
        </right>
        <top style="thin">
          <color theme="4" tint="0.39997558519241921"/>
        </top>
        <bottom style="thin">
          <color theme="4" tint="0.39997558519241921"/>
        </bottom>
      </border>
    </dxf>
    <dxf>
      <font>
        <b/>
      </font>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font>
        <b/>
      </font>
    </dxf>
    <dxf>
      <font>
        <b/>
      </font>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font>
        <b/>
      </font>
    </dxf>
    <dxf>
      <font>
        <b/>
      </font>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numFmt numFmtId="2" formatCode="0.00"/>
      <alignment horizontal="left" vertical="bottom" textRotation="0" wrapText="0" relativeIndent="0" justifyLastLine="0" shrinkToFit="0" readingOrder="0"/>
    </dxf>
    <dxf>
      <font>
        <b/>
        <i val="0"/>
        <strike val="0"/>
        <condense val="0"/>
        <extend val="0"/>
        <outline val="0"/>
        <shadow val="0"/>
        <u val="none"/>
        <vertAlign val="baseline"/>
        <sz val="11"/>
        <color theme="1"/>
        <name val="Calibri"/>
        <scheme val="minor"/>
      </font>
    </dxf>
    <dxf>
      <alignment horizontal="left" vertical="bottom" textRotation="0" wrapText="0" relativeIndent="0" justifyLastLine="0" shrinkToFit="0" readingOrder="0"/>
    </dxf>
    <dxf>
      <font>
        <b/>
        <i val="0"/>
        <strike val="0"/>
        <condense val="0"/>
        <extend val="0"/>
        <outline val="0"/>
        <shadow val="0"/>
        <u val="none"/>
        <vertAlign val="baseline"/>
        <sz val="11"/>
        <color theme="1"/>
        <name val="Calibri"/>
        <scheme val="minor"/>
      </font>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left/>
        <right/>
        <top style="thin">
          <color theme="4" tint="0.39997558519241921"/>
        </top>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bottom" textRotation="0" wrapText="0" relativeIndent="0" justifyLastLine="0" shrinkToFit="0" readingOrder="0"/>
    </dxf>
    <dxf>
      <border outline="0">
        <bottom style="thin">
          <color theme="4" tint="0.39997558519241921"/>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numFmt numFmtId="2" formatCode="0.0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bottom" textRotation="0" wrapText="0" relativeIndent="0" justifyLastLine="0" shrinkToFit="0" readingOrder="0"/>
      <border diagonalUp="0" diagonalDown="0">
        <left/>
        <right/>
        <top style="thin">
          <color theme="4" tint="0.39997558519241921"/>
        </top>
        <bottom style="thin">
          <color theme="4" tint="0.39997558519241921"/>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left/>
        <right/>
        <top style="thin">
          <color theme="4" tint="0.39997558519241921"/>
        </top>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bottom" textRotation="0" wrapText="0" relativeIndent="0" justifyLastLine="0" shrinkToFit="0" readingOrder="0"/>
    </dxf>
    <dxf>
      <border outline="0">
        <bottom style="thin">
          <color theme="4" tint="0.39997558519241921"/>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alignment horizontal="center" vertical="bottom" textRotation="0" wrapText="0" relativeIndent="0" justifyLastLine="0" shrinkToFit="0" readingOrder="0"/>
    </dxf>
    <dxf>
      <numFmt numFmtId="2" formatCode="0.00"/>
      <alignment horizontal="center" vertical="bottom" textRotation="0" wrapText="0" indent="0" justifyLastLine="0" shrinkToFit="0" readingOrder="0"/>
      <border diagonalUp="0" diagonalDown="0" outline="0">
        <left/>
        <right/>
        <top/>
        <bottom/>
      </border>
    </dxf>
    <dxf>
      <numFmt numFmtId="0" formatCode="General"/>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style="thin">
          <color theme="4" tint="0.39997558519241921"/>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left style="thin">
          <color theme="4" tint="0.39997558519241921"/>
        </left>
        <right/>
        <top style="thin">
          <color theme="4" tint="0.39997558519241921"/>
        </top>
        <bottom/>
        <vertical/>
        <horizontal/>
      </border>
    </dxf>
    <dxf>
      <alignment horizontal="center" vertical="bottom" textRotation="0" wrapText="0" relative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bottom" textRotation="0" wrapText="0" relativeIndent="0" justifyLastLine="0" shrinkToFit="0" readingOrder="0"/>
    </dxf>
    <dxf>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patternFill>
      </fill>
    </dxf>
    <dxf>
      <font>
        <strike val="0"/>
        <outline val="0"/>
        <shadow val="0"/>
        <u val="none"/>
        <vertAlign val="baseline"/>
        <sz val="11"/>
        <color theme="1" tint="4.9989318521683403E-2"/>
        <name val="Calibri"/>
        <scheme val="minor"/>
      </font>
      <fill>
        <patternFill patternType="solid">
          <fgColor indexed="64"/>
          <bgColor theme="0"/>
        </patternFill>
      </fill>
      <alignment horizontal="center" vertical="bottom" textRotation="0" wrapText="0" indent="0" justifyLastLine="0" shrinkToFit="0" readingOrder="0"/>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patternFill>
      </fill>
    </dxf>
    <dxf>
      <font>
        <strike val="0"/>
        <outline val="0"/>
        <shadow val="0"/>
        <u val="none"/>
        <vertAlign val="baseline"/>
        <sz val="11"/>
        <color theme="1" tint="4.9989318521683403E-2"/>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left/>
        <right/>
        <top style="thin">
          <color theme="4" tint="0.39997558519241921"/>
        </top>
        <bottom/>
        <vertical/>
        <horizontal/>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style="thin">
          <color indexed="64"/>
        </right>
        <top style="thin">
          <color theme="4" tint="0.39997558519241921"/>
        </top>
        <bottom/>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bottom" textRotation="0" wrapText="0" indent="0" justifyLastLine="0" shrinkToFit="0" readingOrder="0"/>
    </dxf>
    <dxf>
      <numFmt numFmtId="164" formatCode="0.0"/>
      <fill>
        <patternFill patternType="solid">
          <fgColor indexed="64"/>
          <bgColor theme="0"/>
        </patternFill>
      </fill>
      <border diagonalUp="0" diagonalDown="0" outline="0">
        <left style="thin">
          <color indexed="64"/>
        </left>
        <right style="thin">
          <color indexed="64"/>
        </right>
        <top/>
        <bottom/>
      </border>
    </dxf>
    <dxf>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patternFill>
      </fill>
    </dxf>
    <dxf>
      <font>
        <strike val="0"/>
        <outline val="0"/>
        <shadow val="0"/>
        <u val="none"/>
        <vertAlign val="baseline"/>
        <sz val="11"/>
        <color theme="1" tint="4.9989318521683403E-2"/>
        <name val="Calibri"/>
        <scheme val="minor"/>
      </font>
      <fill>
        <patternFill patternType="solid">
          <fgColor indexed="64"/>
          <bgColor theme="0"/>
        </patternFill>
      </fill>
      <alignment horizontal="center" vertical="bottom" textRotation="0" wrapText="0" indent="0" justifyLastLine="0" shrinkToFit="0" readingOrder="0"/>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patternFill>
      </fill>
    </dxf>
    <dxf>
      <font>
        <strike val="0"/>
        <outline val="0"/>
        <shadow val="0"/>
        <u val="none"/>
        <vertAlign val="baseline"/>
        <sz val="11"/>
        <color theme="1" tint="4.9989318521683403E-2"/>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left/>
        <right/>
        <top style="thin">
          <color theme="4" tint="0.39997558519241921"/>
        </top>
        <bottom/>
        <vertical/>
        <horizontal/>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style="thin">
          <color indexed="64"/>
        </right>
        <top style="thin">
          <color theme="4" tint="0.39997558519241921"/>
        </top>
        <bottom/>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patternFill>
      </fill>
    </dxf>
    <dxf>
      <font>
        <strike val="0"/>
        <outline val="0"/>
        <shadow val="0"/>
        <u val="none"/>
        <vertAlign val="baseline"/>
        <sz val="11"/>
        <color theme="1" tint="4.9989318521683403E-2"/>
        <name val="Calibri"/>
        <scheme val="minor"/>
      </font>
      <fill>
        <patternFill patternType="solid">
          <fgColor indexed="64"/>
          <bgColor theme="0"/>
        </patternFill>
      </fill>
      <alignment horizontal="center" vertical="bottom" textRotation="0" wrapText="0" indent="0" justifyLastLine="0" shrinkToFit="0" readingOrder="0"/>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patternFill>
      </fill>
    </dxf>
    <dxf>
      <font>
        <strike val="0"/>
        <outline val="0"/>
        <shadow val="0"/>
        <u val="none"/>
        <vertAlign val="baseline"/>
        <sz val="11"/>
        <color theme="1" tint="4.9989318521683403E-2"/>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left/>
        <right/>
        <top style="thin">
          <color theme="4" tint="0.39997558519241921"/>
        </top>
        <bottom/>
        <vertical/>
        <horizontal/>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left/>
        <right/>
        <top style="thin">
          <color theme="4" tint="0.39997558519241921"/>
        </top>
        <bottom/>
        <vertical/>
        <horizontal/>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bottom" textRotation="0" wrapText="0" indent="0" justifyLastLine="0" shrinkToFit="0" readingOrder="0"/>
    </dxf>
    <dxf>
      <fill>
        <patternFill patternType="solid">
          <fgColor indexed="64"/>
          <bgColor indexed="9"/>
        </patternFill>
      </fill>
      <border diagonalUp="0" diagonalDown="0">
        <left style="thin">
          <color indexed="22"/>
        </left>
        <right style="thin">
          <color indexed="22"/>
        </right>
        <top style="thin">
          <color indexed="22"/>
        </top>
        <bottom style="thin">
          <color indexed="22"/>
        </bottom>
      </border>
    </dxf>
    <dxf>
      <fill>
        <patternFill patternType="solid">
          <fgColor indexed="64"/>
          <bgColor indexed="9"/>
        </patternFill>
      </fill>
      <border diagonalUp="0" diagonalDown="0">
        <left style="thin">
          <color indexed="22"/>
        </left>
        <right style="thin">
          <color indexed="22"/>
        </right>
        <top style="thin">
          <color indexed="22"/>
        </top>
        <bottom style="thin">
          <color indexed="22"/>
        </bottom>
      </border>
    </dxf>
    <dxf>
      <fill>
        <patternFill patternType="solid">
          <fgColor indexed="64"/>
          <bgColor indexed="9"/>
        </patternFill>
      </fill>
      <border diagonalUp="0" diagonalDown="0">
        <left style="thin">
          <color indexed="22"/>
        </left>
        <right style="thin">
          <color indexed="22"/>
        </right>
        <top style="thin">
          <color indexed="22"/>
        </top>
        <bottom style="thin">
          <color indexed="22"/>
        </bottom>
      </border>
    </dxf>
    <dxf>
      <fill>
        <patternFill patternType="solid">
          <fgColor indexed="64"/>
          <bgColor indexed="9"/>
        </patternFill>
      </fill>
      <border diagonalUp="0" diagonalDown="0">
        <left style="thin">
          <color indexed="22"/>
        </left>
        <right style="thin">
          <color indexed="22"/>
        </right>
        <top style="thin">
          <color indexed="22"/>
        </top>
        <bottom style="thin">
          <color indexed="22"/>
        </bottom>
      </border>
    </dxf>
    <dxf>
      <fill>
        <patternFill patternType="solid">
          <fgColor indexed="64"/>
          <bgColor indexed="9"/>
        </patternFill>
      </fill>
      <border diagonalUp="0" diagonalDown="0">
        <left style="thin">
          <color indexed="22"/>
        </left>
        <right style="thin">
          <color indexed="22"/>
        </right>
        <top style="thin">
          <color indexed="22"/>
        </top>
        <bottom style="thin">
          <color indexed="22"/>
        </bottom>
      </border>
    </dxf>
    <dxf>
      <fill>
        <patternFill patternType="solid">
          <fgColor indexed="64"/>
          <bgColor indexed="9"/>
        </patternFill>
      </fill>
      <border diagonalUp="0" diagonalDown="0">
        <left style="thin">
          <color indexed="22"/>
        </left>
        <right style="thin">
          <color indexed="22"/>
        </right>
        <top style="thin">
          <color indexed="22"/>
        </top>
        <bottom style="thin">
          <color indexed="22"/>
        </bottom>
      </border>
    </dxf>
    <dxf>
      <fill>
        <patternFill patternType="solid">
          <fgColor indexed="64"/>
          <bgColor indexed="9"/>
        </patternFill>
      </fill>
      <border diagonalUp="0" diagonalDown="0">
        <left/>
        <right style="thin">
          <color indexed="22"/>
        </right>
        <top style="thin">
          <color indexed="22"/>
        </top>
        <bottom style="thin">
          <color indexed="22"/>
        </bottom>
      </border>
    </dxf>
    <dxf>
      <fill>
        <patternFill patternType="solid">
          <fgColor indexed="64"/>
          <bgColor indexed="9"/>
        </patternFill>
      </fill>
      <border diagonalUp="0" diagonalDown="0">
        <left/>
        <right style="thin">
          <color indexed="22"/>
        </right>
        <top style="thin">
          <color indexed="22"/>
        </top>
        <bottom/>
      </border>
    </dxf>
    <dxf>
      <fill>
        <patternFill patternType="solid">
          <fgColor indexed="64"/>
          <bgColor indexed="9"/>
        </patternFill>
      </fill>
      <border diagonalUp="0" diagonalDown="0">
        <left style="thin">
          <color indexed="22"/>
        </left>
        <right style="thin">
          <color indexed="22"/>
        </right>
        <top style="thin">
          <color indexed="22"/>
        </top>
        <bottom style="thin">
          <color indexed="22"/>
        </bottom>
      </border>
    </dxf>
    <dxf>
      <fill>
        <patternFill patternType="solid">
          <fgColor indexed="64"/>
          <bgColor indexed="9"/>
        </patternFill>
      </fill>
    </dxf>
    <dxf>
      <border outline="0">
        <bottom style="thin">
          <color indexed="22"/>
        </bottom>
      </border>
    </dxf>
    <dxf>
      <font>
        <b/>
        <i val="0"/>
        <strike val="0"/>
        <condense val="0"/>
        <extend val="0"/>
        <outline val="0"/>
        <shadow val="0"/>
        <u val="none"/>
        <vertAlign val="baseline"/>
        <sz val="10"/>
        <color auto="1"/>
        <name val="Calibri"/>
        <scheme val="none"/>
      </font>
      <fill>
        <patternFill patternType="solid">
          <fgColor indexed="64"/>
          <bgColor indexed="9"/>
        </patternFill>
      </fill>
      <alignment horizontal="left" vertical="top" textRotation="0" wrapText="1" indent="0" justifyLastLine="0" shrinkToFit="0" readingOrder="0"/>
      <border diagonalUp="0" diagonalDown="0" outline="0">
        <left style="thin">
          <color indexed="22"/>
        </left>
        <right style="thin">
          <color indexed="22"/>
        </right>
        <top/>
        <bottom/>
      </border>
    </dxf>
    <dxf>
      <font>
        <color rgb="FF9C0006"/>
      </font>
      <fill>
        <patternFill>
          <bgColor rgb="FFFFC7CE"/>
        </patternFill>
      </fill>
    </dxf>
    <dxf>
      <fill>
        <patternFill patternType="solid">
          <fgColor indexed="64"/>
          <bgColor theme="0"/>
        </patternFill>
      </fill>
      <border diagonalUp="0" diagonalDown="0" outline="0">
        <left style="thin">
          <color indexed="64"/>
        </left>
        <right style="thin">
          <color indexed="64"/>
        </right>
        <top/>
        <bottom/>
      </border>
    </dxf>
    <dxf>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patternFill>
      </fill>
    </dxf>
    <dxf>
      <font>
        <strike val="0"/>
        <outline val="0"/>
        <shadow val="0"/>
        <u val="none"/>
        <vertAlign val="baseline"/>
        <sz val="11"/>
        <color theme="1" tint="4.9989318521683403E-2"/>
        <name val="Calibri"/>
        <scheme val="minor"/>
      </font>
      <fill>
        <patternFill patternType="solid">
          <fgColor indexed="64"/>
          <bgColor theme="0"/>
        </patternFill>
      </fill>
      <alignment horizontal="center" vertical="bottom" textRotation="0" wrapText="0" indent="0" justifyLastLine="0" shrinkToFit="0" readingOrder="0"/>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patternFill>
      </fill>
    </dxf>
    <dxf>
      <font>
        <strike val="0"/>
        <outline val="0"/>
        <shadow val="0"/>
        <u val="none"/>
        <vertAlign val="baseline"/>
        <sz val="11"/>
        <color theme="1" tint="4.9989318521683403E-2"/>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left/>
        <right/>
        <top style="thin">
          <color theme="4" tint="0.39997558519241921"/>
        </top>
        <bottom/>
        <vertical/>
        <horizontal/>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style="thin">
          <color indexed="64"/>
        </right>
        <top style="thin">
          <color theme="4" tint="0.39997558519241921"/>
        </top>
        <bottom/>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border diagonalUp="0" diagonalDown="0" outline="0">
        <left style="thin">
          <color indexed="64"/>
        </left>
        <right style="thin">
          <color indexed="64"/>
        </right>
        <top/>
        <bottom/>
      </border>
    </dxf>
    <dxf>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patternFill>
      </fill>
    </dxf>
    <dxf>
      <font>
        <strike val="0"/>
        <outline val="0"/>
        <shadow val="0"/>
        <u val="none"/>
        <vertAlign val="baseline"/>
        <sz val="11"/>
        <color theme="1" tint="4.9989318521683403E-2"/>
        <name val="Calibri"/>
        <scheme val="minor"/>
      </font>
      <fill>
        <patternFill patternType="solid">
          <fgColor indexed="64"/>
          <bgColor theme="0"/>
        </patternFill>
      </fill>
      <alignment horizontal="center" vertical="bottom" textRotation="0" wrapText="0" indent="0" justifyLastLine="0" shrinkToFit="0" readingOrder="0"/>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patternFill>
      </fill>
    </dxf>
    <dxf>
      <font>
        <strike val="0"/>
        <outline val="0"/>
        <shadow val="0"/>
        <u val="none"/>
        <vertAlign val="baseline"/>
        <sz val="11"/>
        <color theme="1" tint="4.9989318521683403E-2"/>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left/>
        <right/>
        <top style="thin">
          <color theme="4" tint="0.39997558519241921"/>
        </top>
        <bottom/>
        <vertical/>
        <horizontal/>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style="thin">
          <color indexed="64"/>
        </right>
        <top style="thin">
          <color theme="4" tint="0.39997558519241921"/>
        </top>
        <bottom/>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border diagonalUp="0" diagonalDown="0" outline="0">
        <left style="thin">
          <color indexed="64"/>
        </left>
        <right style="thin">
          <color indexed="64"/>
        </right>
        <top/>
        <bottom/>
      </border>
    </dxf>
    <dxf>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patternFill>
      </fill>
    </dxf>
    <dxf>
      <font>
        <strike val="0"/>
        <outline val="0"/>
        <shadow val="0"/>
        <u val="none"/>
        <vertAlign val="baseline"/>
        <sz val="11"/>
        <color theme="1" tint="4.9989318521683403E-2"/>
        <name val="Calibri"/>
        <scheme val="minor"/>
      </font>
      <fill>
        <patternFill patternType="solid">
          <fgColor indexed="64"/>
          <bgColor theme="0"/>
        </patternFill>
      </fill>
      <alignment horizontal="center" vertical="bottom" textRotation="0" wrapText="0" indent="0" justifyLastLine="0" shrinkToFit="0" readingOrder="0"/>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64" formatCode="0.0"/>
      <fill>
        <patternFill patternType="solid">
          <fgColor indexed="64"/>
          <bgColor theme="0"/>
        </patternFill>
      </fill>
      <border diagonalUp="0" diagonalDown="0" outline="0">
        <left style="thin">
          <color indexed="64"/>
        </left>
        <right style="thin">
          <color indexed="64"/>
        </right>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patternFill>
      </fill>
    </dxf>
    <dxf>
      <font>
        <strike val="0"/>
        <outline val="0"/>
        <shadow val="0"/>
        <u val="none"/>
        <vertAlign val="baseline"/>
        <sz val="11"/>
        <color theme="1" tint="4.9989318521683403E-2"/>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left/>
        <right/>
        <top style="thin">
          <color theme="4" tint="0.39997558519241921"/>
        </top>
        <bottom/>
        <vertical/>
        <horizontal/>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left style="thin">
          <color indexed="64"/>
        </left>
        <right/>
        <top style="thin">
          <color indexed="64"/>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left style="thin">
          <color indexed="64"/>
        </left>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left style="thin">
          <color indexed="64"/>
        </left>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left style="thin">
          <color indexed="64"/>
        </left>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left style="thin">
          <color indexed="64"/>
        </left>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left style="thin">
          <color indexed="64"/>
        </left>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border diagonalUp="0" diagonalDown="0" outline="0">
        <left/>
        <right style="thin">
          <color indexed="64"/>
        </right>
        <top style="thin">
          <color theme="4" tint="0.39997558519241921"/>
        </top>
        <bottom/>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bottom" textRotation="0" wrapText="0" indent="0" justifyLastLine="0" shrinkToFit="0" readingOrder="0"/>
    </dxf>
    <dxf>
      <fill>
        <patternFill patternType="solid">
          <fgColor indexed="64"/>
          <bgColor indexed="9"/>
        </patternFill>
      </fill>
      <border diagonalUp="0" diagonalDown="0">
        <left style="thin">
          <color indexed="22"/>
        </left>
        <right/>
        <top style="thin">
          <color indexed="22"/>
        </top>
        <bottom style="thin">
          <color indexed="22"/>
        </bottom>
        <vertical/>
        <horizontal/>
      </border>
    </dxf>
    <dxf>
      <fill>
        <patternFill patternType="solid">
          <fgColor indexed="64"/>
          <bgColor indexed="9"/>
        </patternFill>
      </fill>
      <border diagonalUp="0" diagonalDown="0">
        <left style="thin">
          <color indexed="22"/>
        </left>
        <right style="thin">
          <color indexed="22"/>
        </right>
        <top style="thin">
          <color indexed="22"/>
        </top>
        <bottom/>
        <vertical/>
        <horizontal/>
      </border>
    </dxf>
    <dxf>
      <fill>
        <patternFill patternType="solid">
          <fgColor indexed="64"/>
          <bgColor indexed="9"/>
        </patternFill>
      </fill>
      <border diagonalUp="0" diagonalDown="0">
        <left style="thin">
          <color indexed="22"/>
        </left>
        <right style="thin">
          <color indexed="22"/>
        </right>
        <top style="thin">
          <color indexed="22"/>
        </top>
        <bottom/>
        <vertical/>
        <horizontal/>
      </border>
    </dxf>
    <dxf>
      <fill>
        <patternFill patternType="solid">
          <fgColor indexed="64"/>
          <bgColor indexed="9"/>
        </patternFill>
      </fill>
      <border diagonalUp="0" diagonalDown="0">
        <left style="thin">
          <color indexed="22"/>
        </left>
        <right style="thin">
          <color indexed="22"/>
        </right>
        <top style="thin">
          <color indexed="22"/>
        </top>
        <bottom style="thin">
          <color indexed="22"/>
        </bottom>
        <vertical/>
        <horizontal/>
      </border>
    </dxf>
    <dxf>
      <fill>
        <patternFill patternType="solid">
          <fgColor indexed="64"/>
          <bgColor indexed="9"/>
        </patternFill>
      </fill>
      <border diagonalUp="0" diagonalDown="0">
        <left style="thin">
          <color indexed="22"/>
        </left>
        <right style="thin">
          <color indexed="22"/>
        </right>
        <top style="thin">
          <color indexed="22"/>
        </top>
        <bottom style="thin">
          <color indexed="22"/>
        </bottom>
        <vertical/>
        <horizontal/>
      </border>
    </dxf>
    <dxf>
      <fill>
        <patternFill patternType="solid">
          <fgColor indexed="64"/>
          <bgColor indexed="9"/>
        </patternFill>
      </fill>
      <border diagonalUp="0" diagonalDown="0">
        <left/>
        <right style="thin">
          <color indexed="22"/>
        </right>
        <top style="thin">
          <color indexed="22"/>
        </top>
        <bottom style="thin">
          <color indexed="22"/>
        </bottom>
        <vertical/>
        <horizontal/>
      </border>
    </dxf>
    <dxf>
      <border outline="0">
        <left style="thin">
          <color indexed="22"/>
        </left>
        <right style="thin">
          <color indexed="22"/>
        </right>
      </border>
    </dxf>
    <dxf>
      <border outline="0">
        <bottom style="thin">
          <color indexed="22"/>
        </bottom>
      </border>
    </dxf>
    <dxf>
      <font>
        <b/>
        <i val="0"/>
        <strike val="0"/>
        <condense val="0"/>
        <extend val="0"/>
        <outline val="0"/>
        <shadow val="0"/>
        <u val="none"/>
        <vertAlign val="baseline"/>
        <sz val="10"/>
        <color auto="1"/>
        <name val="Calibri"/>
        <scheme val="none"/>
      </font>
      <fill>
        <patternFill patternType="solid">
          <fgColor indexed="64"/>
          <bgColor indexed="9"/>
        </patternFill>
      </fill>
      <alignment horizontal="left" vertical="top" textRotation="0" wrapText="1" relativeIndent="0" justifyLastLine="0" shrinkToFit="0" readingOrder="0"/>
      <border diagonalUp="0" diagonalDown="0" outline="0">
        <left style="thin">
          <color indexed="22"/>
        </left>
        <right style="thin">
          <color indexed="2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Effectiveness - Smart phone usage</a:t>
            </a:r>
          </a:p>
        </c:rich>
      </c:tx>
      <c:overlay val="0"/>
    </c:title>
    <c:autoTitleDeleted val="0"/>
    <c:plotArea>
      <c:layout/>
      <c:barChart>
        <c:barDir val="col"/>
        <c:grouping val="clustered"/>
        <c:varyColors val="1"/>
        <c:ser>
          <c:idx val="0"/>
          <c:order val="0"/>
          <c:spPr>
            <a:ln>
              <a:noFill/>
            </a:ln>
            <a:effectLst/>
          </c:spPr>
          <c:invertIfNegative val="0"/>
          <c:cat>
            <c:strRef>
              <c:f>'Demographic Analysis - Group B'!$N$4:$N$5</c:f>
              <c:strCache>
                <c:ptCount val="2"/>
                <c:pt idx="0">
                  <c:v>Non-smart</c:v>
                </c:pt>
                <c:pt idx="1">
                  <c:v>Smart</c:v>
                </c:pt>
              </c:strCache>
            </c:strRef>
          </c:cat>
          <c:val>
            <c:numRef>
              <c:f>'Demographic Analysis - Group B'!$O$4:$O$5</c:f>
              <c:numCache>
                <c:formatCode>0.00</c:formatCode>
                <c:ptCount val="2"/>
                <c:pt idx="0">
                  <c:v>31.863501082251084</c:v>
                </c:pt>
                <c:pt idx="1">
                  <c:v>36.703684573002761</c:v>
                </c:pt>
              </c:numCache>
            </c:numRef>
          </c:val>
        </c:ser>
        <c:dLbls>
          <c:showLegendKey val="0"/>
          <c:showVal val="0"/>
          <c:showCatName val="0"/>
          <c:showSerName val="0"/>
          <c:showPercent val="0"/>
          <c:showBubbleSize val="0"/>
        </c:dLbls>
        <c:gapWidth val="150"/>
        <c:axId val="143472896"/>
        <c:axId val="143478784"/>
      </c:barChart>
      <c:catAx>
        <c:axId val="143472896"/>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3478784"/>
        <c:crossesAt val="0"/>
        <c:auto val="1"/>
        <c:lblAlgn val="ctr"/>
        <c:lblOffset val="100"/>
        <c:noMultiLvlLbl val="0"/>
      </c:catAx>
      <c:valAx>
        <c:axId val="143478784"/>
        <c:scaling>
          <c:orientation val="minMax"/>
          <c:max val="100"/>
          <c:min val="0"/>
        </c:scaling>
        <c:delete val="0"/>
        <c:axPos val="l"/>
        <c:majorGridlines/>
        <c:title>
          <c:tx>
            <c:rich>
              <a:bodyPr rot="-5400000" vert="horz"/>
              <a:lstStyle/>
              <a:p>
                <a:pPr>
                  <a:defRPr/>
                </a:pPr>
                <a:r>
                  <a:rPr lang="en-GB" b="0" i="0" baseline="0"/>
                  <a:t>Task Completion Rate (%)</a:t>
                </a:r>
              </a:p>
            </c:rich>
          </c:tx>
          <c:overlay val="0"/>
        </c:title>
        <c:numFmt formatCode="0" sourceLinked="0"/>
        <c:majorTickMark val="out"/>
        <c:minorTickMark val="none"/>
        <c:tickLblPos val="nextTo"/>
        <c:spPr>
          <a:ln w="44450">
            <a:solidFill>
              <a:schemeClr val="tx1"/>
            </a:solidFill>
          </a:ln>
        </c:spPr>
        <c:crossAx val="143472896"/>
        <c:crossesAt val="1"/>
        <c:crossBetween val="between"/>
        <c:majorUnit val="20"/>
      </c:valAx>
      <c:spPr>
        <a:ln w="0">
          <a:noFill/>
        </a:ln>
      </c:spPr>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Satisfaction</a:t>
            </a:r>
            <a:r>
              <a:rPr lang="en-GB" baseline="0"/>
              <a:t> - Age</a:t>
            </a:r>
            <a:endParaRPr lang="en-GB"/>
          </a:p>
        </c:rich>
      </c:tx>
      <c:overlay val="0"/>
    </c:title>
    <c:autoTitleDeleted val="0"/>
    <c:plotArea>
      <c:layout/>
      <c:barChart>
        <c:barDir val="col"/>
        <c:grouping val="clustered"/>
        <c:varyColors val="1"/>
        <c:ser>
          <c:idx val="0"/>
          <c:order val="0"/>
          <c:spPr>
            <a:ln>
              <a:noFill/>
            </a:ln>
            <a:effectLst/>
          </c:spPr>
          <c:invertIfNegative val="0"/>
          <c:cat>
            <c:strRef>
              <c:f>'Demographic Analysis - Group B'!$N$32:$N$34</c:f>
              <c:strCache>
                <c:ptCount val="3"/>
                <c:pt idx="0">
                  <c:v>18 to 35 years</c:v>
                </c:pt>
                <c:pt idx="1">
                  <c:v>36 to 55 years</c:v>
                </c:pt>
                <c:pt idx="2">
                  <c:v>56 to 75 years</c:v>
                </c:pt>
              </c:strCache>
            </c:strRef>
          </c:cat>
          <c:val>
            <c:numRef>
              <c:f>'Demographic Analysis - Group B'!$Q$32:$Q$34</c:f>
              <c:numCache>
                <c:formatCode>0.00</c:formatCode>
                <c:ptCount val="3"/>
                <c:pt idx="0">
                  <c:v>3.4090909090909092</c:v>
                </c:pt>
                <c:pt idx="1">
                  <c:v>3.0303030303030303</c:v>
                </c:pt>
                <c:pt idx="2">
                  <c:v>2.7396694214876032</c:v>
                </c:pt>
              </c:numCache>
            </c:numRef>
          </c:val>
        </c:ser>
        <c:dLbls>
          <c:showLegendKey val="0"/>
          <c:showVal val="0"/>
          <c:showCatName val="0"/>
          <c:showSerName val="0"/>
          <c:showPercent val="0"/>
          <c:showBubbleSize val="0"/>
        </c:dLbls>
        <c:gapWidth val="150"/>
        <c:axId val="143786368"/>
        <c:axId val="143787904"/>
      </c:barChart>
      <c:catAx>
        <c:axId val="143786368"/>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3787904"/>
        <c:crossesAt val="0"/>
        <c:auto val="1"/>
        <c:lblAlgn val="ctr"/>
        <c:lblOffset val="100"/>
        <c:noMultiLvlLbl val="0"/>
      </c:catAx>
      <c:valAx>
        <c:axId val="143787904"/>
        <c:scaling>
          <c:orientation val="minMax"/>
          <c:max val="5"/>
          <c:min val="0"/>
        </c:scaling>
        <c:delete val="0"/>
        <c:axPos val="l"/>
        <c:majorGridlines/>
        <c:title>
          <c:tx>
            <c:rich>
              <a:bodyPr rot="-5400000" vert="horz"/>
              <a:lstStyle/>
              <a:p>
                <a:pPr>
                  <a:defRPr/>
                </a:pPr>
                <a:r>
                  <a:rPr lang="en-GB" b="0" i="0" baseline="0"/>
                  <a:t>Satisfaction Rating</a:t>
                </a:r>
              </a:p>
            </c:rich>
          </c:tx>
          <c:overlay val="0"/>
        </c:title>
        <c:numFmt formatCode="0.0" sourceLinked="0"/>
        <c:majorTickMark val="out"/>
        <c:minorTickMark val="none"/>
        <c:tickLblPos val="nextTo"/>
        <c:spPr>
          <a:ln w="44450">
            <a:solidFill>
              <a:schemeClr val="tx1"/>
            </a:solidFill>
          </a:ln>
        </c:spPr>
        <c:crossAx val="143786368"/>
        <c:crossesAt val="1"/>
        <c:crossBetween val="between"/>
        <c:majorUnit val="1"/>
      </c:valAx>
      <c:spPr>
        <a:ln w="0">
          <a:noFill/>
        </a:ln>
      </c:spPr>
    </c:plotArea>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Satisfaction</a:t>
            </a:r>
            <a:r>
              <a:rPr lang="en-GB" baseline="0"/>
              <a:t> - Education Level</a:t>
            </a:r>
            <a:endParaRPr lang="en-GB"/>
          </a:p>
        </c:rich>
      </c:tx>
      <c:overlay val="0"/>
    </c:title>
    <c:autoTitleDeleted val="0"/>
    <c:plotArea>
      <c:layout/>
      <c:barChart>
        <c:barDir val="col"/>
        <c:grouping val="clustered"/>
        <c:varyColors val="1"/>
        <c:ser>
          <c:idx val="0"/>
          <c:order val="0"/>
          <c:spPr>
            <a:ln>
              <a:noFill/>
            </a:ln>
            <a:effectLst/>
          </c:spPr>
          <c:invertIfNegative val="0"/>
          <c:cat>
            <c:strRef>
              <c:f>'Demographic Analysis - Group B'!$N$36:$N$37</c:f>
              <c:strCache>
                <c:ptCount val="2"/>
                <c:pt idx="0">
                  <c:v>Below degree level education</c:v>
                </c:pt>
                <c:pt idx="1">
                  <c:v>Degree level education or above</c:v>
                </c:pt>
              </c:strCache>
            </c:strRef>
          </c:cat>
          <c:val>
            <c:numRef>
              <c:f>'Demographic Analysis - Group B'!$Q$36:$Q$37</c:f>
              <c:numCache>
                <c:formatCode>0.00</c:formatCode>
                <c:ptCount val="2"/>
                <c:pt idx="0">
                  <c:v>2.7973484848484849</c:v>
                </c:pt>
                <c:pt idx="1">
                  <c:v>3.2045454545454541</c:v>
                </c:pt>
              </c:numCache>
            </c:numRef>
          </c:val>
        </c:ser>
        <c:dLbls>
          <c:showLegendKey val="0"/>
          <c:showVal val="0"/>
          <c:showCatName val="0"/>
          <c:showSerName val="0"/>
          <c:showPercent val="0"/>
          <c:showBubbleSize val="0"/>
        </c:dLbls>
        <c:gapWidth val="150"/>
        <c:axId val="143812480"/>
        <c:axId val="143814016"/>
      </c:barChart>
      <c:catAx>
        <c:axId val="143812480"/>
        <c:scaling>
          <c:orientation val="minMax"/>
        </c:scaling>
        <c:delete val="0"/>
        <c:axPos val="b"/>
        <c:majorTickMark val="out"/>
        <c:minorTickMark val="none"/>
        <c:tickLblPos val="nextTo"/>
        <c:spPr>
          <a:ln w="44450">
            <a:solidFill>
              <a:sysClr val="windowText" lastClr="000000"/>
            </a:solidFill>
          </a:ln>
        </c:spPr>
        <c:txPr>
          <a:bodyPr rot="0"/>
          <a:lstStyle/>
          <a:p>
            <a:pPr>
              <a:defRPr/>
            </a:pPr>
            <a:endParaRPr lang="en-US"/>
          </a:p>
        </c:txPr>
        <c:crossAx val="143814016"/>
        <c:crossesAt val="0"/>
        <c:auto val="1"/>
        <c:lblAlgn val="ctr"/>
        <c:lblOffset val="100"/>
        <c:noMultiLvlLbl val="0"/>
      </c:catAx>
      <c:valAx>
        <c:axId val="143814016"/>
        <c:scaling>
          <c:orientation val="minMax"/>
          <c:max val="5"/>
          <c:min val="0"/>
        </c:scaling>
        <c:delete val="0"/>
        <c:axPos val="l"/>
        <c:majorGridlines/>
        <c:title>
          <c:tx>
            <c:rich>
              <a:bodyPr rot="-5400000" vert="horz"/>
              <a:lstStyle/>
              <a:p>
                <a:pPr>
                  <a:defRPr/>
                </a:pPr>
                <a:r>
                  <a:rPr lang="en-GB" b="0" i="0" baseline="0"/>
                  <a:t>Satisfaction Rating</a:t>
                </a:r>
              </a:p>
            </c:rich>
          </c:tx>
          <c:overlay val="0"/>
        </c:title>
        <c:numFmt formatCode="0.0" sourceLinked="0"/>
        <c:majorTickMark val="out"/>
        <c:minorTickMark val="none"/>
        <c:tickLblPos val="nextTo"/>
        <c:spPr>
          <a:ln w="44450">
            <a:solidFill>
              <a:schemeClr val="tx1"/>
            </a:solidFill>
          </a:ln>
        </c:spPr>
        <c:crossAx val="143812480"/>
        <c:crossesAt val="1"/>
        <c:crossBetween val="between"/>
        <c:majorUnit val="1"/>
      </c:valAx>
      <c:spPr>
        <a:ln w="0">
          <a:noFill/>
        </a:ln>
      </c:spPr>
    </c:plotArea>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Satisfaction</a:t>
            </a:r>
            <a:r>
              <a:rPr lang="en-GB" baseline="0"/>
              <a:t> - Accessibility Needs</a:t>
            </a:r>
            <a:endParaRPr lang="en-GB"/>
          </a:p>
        </c:rich>
      </c:tx>
      <c:overlay val="0"/>
    </c:title>
    <c:autoTitleDeleted val="0"/>
    <c:plotArea>
      <c:layout/>
      <c:barChart>
        <c:barDir val="col"/>
        <c:grouping val="clustered"/>
        <c:varyColors val="1"/>
        <c:ser>
          <c:idx val="0"/>
          <c:order val="0"/>
          <c:spPr>
            <a:ln>
              <a:noFill/>
            </a:ln>
            <a:effectLst/>
          </c:spPr>
          <c:invertIfNegative val="0"/>
          <c:cat>
            <c:strRef>
              <c:f>'Demographic Analysis - Group B'!$N$28:$N$29</c:f>
              <c:strCache>
                <c:ptCount val="2"/>
                <c:pt idx="0">
                  <c:v>Dexterity or visual impairment</c:v>
                </c:pt>
                <c:pt idx="1">
                  <c:v>No impairment</c:v>
                </c:pt>
              </c:strCache>
            </c:strRef>
          </c:cat>
          <c:val>
            <c:numRef>
              <c:f>'Demographic Analysis - Group B'!$Q$28:$Q$29</c:f>
              <c:numCache>
                <c:formatCode>0.00</c:formatCode>
                <c:ptCount val="2"/>
                <c:pt idx="0">
                  <c:v>2.9144570707070709</c:v>
                </c:pt>
                <c:pt idx="1">
                  <c:v>2.8402146464646467</c:v>
                </c:pt>
              </c:numCache>
            </c:numRef>
          </c:val>
        </c:ser>
        <c:dLbls>
          <c:showLegendKey val="0"/>
          <c:showVal val="0"/>
          <c:showCatName val="0"/>
          <c:showSerName val="0"/>
          <c:showPercent val="0"/>
          <c:showBubbleSize val="0"/>
        </c:dLbls>
        <c:gapWidth val="150"/>
        <c:axId val="143834496"/>
        <c:axId val="143848576"/>
      </c:barChart>
      <c:catAx>
        <c:axId val="143834496"/>
        <c:scaling>
          <c:orientation val="minMax"/>
        </c:scaling>
        <c:delete val="0"/>
        <c:axPos val="b"/>
        <c:majorTickMark val="out"/>
        <c:minorTickMark val="none"/>
        <c:tickLblPos val="nextTo"/>
        <c:spPr>
          <a:ln w="44450">
            <a:solidFill>
              <a:sysClr val="windowText" lastClr="000000"/>
            </a:solidFill>
          </a:ln>
        </c:spPr>
        <c:txPr>
          <a:bodyPr rot="0"/>
          <a:lstStyle/>
          <a:p>
            <a:pPr>
              <a:defRPr/>
            </a:pPr>
            <a:endParaRPr lang="en-US"/>
          </a:p>
        </c:txPr>
        <c:crossAx val="143848576"/>
        <c:crossesAt val="0"/>
        <c:auto val="1"/>
        <c:lblAlgn val="ctr"/>
        <c:lblOffset val="100"/>
        <c:noMultiLvlLbl val="0"/>
      </c:catAx>
      <c:valAx>
        <c:axId val="143848576"/>
        <c:scaling>
          <c:orientation val="minMax"/>
          <c:max val="5"/>
          <c:min val="0"/>
        </c:scaling>
        <c:delete val="0"/>
        <c:axPos val="l"/>
        <c:majorGridlines/>
        <c:title>
          <c:tx>
            <c:rich>
              <a:bodyPr rot="-5400000" vert="horz"/>
              <a:lstStyle/>
              <a:p>
                <a:pPr>
                  <a:defRPr/>
                </a:pPr>
                <a:r>
                  <a:rPr lang="en-GB" b="0" i="0" baseline="0"/>
                  <a:t>Satisfaction Rating</a:t>
                </a:r>
              </a:p>
            </c:rich>
          </c:tx>
          <c:overlay val="0"/>
        </c:title>
        <c:numFmt formatCode="0.0" sourceLinked="0"/>
        <c:majorTickMark val="out"/>
        <c:minorTickMark val="none"/>
        <c:tickLblPos val="nextTo"/>
        <c:spPr>
          <a:ln w="44450">
            <a:solidFill>
              <a:schemeClr val="tx1"/>
            </a:solidFill>
          </a:ln>
        </c:spPr>
        <c:crossAx val="143834496"/>
        <c:crossesAt val="1"/>
        <c:crossBetween val="between"/>
        <c:majorUnit val="1"/>
      </c:valAx>
      <c:spPr>
        <a:ln w="0">
          <a:noFill/>
        </a:ln>
      </c:spPr>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System</a:t>
            </a:r>
            <a:r>
              <a:rPr lang="en-GB" baseline="0"/>
              <a:t> Usability Score (</a:t>
            </a:r>
            <a:r>
              <a:rPr lang="en-GB"/>
              <a:t>SUS) - Smart phone</a:t>
            </a:r>
            <a:r>
              <a:rPr lang="en-GB" baseline="0"/>
              <a:t> usage</a:t>
            </a:r>
            <a:endParaRPr lang="en-GB"/>
          </a:p>
        </c:rich>
      </c:tx>
      <c:overlay val="0"/>
    </c:title>
    <c:autoTitleDeleted val="0"/>
    <c:plotArea>
      <c:layout/>
      <c:barChart>
        <c:barDir val="col"/>
        <c:grouping val="clustered"/>
        <c:varyColors val="1"/>
        <c:ser>
          <c:idx val="0"/>
          <c:order val="0"/>
          <c:spPr>
            <a:ln>
              <a:noFill/>
            </a:ln>
            <a:effectLst/>
          </c:spPr>
          <c:invertIfNegative val="0"/>
          <c:cat>
            <c:strRef>
              <c:f>'Demographic Analysis - Group B'!$N$4:$N$5</c:f>
              <c:strCache>
                <c:ptCount val="2"/>
                <c:pt idx="0">
                  <c:v>Non-smart</c:v>
                </c:pt>
                <c:pt idx="1">
                  <c:v>Smart</c:v>
                </c:pt>
              </c:strCache>
            </c:strRef>
          </c:cat>
          <c:val>
            <c:numRef>
              <c:f>'Demographic Analysis - Group B'!$R$4:$R$5</c:f>
              <c:numCache>
                <c:formatCode>0.00</c:formatCode>
                <c:ptCount val="2"/>
                <c:pt idx="0">
                  <c:v>38.571428571428569</c:v>
                </c:pt>
                <c:pt idx="1">
                  <c:v>48.01136363636364</c:v>
                </c:pt>
              </c:numCache>
            </c:numRef>
          </c:val>
        </c:ser>
        <c:dLbls>
          <c:showLegendKey val="0"/>
          <c:showVal val="0"/>
          <c:showCatName val="0"/>
          <c:showSerName val="0"/>
          <c:showPercent val="0"/>
          <c:showBubbleSize val="0"/>
        </c:dLbls>
        <c:gapWidth val="150"/>
        <c:axId val="143885440"/>
        <c:axId val="143886976"/>
      </c:barChart>
      <c:catAx>
        <c:axId val="143885440"/>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3886976"/>
        <c:crossesAt val="0"/>
        <c:auto val="1"/>
        <c:lblAlgn val="ctr"/>
        <c:lblOffset val="100"/>
        <c:noMultiLvlLbl val="0"/>
      </c:catAx>
      <c:valAx>
        <c:axId val="143886976"/>
        <c:scaling>
          <c:orientation val="minMax"/>
          <c:max val="100"/>
          <c:min val="0"/>
        </c:scaling>
        <c:delete val="0"/>
        <c:axPos val="l"/>
        <c:majorGridlines/>
        <c:title>
          <c:tx>
            <c:rich>
              <a:bodyPr rot="-5400000" vert="horz"/>
              <a:lstStyle/>
              <a:p>
                <a:pPr>
                  <a:defRPr/>
                </a:pPr>
                <a:r>
                  <a:rPr lang="en-GB" b="0" i="0" baseline="0"/>
                  <a:t>System Usability Score</a:t>
                </a:r>
              </a:p>
            </c:rich>
          </c:tx>
          <c:overlay val="0"/>
        </c:title>
        <c:numFmt formatCode="0.0" sourceLinked="0"/>
        <c:majorTickMark val="out"/>
        <c:minorTickMark val="none"/>
        <c:tickLblPos val="nextTo"/>
        <c:spPr>
          <a:ln w="44450">
            <a:solidFill>
              <a:schemeClr val="tx1"/>
            </a:solidFill>
          </a:ln>
        </c:spPr>
        <c:crossAx val="143885440"/>
        <c:crossesAt val="1"/>
        <c:crossBetween val="between"/>
        <c:majorUnit val="20"/>
      </c:valAx>
      <c:spPr>
        <a:ln w="0">
          <a:noFill/>
        </a:ln>
      </c:spPr>
    </c:plotArea>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System</a:t>
            </a:r>
            <a:r>
              <a:rPr lang="en-GB" baseline="0"/>
              <a:t> Usability Score (</a:t>
            </a:r>
            <a:r>
              <a:rPr lang="en-GB"/>
              <a:t>SUS) - Age</a:t>
            </a:r>
          </a:p>
        </c:rich>
      </c:tx>
      <c:layout>
        <c:manualLayout>
          <c:xMode val="edge"/>
          <c:yMode val="edge"/>
          <c:x val="0.15633928024723395"/>
          <c:y val="2.5078369905956112E-2"/>
        </c:manualLayout>
      </c:layout>
      <c:overlay val="0"/>
    </c:title>
    <c:autoTitleDeleted val="0"/>
    <c:plotArea>
      <c:layout/>
      <c:barChart>
        <c:barDir val="col"/>
        <c:grouping val="clustered"/>
        <c:varyColors val="1"/>
        <c:ser>
          <c:idx val="0"/>
          <c:order val="0"/>
          <c:spPr>
            <a:ln>
              <a:noFill/>
            </a:ln>
            <a:effectLst/>
          </c:spPr>
          <c:invertIfNegative val="0"/>
          <c:cat>
            <c:strRef>
              <c:f>'Demographic Analysis - Group B'!$N$32:$N$34</c:f>
              <c:strCache>
                <c:ptCount val="3"/>
                <c:pt idx="0">
                  <c:v>18 to 35 years</c:v>
                </c:pt>
                <c:pt idx="1">
                  <c:v>36 to 55 years</c:v>
                </c:pt>
                <c:pt idx="2">
                  <c:v>56 to 75 years</c:v>
                </c:pt>
              </c:strCache>
            </c:strRef>
          </c:cat>
          <c:val>
            <c:numRef>
              <c:f>'Demographic Analysis - Group B'!$R$32:$R$34</c:f>
              <c:numCache>
                <c:formatCode>0.00</c:formatCode>
                <c:ptCount val="3"/>
                <c:pt idx="0">
                  <c:v>54.333333333333336</c:v>
                </c:pt>
                <c:pt idx="1">
                  <c:v>49.083333333333336</c:v>
                </c:pt>
                <c:pt idx="2">
                  <c:v>41.893939393939391</c:v>
                </c:pt>
              </c:numCache>
            </c:numRef>
          </c:val>
        </c:ser>
        <c:dLbls>
          <c:showLegendKey val="0"/>
          <c:showVal val="0"/>
          <c:showCatName val="0"/>
          <c:showSerName val="0"/>
          <c:showPercent val="0"/>
          <c:showBubbleSize val="0"/>
        </c:dLbls>
        <c:gapWidth val="150"/>
        <c:axId val="143903360"/>
        <c:axId val="143991168"/>
      </c:barChart>
      <c:catAx>
        <c:axId val="143903360"/>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3991168"/>
        <c:crossesAt val="0"/>
        <c:auto val="1"/>
        <c:lblAlgn val="ctr"/>
        <c:lblOffset val="100"/>
        <c:noMultiLvlLbl val="0"/>
      </c:catAx>
      <c:valAx>
        <c:axId val="143991168"/>
        <c:scaling>
          <c:orientation val="minMax"/>
          <c:max val="100"/>
          <c:min val="0"/>
        </c:scaling>
        <c:delete val="0"/>
        <c:axPos val="l"/>
        <c:majorGridlines/>
        <c:title>
          <c:tx>
            <c:rich>
              <a:bodyPr rot="-5400000" vert="horz"/>
              <a:lstStyle/>
              <a:p>
                <a:pPr>
                  <a:defRPr/>
                </a:pPr>
                <a:r>
                  <a:rPr lang="en-GB" b="0" i="0" baseline="0"/>
                  <a:t>System Usability Score</a:t>
                </a:r>
              </a:p>
            </c:rich>
          </c:tx>
          <c:overlay val="0"/>
        </c:title>
        <c:numFmt formatCode="0.0" sourceLinked="0"/>
        <c:majorTickMark val="out"/>
        <c:minorTickMark val="none"/>
        <c:tickLblPos val="nextTo"/>
        <c:spPr>
          <a:ln w="44450">
            <a:solidFill>
              <a:schemeClr val="tx1"/>
            </a:solidFill>
          </a:ln>
        </c:spPr>
        <c:crossAx val="143903360"/>
        <c:crossesAt val="1"/>
        <c:crossBetween val="between"/>
        <c:majorUnit val="20"/>
      </c:valAx>
      <c:spPr>
        <a:ln w="0">
          <a:noFill/>
        </a:ln>
      </c:spPr>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System</a:t>
            </a:r>
            <a:r>
              <a:rPr lang="en-GB" baseline="0"/>
              <a:t> Usability Score (</a:t>
            </a:r>
            <a:r>
              <a:rPr lang="en-GB"/>
              <a:t>SUS) - Education</a:t>
            </a:r>
            <a:r>
              <a:rPr lang="en-GB" baseline="0"/>
              <a:t> Level</a:t>
            </a:r>
            <a:endParaRPr lang="en-GB"/>
          </a:p>
        </c:rich>
      </c:tx>
      <c:layout>
        <c:manualLayout>
          <c:xMode val="edge"/>
          <c:yMode val="edge"/>
          <c:x val="0.15633928024723406"/>
          <c:y val="2.5078369905956112E-2"/>
        </c:manualLayout>
      </c:layout>
      <c:overlay val="0"/>
    </c:title>
    <c:autoTitleDeleted val="0"/>
    <c:plotArea>
      <c:layout/>
      <c:barChart>
        <c:barDir val="col"/>
        <c:grouping val="clustered"/>
        <c:varyColors val="1"/>
        <c:ser>
          <c:idx val="0"/>
          <c:order val="0"/>
          <c:spPr>
            <a:ln>
              <a:noFill/>
            </a:ln>
            <a:effectLst/>
          </c:spPr>
          <c:invertIfNegative val="0"/>
          <c:cat>
            <c:strRef>
              <c:f>'Demographic Analysis - Group B'!$N$36:$N$37</c:f>
              <c:strCache>
                <c:ptCount val="2"/>
                <c:pt idx="0">
                  <c:v>Below degree level education</c:v>
                </c:pt>
                <c:pt idx="1">
                  <c:v>Degree level education or above</c:v>
                </c:pt>
              </c:strCache>
            </c:strRef>
          </c:cat>
          <c:val>
            <c:numRef>
              <c:f>'Demographic Analysis - Group B'!$R$36:$R$37</c:f>
              <c:numCache>
                <c:formatCode>0.00</c:formatCode>
                <c:ptCount val="2"/>
                <c:pt idx="0">
                  <c:v>42.96875</c:v>
                </c:pt>
                <c:pt idx="1">
                  <c:v>50.833333333333336</c:v>
                </c:pt>
              </c:numCache>
            </c:numRef>
          </c:val>
        </c:ser>
        <c:dLbls>
          <c:showLegendKey val="0"/>
          <c:showVal val="0"/>
          <c:showCatName val="0"/>
          <c:showSerName val="0"/>
          <c:showPercent val="0"/>
          <c:showBubbleSize val="0"/>
        </c:dLbls>
        <c:gapWidth val="150"/>
        <c:axId val="144015744"/>
        <c:axId val="144017280"/>
      </c:barChart>
      <c:catAx>
        <c:axId val="144015744"/>
        <c:scaling>
          <c:orientation val="minMax"/>
        </c:scaling>
        <c:delete val="0"/>
        <c:axPos val="b"/>
        <c:majorTickMark val="out"/>
        <c:minorTickMark val="none"/>
        <c:tickLblPos val="nextTo"/>
        <c:spPr>
          <a:ln w="44450">
            <a:solidFill>
              <a:sysClr val="windowText" lastClr="000000"/>
            </a:solidFill>
          </a:ln>
        </c:spPr>
        <c:txPr>
          <a:bodyPr rot="0"/>
          <a:lstStyle/>
          <a:p>
            <a:pPr>
              <a:defRPr/>
            </a:pPr>
            <a:endParaRPr lang="en-US"/>
          </a:p>
        </c:txPr>
        <c:crossAx val="144017280"/>
        <c:crossesAt val="0"/>
        <c:auto val="1"/>
        <c:lblAlgn val="ctr"/>
        <c:lblOffset val="100"/>
        <c:noMultiLvlLbl val="0"/>
      </c:catAx>
      <c:valAx>
        <c:axId val="144017280"/>
        <c:scaling>
          <c:orientation val="minMax"/>
          <c:max val="100"/>
          <c:min val="0"/>
        </c:scaling>
        <c:delete val="0"/>
        <c:axPos val="l"/>
        <c:majorGridlines/>
        <c:title>
          <c:tx>
            <c:rich>
              <a:bodyPr rot="-5400000" vert="horz"/>
              <a:lstStyle/>
              <a:p>
                <a:pPr>
                  <a:defRPr/>
                </a:pPr>
                <a:r>
                  <a:rPr lang="en-GB" b="0" i="0" baseline="0"/>
                  <a:t>System Usability Score</a:t>
                </a:r>
              </a:p>
            </c:rich>
          </c:tx>
          <c:overlay val="0"/>
        </c:title>
        <c:numFmt formatCode="0.0" sourceLinked="0"/>
        <c:majorTickMark val="out"/>
        <c:minorTickMark val="none"/>
        <c:tickLblPos val="nextTo"/>
        <c:spPr>
          <a:ln w="44450">
            <a:solidFill>
              <a:schemeClr val="tx1"/>
            </a:solidFill>
          </a:ln>
        </c:spPr>
        <c:crossAx val="144015744"/>
        <c:crossesAt val="1"/>
        <c:crossBetween val="between"/>
        <c:majorUnit val="20"/>
      </c:valAx>
      <c:spPr>
        <a:ln w="0">
          <a:noFill/>
        </a:ln>
      </c:spPr>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System</a:t>
            </a:r>
            <a:r>
              <a:rPr lang="en-GB" baseline="0"/>
              <a:t> Usability Score (</a:t>
            </a:r>
            <a:r>
              <a:rPr lang="en-GB"/>
              <a:t>SUS) - Accessibility Needs</a:t>
            </a:r>
          </a:p>
        </c:rich>
      </c:tx>
      <c:layout>
        <c:manualLayout>
          <c:xMode val="edge"/>
          <c:yMode val="edge"/>
          <c:x val="0.1563392802472342"/>
          <c:y val="2.5078369905956112E-2"/>
        </c:manualLayout>
      </c:layout>
      <c:overlay val="0"/>
    </c:title>
    <c:autoTitleDeleted val="0"/>
    <c:plotArea>
      <c:layout/>
      <c:barChart>
        <c:barDir val="col"/>
        <c:grouping val="clustered"/>
        <c:varyColors val="1"/>
        <c:ser>
          <c:idx val="0"/>
          <c:order val="0"/>
          <c:spPr>
            <a:ln>
              <a:noFill/>
            </a:ln>
            <a:effectLst/>
          </c:spPr>
          <c:invertIfNegative val="0"/>
          <c:cat>
            <c:strRef>
              <c:f>'Demographic Analysis - Group B'!$N$28:$N$29</c:f>
              <c:strCache>
                <c:ptCount val="2"/>
                <c:pt idx="0">
                  <c:v>Dexterity or visual impairment</c:v>
                </c:pt>
                <c:pt idx="1">
                  <c:v>No impairment</c:v>
                </c:pt>
              </c:strCache>
            </c:strRef>
          </c:cat>
          <c:val>
            <c:numRef>
              <c:f>'Demographic Analysis - Group B'!$R$28:$R$29</c:f>
              <c:numCache>
                <c:formatCode>0.00</c:formatCode>
                <c:ptCount val="2"/>
                <c:pt idx="0">
                  <c:v>43.194444444444443</c:v>
                </c:pt>
                <c:pt idx="1">
                  <c:v>46.5</c:v>
                </c:pt>
              </c:numCache>
            </c:numRef>
          </c:val>
        </c:ser>
        <c:dLbls>
          <c:showLegendKey val="0"/>
          <c:showVal val="0"/>
          <c:showCatName val="0"/>
          <c:showSerName val="0"/>
          <c:showPercent val="0"/>
          <c:showBubbleSize val="0"/>
        </c:dLbls>
        <c:gapWidth val="150"/>
        <c:axId val="144045952"/>
        <c:axId val="144047488"/>
      </c:barChart>
      <c:catAx>
        <c:axId val="144045952"/>
        <c:scaling>
          <c:orientation val="minMax"/>
        </c:scaling>
        <c:delete val="0"/>
        <c:axPos val="b"/>
        <c:majorTickMark val="out"/>
        <c:minorTickMark val="none"/>
        <c:tickLblPos val="nextTo"/>
        <c:spPr>
          <a:ln w="44450">
            <a:solidFill>
              <a:sysClr val="windowText" lastClr="000000"/>
            </a:solidFill>
          </a:ln>
        </c:spPr>
        <c:txPr>
          <a:bodyPr rot="0"/>
          <a:lstStyle/>
          <a:p>
            <a:pPr>
              <a:defRPr/>
            </a:pPr>
            <a:endParaRPr lang="en-US"/>
          </a:p>
        </c:txPr>
        <c:crossAx val="144047488"/>
        <c:crossesAt val="0"/>
        <c:auto val="1"/>
        <c:lblAlgn val="ctr"/>
        <c:lblOffset val="100"/>
        <c:noMultiLvlLbl val="0"/>
      </c:catAx>
      <c:valAx>
        <c:axId val="144047488"/>
        <c:scaling>
          <c:orientation val="minMax"/>
          <c:max val="100"/>
          <c:min val="0"/>
        </c:scaling>
        <c:delete val="0"/>
        <c:axPos val="l"/>
        <c:majorGridlines/>
        <c:title>
          <c:tx>
            <c:rich>
              <a:bodyPr rot="-5400000" vert="horz"/>
              <a:lstStyle/>
              <a:p>
                <a:pPr>
                  <a:defRPr/>
                </a:pPr>
                <a:r>
                  <a:rPr lang="en-GB" b="0" i="0" baseline="0"/>
                  <a:t>System Usability Score</a:t>
                </a:r>
              </a:p>
            </c:rich>
          </c:tx>
          <c:overlay val="0"/>
        </c:title>
        <c:numFmt formatCode="0.0" sourceLinked="0"/>
        <c:majorTickMark val="out"/>
        <c:minorTickMark val="none"/>
        <c:tickLblPos val="nextTo"/>
        <c:spPr>
          <a:ln w="44450">
            <a:solidFill>
              <a:schemeClr val="tx1"/>
            </a:solidFill>
          </a:ln>
        </c:spPr>
        <c:crossAx val="144045952"/>
        <c:crossesAt val="1"/>
        <c:crossBetween val="between"/>
        <c:majorUnit val="20"/>
      </c:valAx>
      <c:spPr>
        <a:ln w="0">
          <a:noFill/>
        </a:ln>
      </c:spPr>
    </c:plotArea>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Group A: Task</a:t>
            </a:r>
            <a:r>
              <a:rPr lang="en-GB" baseline="0"/>
              <a:t> completion rate versus Time on task</a:t>
            </a:r>
            <a:endParaRPr lang="en-GB"/>
          </a:p>
        </c:rich>
      </c:tx>
      <c:overlay val="0"/>
    </c:title>
    <c:autoTitleDeleted val="0"/>
    <c:plotArea>
      <c:layout/>
      <c:scatterChart>
        <c:scatterStyle val="lineMarker"/>
        <c:varyColors val="0"/>
        <c:ser>
          <c:idx val="0"/>
          <c:order val="0"/>
          <c:tx>
            <c:v>System A</c:v>
          </c:tx>
          <c:spPr>
            <a:ln w="28575">
              <a:noFill/>
            </a:ln>
          </c:spPr>
          <c:xVal>
            <c:numRef>
              <c:f>('Averages - Group A'!$B$4,'Averages - Group A'!$D$4:$H$4)</c:f>
              <c:numCache>
                <c:formatCode>0.00</c:formatCode>
                <c:ptCount val="6"/>
                <c:pt idx="0">
                  <c:v>0.54861111111111116</c:v>
                </c:pt>
                <c:pt idx="1">
                  <c:v>0.35416666666666669</c:v>
                </c:pt>
                <c:pt idx="2">
                  <c:v>0.1388888888888889</c:v>
                </c:pt>
                <c:pt idx="3">
                  <c:v>0.28472222222222221</c:v>
                </c:pt>
                <c:pt idx="4">
                  <c:v>0.69444444444444442</c:v>
                </c:pt>
                <c:pt idx="5">
                  <c:v>0.2986111111111111</c:v>
                </c:pt>
              </c:numCache>
            </c:numRef>
          </c:xVal>
          <c:yVal>
            <c:numRef>
              <c:f>('Averages - Group A'!$B$10,'Averages - Group A'!$D$10:$H$10)</c:f>
              <c:numCache>
                <c:formatCode>0.00</c:formatCode>
                <c:ptCount val="6"/>
                <c:pt idx="0">
                  <c:v>150.48387096774192</c:v>
                </c:pt>
                <c:pt idx="1">
                  <c:v>126.14285714285714</c:v>
                </c:pt>
                <c:pt idx="2">
                  <c:v>82.75</c:v>
                </c:pt>
                <c:pt idx="3">
                  <c:v>77.090909090909093</c:v>
                </c:pt>
                <c:pt idx="4">
                  <c:v>60.36</c:v>
                </c:pt>
                <c:pt idx="5">
                  <c:v>43.46153846153846</c:v>
                </c:pt>
              </c:numCache>
            </c:numRef>
          </c:yVal>
          <c:smooth val="0"/>
        </c:ser>
        <c:ser>
          <c:idx val="1"/>
          <c:order val="1"/>
          <c:tx>
            <c:v>System F</c:v>
          </c:tx>
          <c:spPr>
            <a:ln w="28575">
              <a:noFill/>
            </a:ln>
          </c:spPr>
          <c:marker>
            <c:symbol val="x"/>
            <c:size val="7"/>
          </c:marker>
          <c:xVal>
            <c:numRef>
              <c:f>'Averages - Group A'!$B$5:$I$5</c:f>
              <c:numCache>
                <c:formatCode>0.00</c:formatCode>
                <c:ptCount val="8"/>
                <c:pt idx="0">
                  <c:v>0.1736111111111111</c:v>
                </c:pt>
                <c:pt idx="1">
                  <c:v>0.43888888888888888</c:v>
                </c:pt>
                <c:pt idx="2">
                  <c:v>0.34027777777777779</c:v>
                </c:pt>
                <c:pt idx="3">
                  <c:v>0.75694444444444442</c:v>
                </c:pt>
                <c:pt idx="4">
                  <c:v>0.3125</c:v>
                </c:pt>
                <c:pt idx="5">
                  <c:v>0.54861111111111116</c:v>
                </c:pt>
                <c:pt idx="6">
                  <c:v>0.30555555555555558</c:v>
                </c:pt>
                <c:pt idx="7">
                  <c:v>0.95833333333333337</c:v>
                </c:pt>
              </c:numCache>
            </c:numRef>
          </c:xVal>
          <c:yVal>
            <c:numRef>
              <c:f>'Averages - Group A'!$B$11:$I$11</c:f>
              <c:numCache>
                <c:formatCode>0.00</c:formatCode>
                <c:ptCount val="8"/>
                <c:pt idx="0">
                  <c:v>210.95454545454547</c:v>
                </c:pt>
                <c:pt idx="1">
                  <c:v>114.44444444444444</c:v>
                </c:pt>
                <c:pt idx="2">
                  <c:v>115.22727272727273</c:v>
                </c:pt>
                <c:pt idx="3">
                  <c:v>54</c:v>
                </c:pt>
                <c:pt idx="4">
                  <c:v>112.4</c:v>
                </c:pt>
                <c:pt idx="5">
                  <c:v>48.68181818181818</c:v>
                </c:pt>
                <c:pt idx="6">
                  <c:v>97.818181818181813</c:v>
                </c:pt>
                <c:pt idx="7">
                  <c:v>44.027777777777779</c:v>
                </c:pt>
              </c:numCache>
            </c:numRef>
          </c:yVal>
          <c:smooth val="0"/>
        </c:ser>
        <c:ser>
          <c:idx val="2"/>
          <c:order val="2"/>
          <c:tx>
            <c:v>System B</c:v>
          </c:tx>
          <c:spPr>
            <a:ln w="28575">
              <a:noFill/>
            </a:ln>
          </c:spPr>
          <c:xVal>
            <c:numRef>
              <c:f>'Averages - Group A'!$B$6:$I$6</c:f>
              <c:numCache>
                <c:formatCode>0.00</c:formatCode>
                <c:ptCount val="8"/>
                <c:pt idx="0">
                  <c:v>6.25E-2</c:v>
                </c:pt>
                <c:pt idx="1">
                  <c:v>8.3333333333333329E-2</c:v>
                </c:pt>
                <c:pt idx="2">
                  <c:v>0.16666666666666666</c:v>
                </c:pt>
                <c:pt idx="3">
                  <c:v>0.36805555555555558</c:v>
                </c:pt>
                <c:pt idx="4">
                  <c:v>0.16666666666666666</c:v>
                </c:pt>
                <c:pt idx="5">
                  <c:v>0.18055555555555555</c:v>
                </c:pt>
                <c:pt idx="6">
                  <c:v>0.29166666666666669</c:v>
                </c:pt>
                <c:pt idx="7">
                  <c:v>0.67361111111111116</c:v>
                </c:pt>
              </c:numCache>
            </c:numRef>
          </c:xVal>
          <c:yVal>
            <c:numRef>
              <c:f>'Averages - Group A'!$B$12:$I$12</c:f>
              <c:numCache>
                <c:formatCode>0.00</c:formatCode>
                <c:ptCount val="8"/>
                <c:pt idx="0">
                  <c:v>242.44444444444446</c:v>
                </c:pt>
                <c:pt idx="1">
                  <c:v>112.55555555555556</c:v>
                </c:pt>
                <c:pt idx="2">
                  <c:v>138.73333333333332</c:v>
                </c:pt>
                <c:pt idx="3">
                  <c:v>74.214285714285708</c:v>
                </c:pt>
                <c:pt idx="4">
                  <c:v>83.571428571428569</c:v>
                </c:pt>
                <c:pt idx="5">
                  <c:v>91.75</c:v>
                </c:pt>
                <c:pt idx="6">
                  <c:v>60.25</c:v>
                </c:pt>
                <c:pt idx="7">
                  <c:v>75.959999999999994</c:v>
                </c:pt>
              </c:numCache>
            </c:numRef>
          </c:yVal>
          <c:smooth val="0"/>
        </c:ser>
        <c:dLbls>
          <c:showLegendKey val="0"/>
          <c:showVal val="0"/>
          <c:showCatName val="0"/>
          <c:showSerName val="0"/>
          <c:showPercent val="0"/>
          <c:showBubbleSize val="0"/>
        </c:dLbls>
        <c:axId val="142737792"/>
        <c:axId val="142739712"/>
      </c:scatterChart>
      <c:valAx>
        <c:axId val="142737792"/>
        <c:scaling>
          <c:orientation val="minMax"/>
          <c:max val="1"/>
        </c:scaling>
        <c:delete val="0"/>
        <c:axPos val="b"/>
        <c:title>
          <c:tx>
            <c:rich>
              <a:bodyPr/>
              <a:lstStyle/>
              <a:p>
                <a:pPr>
                  <a:defRPr/>
                </a:pPr>
                <a:r>
                  <a:rPr lang="en-GB"/>
                  <a:t>Task Completion Rate</a:t>
                </a:r>
              </a:p>
            </c:rich>
          </c:tx>
          <c:overlay val="0"/>
        </c:title>
        <c:numFmt formatCode="0.00" sourceLinked="1"/>
        <c:majorTickMark val="out"/>
        <c:minorTickMark val="none"/>
        <c:tickLblPos val="nextTo"/>
        <c:crossAx val="142739712"/>
        <c:crosses val="autoZero"/>
        <c:crossBetween val="midCat"/>
      </c:valAx>
      <c:valAx>
        <c:axId val="142739712"/>
        <c:scaling>
          <c:orientation val="minMax"/>
        </c:scaling>
        <c:delete val="0"/>
        <c:axPos val="l"/>
        <c:majorGridlines/>
        <c:title>
          <c:tx>
            <c:rich>
              <a:bodyPr rot="-5400000" vert="horz"/>
              <a:lstStyle/>
              <a:p>
                <a:pPr>
                  <a:defRPr/>
                </a:pPr>
                <a:r>
                  <a:rPr lang="en-GB"/>
                  <a:t>Time on task (seconds)</a:t>
                </a:r>
              </a:p>
            </c:rich>
          </c:tx>
          <c:overlay val="0"/>
        </c:title>
        <c:numFmt formatCode="0.00" sourceLinked="1"/>
        <c:majorTickMark val="out"/>
        <c:minorTickMark val="none"/>
        <c:tickLblPos val="nextTo"/>
        <c:crossAx val="142737792"/>
        <c:crosses val="autoZero"/>
        <c:crossBetween val="midCat"/>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Group B: Task</a:t>
            </a:r>
            <a:r>
              <a:rPr lang="en-GB" baseline="0"/>
              <a:t> completion rate versus Time on task</a:t>
            </a:r>
            <a:endParaRPr lang="en-GB"/>
          </a:p>
        </c:rich>
      </c:tx>
      <c:overlay val="0"/>
    </c:title>
    <c:autoTitleDeleted val="0"/>
    <c:plotArea>
      <c:layout/>
      <c:scatterChart>
        <c:scatterStyle val="lineMarker"/>
        <c:varyColors val="0"/>
        <c:ser>
          <c:idx val="0"/>
          <c:order val="0"/>
          <c:tx>
            <c:v>System E</c:v>
          </c:tx>
          <c:spPr>
            <a:ln w="28575">
              <a:noFill/>
            </a:ln>
          </c:spPr>
          <c:xVal>
            <c:numRef>
              <c:f>'Averages - Group B'!$B$4:$I$4</c:f>
              <c:numCache>
                <c:formatCode>0.00</c:formatCode>
                <c:ptCount val="8"/>
                <c:pt idx="0">
                  <c:v>0.1736111111111111</c:v>
                </c:pt>
                <c:pt idx="1">
                  <c:v>0.16666666666666666</c:v>
                </c:pt>
                <c:pt idx="2">
                  <c:v>0.15972222222222221</c:v>
                </c:pt>
                <c:pt idx="3">
                  <c:v>0.46527777777777779</c:v>
                </c:pt>
                <c:pt idx="4">
                  <c:v>0.69444444444444442</c:v>
                </c:pt>
                <c:pt idx="5">
                  <c:v>0.75694444444444442</c:v>
                </c:pt>
                <c:pt idx="6">
                  <c:v>0.61111111111111116</c:v>
                </c:pt>
                <c:pt idx="7">
                  <c:v>0.77083333333333337</c:v>
                </c:pt>
              </c:numCache>
            </c:numRef>
          </c:xVal>
          <c:yVal>
            <c:numRef>
              <c:f>'Averages - Group B'!$B$10:$I$10</c:f>
              <c:numCache>
                <c:formatCode>0.00</c:formatCode>
                <c:ptCount val="8"/>
                <c:pt idx="0">
                  <c:v>246.32</c:v>
                </c:pt>
                <c:pt idx="1">
                  <c:v>157.45833333333334</c:v>
                </c:pt>
                <c:pt idx="2">
                  <c:v>124.34782608695652</c:v>
                </c:pt>
                <c:pt idx="3">
                  <c:v>115.94736842105263</c:v>
                </c:pt>
                <c:pt idx="4">
                  <c:v>96.357142857142861</c:v>
                </c:pt>
                <c:pt idx="5">
                  <c:v>61.264705882352942</c:v>
                </c:pt>
                <c:pt idx="6">
                  <c:v>57.64</c:v>
                </c:pt>
                <c:pt idx="7">
                  <c:v>54.757575757575758</c:v>
                </c:pt>
              </c:numCache>
            </c:numRef>
          </c:yVal>
          <c:smooth val="0"/>
        </c:ser>
        <c:ser>
          <c:idx val="1"/>
          <c:order val="1"/>
          <c:tx>
            <c:v>System D</c:v>
          </c:tx>
          <c:spPr>
            <a:ln w="28575">
              <a:noFill/>
            </a:ln>
          </c:spPr>
          <c:marker>
            <c:symbol val="x"/>
            <c:size val="7"/>
          </c:marker>
          <c:xVal>
            <c:numRef>
              <c:f>'Averages - Group B'!$B$5:$I$5</c:f>
              <c:numCache>
                <c:formatCode>0.00</c:formatCode>
                <c:ptCount val="8"/>
                <c:pt idx="0">
                  <c:v>0.40277777777777779</c:v>
                </c:pt>
                <c:pt idx="1">
                  <c:v>4.1666666666666664E-2</c:v>
                </c:pt>
                <c:pt idx="2">
                  <c:v>6.9444444444444448E-2</c:v>
                </c:pt>
                <c:pt idx="3">
                  <c:v>0.19444444444444445</c:v>
                </c:pt>
                <c:pt idx="4">
                  <c:v>0.3611111111111111</c:v>
                </c:pt>
                <c:pt idx="5">
                  <c:v>0.1388888888888889</c:v>
                </c:pt>
                <c:pt idx="6">
                  <c:v>0.16666666666666666</c:v>
                </c:pt>
                <c:pt idx="7">
                  <c:v>0.43055555555555558</c:v>
                </c:pt>
              </c:numCache>
            </c:numRef>
          </c:xVal>
          <c:yVal>
            <c:numRef>
              <c:f>'Averages - Group B'!$B$11:$I$11</c:f>
              <c:numCache>
                <c:formatCode>0.00</c:formatCode>
                <c:ptCount val="8"/>
                <c:pt idx="0">
                  <c:v>207.28571428571428</c:v>
                </c:pt>
                <c:pt idx="1">
                  <c:v>175.83333333333334</c:v>
                </c:pt>
                <c:pt idx="2">
                  <c:v>132.57142857142858</c:v>
                </c:pt>
                <c:pt idx="3">
                  <c:v>104</c:v>
                </c:pt>
                <c:pt idx="4">
                  <c:v>123.09090909090909</c:v>
                </c:pt>
                <c:pt idx="5">
                  <c:v>84.818181818181813</c:v>
                </c:pt>
                <c:pt idx="6">
                  <c:v>117.08333333333333</c:v>
                </c:pt>
                <c:pt idx="7">
                  <c:v>131.85</c:v>
                </c:pt>
              </c:numCache>
            </c:numRef>
          </c:yVal>
          <c:smooth val="0"/>
        </c:ser>
        <c:ser>
          <c:idx val="2"/>
          <c:order val="2"/>
          <c:tx>
            <c:v>System C</c:v>
          </c:tx>
          <c:spPr>
            <a:ln w="28575">
              <a:noFill/>
            </a:ln>
          </c:spPr>
          <c:xVal>
            <c:numRef>
              <c:f>'Averages - Group B'!$B$6:$I$6</c:f>
              <c:numCache>
                <c:formatCode>0.00</c:formatCode>
                <c:ptCount val="8"/>
                <c:pt idx="0">
                  <c:v>0.25694444444444442</c:v>
                </c:pt>
                <c:pt idx="1">
                  <c:v>0.47222222222222221</c:v>
                </c:pt>
                <c:pt idx="2">
                  <c:v>0.2638888888888889</c:v>
                </c:pt>
                <c:pt idx="3">
                  <c:v>0.45833333333333331</c:v>
                </c:pt>
                <c:pt idx="4">
                  <c:v>0.125</c:v>
                </c:pt>
                <c:pt idx="5">
                  <c:v>0.3125</c:v>
                </c:pt>
                <c:pt idx="6">
                  <c:v>0.27777777777777779</c:v>
                </c:pt>
                <c:pt idx="7">
                  <c:v>0.69444444444444442</c:v>
                </c:pt>
              </c:numCache>
            </c:numRef>
          </c:xVal>
          <c:yVal>
            <c:numRef>
              <c:f>'Averages - Group B'!$B$12:$I$12</c:f>
              <c:numCache>
                <c:formatCode>0.00</c:formatCode>
                <c:ptCount val="8"/>
                <c:pt idx="0">
                  <c:v>258.5625</c:v>
                </c:pt>
                <c:pt idx="1">
                  <c:v>114.43478260869566</c:v>
                </c:pt>
                <c:pt idx="2">
                  <c:v>162.85</c:v>
                </c:pt>
                <c:pt idx="3">
                  <c:v>89.333333333333329</c:v>
                </c:pt>
                <c:pt idx="4">
                  <c:v>95.333333333333329</c:v>
                </c:pt>
                <c:pt idx="5">
                  <c:v>115.2</c:v>
                </c:pt>
                <c:pt idx="6">
                  <c:v>87.94736842105263</c:v>
                </c:pt>
                <c:pt idx="7">
                  <c:v>94.821428571428569</c:v>
                </c:pt>
              </c:numCache>
            </c:numRef>
          </c:yVal>
          <c:smooth val="0"/>
        </c:ser>
        <c:dLbls>
          <c:showLegendKey val="0"/>
          <c:showVal val="0"/>
          <c:showCatName val="0"/>
          <c:showSerName val="0"/>
          <c:showPercent val="0"/>
          <c:showBubbleSize val="0"/>
        </c:dLbls>
        <c:axId val="141770112"/>
        <c:axId val="141813248"/>
      </c:scatterChart>
      <c:valAx>
        <c:axId val="141770112"/>
        <c:scaling>
          <c:orientation val="minMax"/>
        </c:scaling>
        <c:delete val="0"/>
        <c:axPos val="b"/>
        <c:title>
          <c:tx>
            <c:rich>
              <a:bodyPr/>
              <a:lstStyle/>
              <a:p>
                <a:pPr>
                  <a:defRPr/>
                </a:pPr>
                <a:r>
                  <a:rPr lang="en-GB"/>
                  <a:t>Task Completion Rate</a:t>
                </a:r>
              </a:p>
            </c:rich>
          </c:tx>
          <c:overlay val="0"/>
        </c:title>
        <c:numFmt formatCode="0.00" sourceLinked="1"/>
        <c:majorTickMark val="out"/>
        <c:minorTickMark val="none"/>
        <c:tickLblPos val="nextTo"/>
        <c:crossAx val="141813248"/>
        <c:crosses val="autoZero"/>
        <c:crossBetween val="midCat"/>
      </c:valAx>
      <c:valAx>
        <c:axId val="141813248"/>
        <c:scaling>
          <c:orientation val="minMax"/>
        </c:scaling>
        <c:delete val="0"/>
        <c:axPos val="l"/>
        <c:majorGridlines/>
        <c:title>
          <c:tx>
            <c:rich>
              <a:bodyPr rot="-5400000" vert="horz"/>
              <a:lstStyle/>
              <a:p>
                <a:pPr>
                  <a:defRPr/>
                </a:pPr>
                <a:r>
                  <a:rPr lang="en-GB"/>
                  <a:t>Time on task (seconds)</a:t>
                </a:r>
              </a:p>
            </c:rich>
          </c:tx>
          <c:overlay val="0"/>
        </c:title>
        <c:numFmt formatCode="0.00" sourceLinked="1"/>
        <c:majorTickMark val="out"/>
        <c:minorTickMark val="none"/>
        <c:tickLblPos val="nextTo"/>
        <c:crossAx val="141770112"/>
        <c:crosses val="autoZero"/>
        <c:crossBetween val="midCat"/>
      </c:valAx>
    </c:plotArea>
    <c:legend>
      <c:legendPos val="r"/>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1a Effectiveness</a:t>
            </a:r>
          </a:p>
        </c:rich>
      </c:tx>
      <c:overlay val="0"/>
    </c:title>
    <c:autoTitleDeleted val="0"/>
    <c:plotArea>
      <c:layout/>
      <c:barChart>
        <c:barDir val="col"/>
        <c:grouping val="clustered"/>
        <c:varyColors val="1"/>
        <c:ser>
          <c:idx val="0"/>
          <c:order val="0"/>
          <c:spPr>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groups'!$B$4:$B$9</c:f>
              <c:numCache>
                <c:formatCode>0.00</c:formatCode>
                <c:ptCount val="6"/>
                <c:pt idx="0">
                  <c:v>0.54861111111111116</c:v>
                </c:pt>
                <c:pt idx="1">
                  <c:v>6.25E-2</c:v>
                </c:pt>
                <c:pt idx="2">
                  <c:v>0.25694444444444442</c:v>
                </c:pt>
                <c:pt idx="3">
                  <c:v>0.40277777777777779</c:v>
                </c:pt>
                <c:pt idx="4">
                  <c:v>0.1736111111111111</c:v>
                </c:pt>
                <c:pt idx="5">
                  <c:v>0.1736111111111111</c:v>
                </c:pt>
              </c:numCache>
            </c:numRef>
          </c:val>
        </c:ser>
        <c:dLbls>
          <c:showLegendKey val="0"/>
          <c:showVal val="0"/>
          <c:showCatName val="0"/>
          <c:showSerName val="0"/>
          <c:showPercent val="0"/>
          <c:showBubbleSize val="0"/>
        </c:dLbls>
        <c:gapWidth val="150"/>
        <c:axId val="145209216"/>
        <c:axId val="145210752"/>
      </c:barChart>
      <c:scatterChart>
        <c:scatterStyle val="lineMarker"/>
        <c:varyColors val="1"/>
        <c:ser>
          <c:idx val="1"/>
          <c:order val="1"/>
          <c:tx>
            <c:strRef>
              <c:f>'Averages - Both groups'!$P$2</c:f>
              <c:strCache>
                <c:ptCount val="1"/>
              </c:strCache>
            </c:strRef>
          </c:tx>
          <c:spPr>
            <a:ln w="38100"/>
          </c:spPr>
          <c:marker>
            <c:symbol val="none"/>
          </c:marker>
          <c:xVal>
            <c:numRef>
              <c:f>'Averages - Both groups'!$M$3:$M$4</c:f>
              <c:numCache>
                <c:formatCode>General</c:formatCode>
                <c:ptCount val="2"/>
              </c:numCache>
            </c:numRef>
          </c:xVal>
          <c:yVal>
            <c:numRef>
              <c:f>'Averages - Both groups'!$N$3:$N$4</c:f>
              <c:numCache>
                <c:formatCode>General</c:formatCode>
                <c:ptCount val="2"/>
              </c:numCache>
            </c:numRef>
          </c:yVal>
          <c:smooth val="0"/>
        </c:ser>
        <c:dLbls>
          <c:showLegendKey val="0"/>
          <c:showVal val="0"/>
          <c:showCatName val="0"/>
          <c:showSerName val="0"/>
          <c:showPercent val="0"/>
          <c:showBubbleSize val="0"/>
        </c:dLbls>
        <c:axId val="145226752"/>
        <c:axId val="145225216"/>
      </c:scatterChart>
      <c:catAx>
        <c:axId val="145209216"/>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5210752"/>
        <c:crossesAt val="0"/>
        <c:auto val="1"/>
        <c:lblAlgn val="ctr"/>
        <c:lblOffset val="100"/>
        <c:noMultiLvlLbl val="0"/>
      </c:catAx>
      <c:valAx>
        <c:axId val="145210752"/>
        <c:scaling>
          <c:orientation val="minMax"/>
          <c:max val="1"/>
          <c:min val="0"/>
        </c:scaling>
        <c:delete val="0"/>
        <c:axPos val="l"/>
        <c:majorGridlines/>
        <c:title>
          <c:tx>
            <c:rich>
              <a:bodyPr rot="-5400000" vert="horz"/>
              <a:lstStyle/>
              <a:p>
                <a:pPr>
                  <a:defRPr/>
                </a:pPr>
                <a:r>
                  <a:rPr lang="en-GB" b="0" i="0" baseline="0"/>
                  <a:t>Task Completion Rate</a:t>
                </a:r>
              </a:p>
            </c:rich>
          </c:tx>
          <c:overlay val="0"/>
        </c:title>
        <c:numFmt formatCode="0.0" sourceLinked="0"/>
        <c:majorTickMark val="out"/>
        <c:minorTickMark val="none"/>
        <c:tickLblPos val="nextTo"/>
        <c:spPr>
          <a:ln w="44450">
            <a:solidFill>
              <a:schemeClr val="tx1"/>
            </a:solidFill>
          </a:ln>
        </c:spPr>
        <c:crossAx val="145209216"/>
        <c:crossesAt val="1"/>
        <c:crossBetween val="between"/>
        <c:majorUnit val="0.2"/>
      </c:valAx>
      <c:valAx>
        <c:axId val="145225216"/>
        <c:scaling>
          <c:orientation val="minMax"/>
        </c:scaling>
        <c:delete val="1"/>
        <c:axPos val="r"/>
        <c:numFmt formatCode="General" sourceLinked="1"/>
        <c:majorTickMark val="out"/>
        <c:minorTickMark val="none"/>
        <c:tickLblPos val="none"/>
        <c:crossAx val="145226752"/>
        <c:crosses val="max"/>
        <c:crossBetween val="midCat"/>
      </c:valAx>
      <c:valAx>
        <c:axId val="145226752"/>
        <c:scaling>
          <c:orientation val="minMax"/>
          <c:max val="1"/>
          <c:min val="0"/>
        </c:scaling>
        <c:delete val="0"/>
        <c:axPos val="t"/>
        <c:numFmt formatCode="General" sourceLinked="1"/>
        <c:majorTickMark val="none"/>
        <c:minorTickMark val="none"/>
        <c:tickLblPos val="none"/>
        <c:crossAx val="145225216"/>
        <c:crosses val="max"/>
        <c:crossBetween val="midCat"/>
      </c:valAx>
      <c:spPr>
        <a:ln w="0">
          <a:noFill/>
        </a:ln>
      </c:spPr>
    </c:plotArea>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Effectiveness - Age</a:t>
            </a:r>
          </a:p>
        </c:rich>
      </c:tx>
      <c:overlay val="0"/>
    </c:title>
    <c:autoTitleDeleted val="0"/>
    <c:plotArea>
      <c:layout/>
      <c:barChart>
        <c:barDir val="col"/>
        <c:grouping val="clustered"/>
        <c:varyColors val="1"/>
        <c:ser>
          <c:idx val="0"/>
          <c:order val="0"/>
          <c:spPr>
            <a:ln>
              <a:noFill/>
            </a:ln>
            <a:effectLst/>
          </c:spPr>
          <c:invertIfNegative val="0"/>
          <c:cat>
            <c:strRef>
              <c:f>'Demographic Analysis - Group B'!$N$32:$N$34</c:f>
              <c:strCache>
                <c:ptCount val="3"/>
                <c:pt idx="0">
                  <c:v>18 to 35 years</c:v>
                </c:pt>
                <c:pt idx="1">
                  <c:v>36 to 55 years</c:v>
                </c:pt>
                <c:pt idx="2">
                  <c:v>56 to 75 years</c:v>
                </c:pt>
              </c:strCache>
            </c:strRef>
          </c:cat>
          <c:val>
            <c:numRef>
              <c:f>'Demographic Analysis - Group B'!$O$32:$O$34</c:f>
              <c:numCache>
                <c:formatCode>0.00</c:formatCode>
                <c:ptCount val="3"/>
                <c:pt idx="0">
                  <c:v>45.05681818181818</c:v>
                </c:pt>
                <c:pt idx="1">
                  <c:v>38.681818181818187</c:v>
                </c:pt>
                <c:pt idx="2">
                  <c:v>34.659090909090907</c:v>
                </c:pt>
              </c:numCache>
            </c:numRef>
          </c:val>
        </c:ser>
        <c:dLbls>
          <c:showLegendKey val="0"/>
          <c:showVal val="0"/>
          <c:showCatName val="0"/>
          <c:showSerName val="0"/>
          <c:showPercent val="0"/>
          <c:showBubbleSize val="0"/>
        </c:dLbls>
        <c:gapWidth val="150"/>
        <c:axId val="143519744"/>
        <c:axId val="143521280"/>
      </c:barChart>
      <c:catAx>
        <c:axId val="143519744"/>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3521280"/>
        <c:crossesAt val="0"/>
        <c:auto val="1"/>
        <c:lblAlgn val="ctr"/>
        <c:lblOffset val="100"/>
        <c:noMultiLvlLbl val="0"/>
      </c:catAx>
      <c:valAx>
        <c:axId val="143521280"/>
        <c:scaling>
          <c:orientation val="minMax"/>
          <c:max val="100"/>
          <c:min val="0"/>
        </c:scaling>
        <c:delete val="0"/>
        <c:axPos val="l"/>
        <c:majorGridlines/>
        <c:title>
          <c:tx>
            <c:rich>
              <a:bodyPr rot="-5400000" vert="horz"/>
              <a:lstStyle/>
              <a:p>
                <a:pPr>
                  <a:defRPr/>
                </a:pPr>
                <a:r>
                  <a:rPr lang="en-GB" b="0" i="0" baseline="0"/>
                  <a:t>Task Completion Rate (%)</a:t>
                </a:r>
              </a:p>
            </c:rich>
          </c:tx>
          <c:overlay val="0"/>
        </c:title>
        <c:numFmt formatCode="0" sourceLinked="0"/>
        <c:majorTickMark val="out"/>
        <c:minorTickMark val="none"/>
        <c:tickLblPos val="nextTo"/>
        <c:spPr>
          <a:ln w="44450">
            <a:solidFill>
              <a:schemeClr val="tx1"/>
            </a:solidFill>
          </a:ln>
        </c:spPr>
        <c:crossAx val="143519744"/>
        <c:crossesAt val="1"/>
        <c:crossBetween val="between"/>
        <c:majorUnit val="20"/>
      </c:valAx>
      <c:spPr>
        <a:ln w="0">
          <a:noFill/>
        </a:ln>
      </c:spPr>
    </c:plotArea>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1b Effectiveness</a:t>
            </a:r>
          </a:p>
        </c:rich>
      </c:tx>
      <c:overlay val="0"/>
    </c:title>
    <c:autoTitleDeleted val="0"/>
    <c:plotArea>
      <c:layout/>
      <c:barChart>
        <c:barDir val="col"/>
        <c:grouping val="clustered"/>
        <c:varyColors val="1"/>
        <c:ser>
          <c:idx val="0"/>
          <c:order val="0"/>
          <c:spPr>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groups'!$C$4:$C$9</c:f>
              <c:numCache>
                <c:formatCode>0.00</c:formatCode>
                <c:ptCount val="6"/>
                <c:pt idx="1">
                  <c:v>8.3333333333333329E-2</c:v>
                </c:pt>
                <c:pt idx="2">
                  <c:v>0.47222222222222221</c:v>
                </c:pt>
                <c:pt idx="3">
                  <c:v>4.1666666666666664E-2</c:v>
                </c:pt>
                <c:pt idx="4">
                  <c:v>0.16666666666666666</c:v>
                </c:pt>
                <c:pt idx="5">
                  <c:v>0.43888888888888888</c:v>
                </c:pt>
              </c:numCache>
            </c:numRef>
          </c:val>
        </c:ser>
        <c:dLbls>
          <c:showLegendKey val="0"/>
          <c:showVal val="0"/>
          <c:showCatName val="0"/>
          <c:showSerName val="0"/>
          <c:showPercent val="0"/>
          <c:showBubbleSize val="0"/>
        </c:dLbls>
        <c:gapWidth val="150"/>
        <c:axId val="145904384"/>
        <c:axId val="145905920"/>
      </c:barChart>
      <c:scatterChart>
        <c:scatterStyle val="lineMarker"/>
        <c:varyColors val="1"/>
        <c:ser>
          <c:idx val="1"/>
          <c:order val="1"/>
          <c:tx>
            <c:strRef>
              <c:f>'Averages - Both groups'!$P$2</c:f>
              <c:strCache>
                <c:ptCount val="1"/>
              </c:strCache>
            </c:strRef>
          </c:tx>
          <c:spPr>
            <a:ln w="38100"/>
          </c:spPr>
          <c:marker>
            <c:symbol val="none"/>
          </c:marker>
          <c:xVal>
            <c:numRef>
              <c:f>'Averages - Both groups'!$M$3:$M$4</c:f>
              <c:numCache>
                <c:formatCode>General</c:formatCode>
                <c:ptCount val="2"/>
              </c:numCache>
            </c:numRef>
          </c:xVal>
          <c:yVal>
            <c:numRef>
              <c:f>'Averages - Both groups'!$N$3:$N$4</c:f>
              <c:numCache>
                <c:formatCode>General</c:formatCode>
                <c:ptCount val="2"/>
              </c:numCache>
            </c:numRef>
          </c:yVal>
          <c:smooth val="0"/>
        </c:ser>
        <c:dLbls>
          <c:showLegendKey val="0"/>
          <c:showVal val="0"/>
          <c:showCatName val="0"/>
          <c:showSerName val="0"/>
          <c:showPercent val="0"/>
          <c:showBubbleSize val="0"/>
        </c:dLbls>
        <c:axId val="145926016"/>
        <c:axId val="145924480"/>
      </c:scatterChart>
      <c:catAx>
        <c:axId val="145904384"/>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5905920"/>
        <c:crossesAt val="0"/>
        <c:auto val="1"/>
        <c:lblAlgn val="ctr"/>
        <c:lblOffset val="100"/>
        <c:noMultiLvlLbl val="0"/>
      </c:catAx>
      <c:valAx>
        <c:axId val="145905920"/>
        <c:scaling>
          <c:orientation val="minMax"/>
          <c:max val="1"/>
          <c:min val="0"/>
        </c:scaling>
        <c:delete val="0"/>
        <c:axPos val="l"/>
        <c:majorGridlines/>
        <c:title>
          <c:tx>
            <c:rich>
              <a:bodyPr rot="-5400000" vert="horz"/>
              <a:lstStyle/>
              <a:p>
                <a:pPr>
                  <a:defRPr/>
                </a:pPr>
                <a:r>
                  <a:rPr lang="en-GB" b="0" i="0" baseline="0"/>
                  <a:t>Task Completion Rate</a:t>
                </a:r>
              </a:p>
            </c:rich>
          </c:tx>
          <c:overlay val="0"/>
        </c:title>
        <c:numFmt formatCode="0.0" sourceLinked="0"/>
        <c:majorTickMark val="out"/>
        <c:minorTickMark val="none"/>
        <c:tickLblPos val="nextTo"/>
        <c:spPr>
          <a:ln w="44450">
            <a:solidFill>
              <a:schemeClr val="tx1"/>
            </a:solidFill>
          </a:ln>
        </c:spPr>
        <c:crossAx val="145904384"/>
        <c:crossesAt val="1"/>
        <c:crossBetween val="between"/>
        <c:majorUnit val="0.2"/>
      </c:valAx>
      <c:valAx>
        <c:axId val="145924480"/>
        <c:scaling>
          <c:orientation val="minMax"/>
        </c:scaling>
        <c:delete val="1"/>
        <c:axPos val="r"/>
        <c:numFmt formatCode="General" sourceLinked="1"/>
        <c:majorTickMark val="out"/>
        <c:minorTickMark val="none"/>
        <c:tickLblPos val="none"/>
        <c:crossAx val="145926016"/>
        <c:crosses val="max"/>
        <c:crossBetween val="midCat"/>
      </c:valAx>
      <c:valAx>
        <c:axId val="145926016"/>
        <c:scaling>
          <c:orientation val="minMax"/>
          <c:max val="1"/>
          <c:min val="0"/>
        </c:scaling>
        <c:delete val="0"/>
        <c:axPos val="t"/>
        <c:numFmt formatCode="General" sourceLinked="1"/>
        <c:majorTickMark val="none"/>
        <c:minorTickMark val="none"/>
        <c:tickLblPos val="none"/>
        <c:crossAx val="145924480"/>
        <c:crosses val="max"/>
        <c:crossBetween val="midCat"/>
      </c:valAx>
      <c:spPr>
        <a:ln w="0">
          <a:noFill/>
        </a:ln>
      </c:spPr>
    </c:plotArea>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Overall Effectiveness</a:t>
            </a:r>
          </a:p>
        </c:rich>
      </c:tx>
      <c:overlay val="0"/>
    </c:title>
    <c:autoTitleDeleted val="0"/>
    <c:plotArea>
      <c:layout/>
      <c:barChart>
        <c:barDir val="col"/>
        <c:grouping val="clustered"/>
        <c:varyColors val="1"/>
        <c:ser>
          <c:idx val="0"/>
          <c:order val="0"/>
          <c:spPr>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groups'!$K$4:$K$9</c:f>
              <c:numCache>
                <c:formatCode>0.00</c:formatCode>
                <c:ptCount val="6"/>
                <c:pt idx="0">
                  <c:v>38.657407407407405</c:v>
                </c:pt>
                <c:pt idx="1">
                  <c:v>24.913194444444446</c:v>
                </c:pt>
                <c:pt idx="2">
                  <c:v>35.763888888888886</c:v>
                </c:pt>
                <c:pt idx="3">
                  <c:v>22.569444444444446</c:v>
                </c:pt>
                <c:pt idx="4">
                  <c:v>47.482638888888893</c:v>
                </c:pt>
                <c:pt idx="5">
                  <c:v>47.934027777777786</c:v>
                </c:pt>
              </c:numCache>
            </c:numRef>
          </c:val>
        </c:ser>
        <c:dLbls>
          <c:showLegendKey val="0"/>
          <c:showVal val="0"/>
          <c:showCatName val="0"/>
          <c:showSerName val="0"/>
          <c:showPercent val="0"/>
          <c:showBubbleSize val="0"/>
        </c:dLbls>
        <c:gapWidth val="150"/>
        <c:axId val="146288000"/>
        <c:axId val="146293888"/>
      </c:barChart>
      <c:scatterChart>
        <c:scatterStyle val="lineMarker"/>
        <c:varyColors val="1"/>
        <c:ser>
          <c:idx val="1"/>
          <c:order val="1"/>
          <c:tx>
            <c:strRef>
              <c:f>'Averages - Both groups'!$P$2</c:f>
              <c:strCache>
                <c:ptCount val="1"/>
              </c:strCache>
            </c:strRef>
          </c:tx>
          <c:spPr>
            <a:ln w="38100"/>
          </c:spPr>
          <c:marker>
            <c:symbol val="none"/>
          </c:marker>
          <c:xVal>
            <c:numRef>
              <c:f>'Averages - Both groups'!$M$3:$M$4</c:f>
              <c:numCache>
                <c:formatCode>General</c:formatCode>
                <c:ptCount val="2"/>
              </c:numCache>
            </c:numRef>
          </c:xVal>
          <c:yVal>
            <c:numLit>
              <c:formatCode>General</c:formatCode>
              <c:ptCount val="2"/>
              <c:pt idx="0">
                <c:v>70</c:v>
              </c:pt>
              <c:pt idx="1">
                <c:v>70</c:v>
              </c:pt>
            </c:numLit>
          </c:yVal>
          <c:smooth val="0"/>
        </c:ser>
        <c:dLbls>
          <c:showLegendKey val="0"/>
          <c:showVal val="0"/>
          <c:showCatName val="0"/>
          <c:showSerName val="0"/>
          <c:showPercent val="0"/>
          <c:showBubbleSize val="0"/>
        </c:dLbls>
        <c:axId val="146305792"/>
        <c:axId val="146295808"/>
      </c:scatterChart>
      <c:catAx>
        <c:axId val="146288000"/>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6293888"/>
        <c:crossesAt val="0"/>
        <c:auto val="1"/>
        <c:lblAlgn val="ctr"/>
        <c:lblOffset val="100"/>
        <c:noMultiLvlLbl val="0"/>
      </c:catAx>
      <c:valAx>
        <c:axId val="146293888"/>
        <c:scaling>
          <c:orientation val="minMax"/>
          <c:max val="100"/>
          <c:min val="0"/>
        </c:scaling>
        <c:delete val="0"/>
        <c:axPos val="l"/>
        <c:majorGridlines/>
        <c:title>
          <c:tx>
            <c:rich>
              <a:bodyPr rot="-5400000" vert="horz"/>
              <a:lstStyle/>
              <a:p>
                <a:pPr>
                  <a:defRPr/>
                </a:pPr>
                <a:r>
                  <a:rPr lang="en-GB" b="0" i="0" baseline="0"/>
                  <a:t>Task Completion Rate (%)</a:t>
                </a:r>
              </a:p>
            </c:rich>
          </c:tx>
          <c:overlay val="0"/>
        </c:title>
        <c:numFmt formatCode="0" sourceLinked="0"/>
        <c:majorTickMark val="out"/>
        <c:minorTickMark val="none"/>
        <c:tickLblPos val="nextTo"/>
        <c:spPr>
          <a:ln w="44450">
            <a:solidFill>
              <a:schemeClr val="tx1"/>
            </a:solidFill>
          </a:ln>
        </c:spPr>
        <c:crossAx val="146288000"/>
        <c:crossesAt val="1"/>
        <c:crossBetween val="between"/>
        <c:majorUnit val="20"/>
      </c:valAx>
      <c:valAx>
        <c:axId val="146295808"/>
        <c:scaling>
          <c:orientation val="minMax"/>
        </c:scaling>
        <c:delete val="1"/>
        <c:axPos val="r"/>
        <c:numFmt formatCode="General" sourceLinked="1"/>
        <c:majorTickMark val="out"/>
        <c:minorTickMark val="none"/>
        <c:tickLblPos val="none"/>
        <c:crossAx val="146305792"/>
        <c:crosses val="max"/>
        <c:crossBetween val="midCat"/>
      </c:valAx>
      <c:valAx>
        <c:axId val="146305792"/>
        <c:scaling>
          <c:orientation val="minMax"/>
          <c:max val="1"/>
          <c:min val="0"/>
        </c:scaling>
        <c:delete val="0"/>
        <c:axPos val="t"/>
        <c:numFmt formatCode="General" sourceLinked="1"/>
        <c:majorTickMark val="none"/>
        <c:minorTickMark val="none"/>
        <c:tickLblPos val="none"/>
        <c:crossAx val="146295808"/>
        <c:crosses val="max"/>
        <c:crossBetween val="midCat"/>
      </c:valAx>
      <c:spPr>
        <a:ln w="0">
          <a:noFill/>
        </a:ln>
      </c:spPr>
    </c:plotArea>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Overall Efficiency</a:t>
            </a:r>
          </a:p>
        </c:rich>
      </c:tx>
      <c:overlay val="0"/>
    </c:title>
    <c:autoTitleDeleted val="0"/>
    <c:plotArea>
      <c:layout/>
      <c:barChart>
        <c:barDir val="col"/>
        <c:grouping val="clustered"/>
        <c:varyColors val="0"/>
        <c:ser>
          <c:idx val="0"/>
          <c:order val="0"/>
          <c:spPr>
            <a:solidFill>
              <a:schemeClr val="accent6">
                <a:lumMod val="75000"/>
              </a:schemeClr>
            </a:solidFill>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groups'!$K$13:$K$18</c:f>
              <c:numCache>
                <c:formatCode>0.00</c:formatCode>
                <c:ptCount val="6"/>
                <c:pt idx="0">
                  <c:v>540.28917566304665</c:v>
                </c:pt>
                <c:pt idx="1">
                  <c:v>879.47904761904761</c:v>
                </c:pt>
                <c:pt idx="2">
                  <c:v>1018.4827462678436</c:v>
                </c:pt>
                <c:pt idx="3">
                  <c:v>1076.5329004329005</c:v>
                </c:pt>
                <c:pt idx="4">
                  <c:v>914.09295233841397</c:v>
                </c:pt>
                <c:pt idx="5">
                  <c:v>797.55404040404051</c:v>
                </c:pt>
              </c:numCache>
            </c:numRef>
          </c:val>
        </c:ser>
        <c:dLbls>
          <c:showLegendKey val="0"/>
          <c:showVal val="0"/>
          <c:showCatName val="0"/>
          <c:showSerName val="0"/>
          <c:showPercent val="0"/>
          <c:showBubbleSize val="0"/>
        </c:dLbls>
        <c:gapWidth val="150"/>
        <c:axId val="146024704"/>
        <c:axId val="146030592"/>
      </c:barChart>
      <c:scatterChart>
        <c:scatterStyle val="lineMarker"/>
        <c:varyColors val="0"/>
        <c:ser>
          <c:idx val="1"/>
          <c:order val="1"/>
          <c:spPr>
            <a:ln w="38100"/>
          </c:spPr>
          <c:marker>
            <c:symbol val="none"/>
          </c:marker>
          <c:xVal>
            <c:numRef>
              <c:f>'Averages - Both groups'!#REF!</c:f>
            </c:numRef>
          </c:xVal>
          <c:yVal>
            <c:numRef>
              <c:f>'Averages - Both groups'!$L$21:$L$22</c:f>
              <c:numCache>
                <c:formatCode>General</c:formatCode>
                <c:ptCount val="2"/>
              </c:numCache>
            </c:numRef>
          </c:yVal>
          <c:smooth val="0"/>
        </c:ser>
        <c:dLbls>
          <c:showLegendKey val="0"/>
          <c:showVal val="0"/>
          <c:showCatName val="0"/>
          <c:showSerName val="0"/>
          <c:showPercent val="0"/>
          <c:showBubbleSize val="0"/>
        </c:dLbls>
        <c:axId val="146034048"/>
        <c:axId val="146032512"/>
      </c:scatterChart>
      <c:catAx>
        <c:axId val="146024704"/>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6030592"/>
        <c:crossesAt val="0"/>
        <c:auto val="1"/>
        <c:lblAlgn val="ctr"/>
        <c:lblOffset val="100"/>
        <c:noMultiLvlLbl val="0"/>
      </c:catAx>
      <c:valAx>
        <c:axId val="146030592"/>
        <c:scaling>
          <c:orientation val="minMax"/>
          <c:max val="1200"/>
          <c:min val="0"/>
        </c:scaling>
        <c:delete val="0"/>
        <c:axPos val="l"/>
        <c:majorGridlines/>
        <c:title>
          <c:tx>
            <c:rich>
              <a:bodyPr rot="-5400000" vert="horz"/>
              <a:lstStyle/>
              <a:p>
                <a:pPr>
                  <a:defRPr/>
                </a:pPr>
                <a:r>
                  <a:rPr lang="en-GB" b="0" i="0" baseline="0"/>
                  <a:t>Total Time on Task (Seconds)</a:t>
                </a:r>
              </a:p>
            </c:rich>
          </c:tx>
          <c:overlay val="0"/>
        </c:title>
        <c:numFmt formatCode="0.0" sourceLinked="0"/>
        <c:majorTickMark val="out"/>
        <c:minorTickMark val="none"/>
        <c:tickLblPos val="nextTo"/>
        <c:spPr>
          <a:ln w="44450">
            <a:solidFill>
              <a:schemeClr val="tx1"/>
            </a:solidFill>
          </a:ln>
        </c:spPr>
        <c:crossAx val="146024704"/>
        <c:crossesAt val="1"/>
        <c:crossBetween val="between"/>
        <c:majorUnit val="200"/>
      </c:valAx>
      <c:valAx>
        <c:axId val="146032512"/>
        <c:scaling>
          <c:orientation val="minMax"/>
          <c:max val="1200"/>
        </c:scaling>
        <c:delete val="0"/>
        <c:axPos val="r"/>
        <c:numFmt formatCode="General" sourceLinked="1"/>
        <c:majorTickMark val="none"/>
        <c:minorTickMark val="none"/>
        <c:tickLblPos val="none"/>
        <c:crossAx val="146034048"/>
        <c:crosses val="max"/>
        <c:crossBetween val="midCat"/>
      </c:valAx>
      <c:valAx>
        <c:axId val="146034048"/>
        <c:scaling>
          <c:orientation val="minMax"/>
          <c:max val="1"/>
        </c:scaling>
        <c:delete val="0"/>
        <c:axPos val="t"/>
        <c:numFmt formatCode="General" sourceLinked="1"/>
        <c:majorTickMark val="none"/>
        <c:minorTickMark val="none"/>
        <c:tickLblPos val="none"/>
        <c:crossAx val="146032512"/>
        <c:crosses val="max"/>
        <c:crossBetween val="midCat"/>
      </c:valAx>
      <c:spPr>
        <a:ln w="0">
          <a:noFill/>
        </a:ln>
      </c:spPr>
    </c:plotArea>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Overall Satisfaction</a:t>
            </a:r>
          </a:p>
        </c:rich>
      </c:tx>
      <c:overlay val="0"/>
    </c:title>
    <c:autoTitleDeleted val="0"/>
    <c:plotArea>
      <c:layout/>
      <c:barChart>
        <c:barDir val="col"/>
        <c:grouping val="clustered"/>
        <c:varyColors val="1"/>
        <c:ser>
          <c:idx val="0"/>
          <c:order val="0"/>
          <c:spPr>
            <a:solidFill>
              <a:schemeClr val="accent3">
                <a:lumMod val="75000"/>
              </a:schemeClr>
            </a:solidFill>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groups'!$J$22:$J$27</c:f>
              <c:numCache>
                <c:formatCode>0.00</c:formatCode>
                <c:ptCount val="6"/>
                <c:pt idx="0">
                  <c:v>3.3148148148148149</c:v>
                </c:pt>
                <c:pt idx="1">
                  <c:v>2.8020833333333335</c:v>
                </c:pt>
                <c:pt idx="2">
                  <c:v>2.5868055555555554</c:v>
                </c:pt>
                <c:pt idx="3">
                  <c:v>2.2048611111111112</c:v>
                </c:pt>
                <c:pt idx="4">
                  <c:v>2.979166666666667</c:v>
                </c:pt>
                <c:pt idx="5">
                  <c:v>3.2777777777777781</c:v>
                </c:pt>
              </c:numCache>
            </c:numRef>
          </c:val>
        </c:ser>
        <c:dLbls>
          <c:showLegendKey val="0"/>
          <c:showVal val="0"/>
          <c:showCatName val="0"/>
          <c:showSerName val="0"/>
          <c:showPercent val="0"/>
          <c:showBubbleSize val="0"/>
        </c:dLbls>
        <c:gapWidth val="150"/>
        <c:axId val="146052224"/>
        <c:axId val="146053760"/>
      </c:barChart>
      <c:scatterChart>
        <c:scatterStyle val="lineMarker"/>
        <c:varyColors val="1"/>
        <c:ser>
          <c:idx val="1"/>
          <c:order val="1"/>
          <c:tx>
            <c:v>Benchmark</c:v>
          </c:tx>
          <c:spPr>
            <a:ln w="38100"/>
          </c:spPr>
          <c:marker>
            <c:symbol val="none"/>
          </c:marker>
          <c:xVal>
            <c:numRef>
              <c:f>'Averages - Both groups'!$M$3:$M$4</c:f>
              <c:numCache>
                <c:formatCode>General</c:formatCode>
                <c:ptCount val="2"/>
              </c:numCache>
            </c:numRef>
          </c:xVal>
          <c:yVal>
            <c:numRef>
              <c:f>'Averages - Both groups'!$N$22:$N$23</c:f>
              <c:numCache>
                <c:formatCode>General</c:formatCode>
                <c:ptCount val="2"/>
              </c:numCache>
            </c:numRef>
          </c:yVal>
          <c:smooth val="0"/>
        </c:ser>
        <c:dLbls>
          <c:showLegendKey val="0"/>
          <c:showVal val="0"/>
          <c:showCatName val="0"/>
          <c:showSerName val="0"/>
          <c:showPercent val="0"/>
          <c:showBubbleSize val="0"/>
        </c:dLbls>
        <c:axId val="146065664"/>
        <c:axId val="146064128"/>
      </c:scatterChart>
      <c:catAx>
        <c:axId val="146052224"/>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6053760"/>
        <c:crossesAt val="0"/>
        <c:auto val="1"/>
        <c:lblAlgn val="ctr"/>
        <c:lblOffset val="100"/>
        <c:noMultiLvlLbl val="0"/>
      </c:catAx>
      <c:valAx>
        <c:axId val="146053760"/>
        <c:scaling>
          <c:orientation val="minMax"/>
          <c:max val="5"/>
          <c:min val="0"/>
        </c:scaling>
        <c:delete val="0"/>
        <c:axPos val="l"/>
        <c:majorGridlines/>
        <c:title>
          <c:tx>
            <c:rich>
              <a:bodyPr rot="-5400000" vert="horz"/>
              <a:lstStyle/>
              <a:p>
                <a:pPr>
                  <a:defRPr/>
                </a:pPr>
                <a:r>
                  <a:rPr lang="en-GB" b="0" i="0" baseline="0"/>
                  <a:t>Satisfaction Rating</a:t>
                </a:r>
              </a:p>
            </c:rich>
          </c:tx>
          <c:overlay val="0"/>
        </c:title>
        <c:numFmt formatCode="0.0" sourceLinked="0"/>
        <c:majorTickMark val="out"/>
        <c:minorTickMark val="none"/>
        <c:tickLblPos val="nextTo"/>
        <c:spPr>
          <a:ln w="44450">
            <a:solidFill>
              <a:schemeClr val="tx1"/>
            </a:solidFill>
          </a:ln>
        </c:spPr>
        <c:crossAx val="146052224"/>
        <c:crossesAt val="1"/>
        <c:crossBetween val="between"/>
        <c:majorUnit val="1"/>
      </c:valAx>
      <c:valAx>
        <c:axId val="146064128"/>
        <c:scaling>
          <c:orientation val="minMax"/>
        </c:scaling>
        <c:delete val="1"/>
        <c:axPos val="r"/>
        <c:numFmt formatCode="General" sourceLinked="1"/>
        <c:majorTickMark val="out"/>
        <c:minorTickMark val="none"/>
        <c:tickLblPos val="none"/>
        <c:crossAx val="146065664"/>
        <c:crosses val="max"/>
        <c:crossBetween val="midCat"/>
      </c:valAx>
      <c:valAx>
        <c:axId val="146065664"/>
        <c:scaling>
          <c:orientation val="minMax"/>
          <c:max val="1"/>
          <c:min val="0"/>
        </c:scaling>
        <c:delete val="0"/>
        <c:axPos val="t"/>
        <c:numFmt formatCode="General" sourceLinked="1"/>
        <c:majorTickMark val="none"/>
        <c:minorTickMark val="none"/>
        <c:tickLblPos val="none"/>
        <c:crossAx val="146064128"/>
        <c:crosses val="max"/>
        <c:crossBetween val="midCat"/>
      </c:valAx>
      <c:spPr>
        <a:ln w="0">
          <a:noFill/>
        </a:ln>
      </c:spPr>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System</a:t>
            </a:r>
            <a:r>
              <a:rPr lang="en-GB" baseline="0"/>
              <a:t> Usability Score (</a:t>
            </a:r>
            <a:r>
              <a:rPr lang="en-GB"/>
              <a:t>SUS)</a:t>
            </a:r>
          </a:p>
        </c:rich>
      </c:tx>
      <c:overlay val="0"/>
    </c:title>
    <c:autoTitleDeleted val="0"/>
    <c:plotArea>
      <c:layout/>
      <c:barChart>
        <c:barDir val="col"/>
        <c:grouping val="clustered"/>
        <c:varyColors val="1"/>
        <c:ser>
          <c:idx val="0"/>
          <c:order val="0"/>
          <c:spPr>
            <a:solidFill>
              <a:schemeClr val="accent2">
                <a:lumMod val="75000"/>
              </a:schemeClr>
            </a:solidFill>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groups'!$B$31:$B$36</c:f>
              <c:numCache>
                <c:formatCode>0.00</c:formatCode>
                <c:ptCount val="6"/>
                <c:pt idx="0">
                  <c:v>56.597222222222221</c:v>
                </c:pt>
                <c:pt idx="1">
                  <c:v>41.875</c:v>
                </c:pt>
                <c:pt idx="2">
                  <c:v>43.75</c:v>
                </c:pt>
                <c:pt idx="3">
                  <c:v>31.111111111111111</c:v>
                </c:pt>
                <c:pt idx="4">
                  <c:v>51.111111111111114</c:v>
                </c:pt>
                <c:pt idx="5">
                  <c:v>51.25</c:v>
                </c:pt>
              </c:numCache>
            </c:numRef>
          </c:val>
        </c:ser>
        <c:dLbls>
          <c:showLegendKey val="0"/>
          <c:showVal val="0"/>
          <c:showCatName val="0"/>
          <c:showSerName val="0"/>
          <c:showPercent val="0"/>
          <c:showBubbleSize val="0"/>
        </c:dLbls>
        <c:gapWidth val="150"/>
        <c:axId val="146104320"/>
        <c:axId val="146105856"/>
      </c:barChart>
      <c:scatterChart>
        <c:scatterStyle val="lineMarker"/>
        <c:varyColors val="1"/>
        <c:ser>
          <c:idx val="1"/>
          <c:order val="1"/>
          <c:tx>
            <c:v>Benchmark</c:v>
          </c:tx>
          <c:spPr>
            <a:ln w="38100"/>
          </c:spPr>
          <c:marker>
            <c:symbol val="none"/>
          </c:marker>
          <c:xVal>
            <c:numRef>
              <c:f>'Averages - Both groups'!$M$3:$M$4</c:f>
              <c:numCache>
                <c:formatCode>General</c:formatCode>
                <c:ptCount val="2"/>
              </c:numCache>
            </c:numRef>
          </c:xVal>
          <c:yVal>
            <c:numLit>
              <c:formatCode>General</c:formatCode>
              <c:ptCount val="2"/>
              <c:pt idx="0">
                <c:v>73</c:v>
              </c:pt>
              <c:pt idx="1">
                <c:v>73</c:v>
              </c:pt>
            </c:numLit>
          </c:yVal>
          <c:smooth val="0"/>
        </c:ser>
        <c:dLbls>
          <c:showLegendKey val="0"/>
          <c:showVal val="0"/>
          <c:showCatName val="0"/>
          <c:showSerName val="0"/>
          <c:showPercent val="0"/>
          <c:showBubbleSize val="0"/>
        </c:dLbls>
        <c:axId val="146109568"/>
        <c:axId val="146107776"/>
      </c:scatterChart>
      <c:catAx>
        <c:axId val="146104320"/>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6105856"/>
        <c:crossesAt val="0"/>
        <c:auto val="1"/>
        <c:lblAlgn val="ctr"/>
        <c:lblOffset val="100"/>
        <c:noMultiLvlLbl val="0"/>
      </c:catAx>
      <c:valAx>
        <c:axId val="146105856"/>
        <c:scaling>
          <c:orientation val="minMax"/>
          <c:max val="100"/>
          <c:min val="0"/>
        </c:scaling>
        <c:delete val="0"/>
        <c:axPos val="l"/>
        <c:majorGridlines/>
        <c:title>
          <c:tx>
            <c:rich>
              <a:bodyPr rot="-5400000" vert="horz"/>
              <a:lstStyle/>
              <a:p>
                <a:pPr>
                  <a:defRPr/>
                </a:pPr>
                <a:r>
                  <a:rPr lang="en-GB" b="0" i="0" baseline="0"/>
                  <a:t>System Usability Score</a:t>
                </a:r>
              </a:p>
            </c:rich>
          </c:tx>
          <c:overlay val="0"/>
        </c:title>
        <c:numFmt formatCode="0.0" sourceLinked="0"/>
        <c:majorTickMark val="out"/>
        <c:minorTickMark val="none"/>
        <c:tickLblPos val="nextTo"/>
        <c:spPr>
          <a:ln w="44450">
            <a:solidFill>
              <a:schemeClr val="tx1"/>
            </a:solidFill>
          </a:ln>
        </c:spPr>
        <c:crossAx val="146104320"/>
        <c:crossesAt val="1"/>
        <c:crossBetween val="between"/>
        <c:majorUnit val="20"/>
      </c:valAx>
      <c:valAx>
        <c:axId val="146107776"/>
        <c:scaling>
          <c:orientation val="minMax"/>
        </c:scaling>
        <c:delete val="1"/>
        <c:axPos val="r"/>
        <c:numFmt formatCode="General" sourceLinked="1"/>
        <c:majorTickMark val="out"/>
        <c:minorTickMark val="none"/>
        <c:tickLblPos val="none"/>
        <c:crossAx val="146109568"/>
        <c:crosses val="max"/>
        <c:crossBetween val="midCat"/>
      </c:valAx>
      <c:valAx>
        <c:axId val="146109568"/>
        <c:scaling>
          <c:orientation val="minMax"/>
          <c:max val="1"/>
          <c:min val="0"/>
        </c:scaling>
        <c:delete val="0"/>
        <c:axPos val="t"/>
        <c:numFmt formatCode="General" sourceLinked="1"/>
        <c:majorTickMark val="none"/>
        <c:minorTickMark val="none"/>
        <c:tickLblPos val="none"/>
        <c:crossAx val="146107776"/>
        <c:crosses val="max"/>
        <c:crossBetween val="midCat"/>
      </c:valAx>
      <c:spPr>
        <a:ln w="0">
          <a:noFill/>
        </a:ln>
      </c:spPr>
    </c:plotArea>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1a Efficiency</a:t>
            </a:r>
          </a:p>
        </c:rich>
      </c:tx>
      <c:overlay val="0"/>
    </c:title>
    <c:autoTitleDeleted val="0"/>
    <c:plotArea>
      <c:layout/>
      <c:barChart>
        <c:barDir val="col"/>
        <c:grouping val="clustered"/>
        <c:varyColors val="0"/>
        <c:ser>
          <c:idx val="0"/>
          <c:order val="0"/>
          <c:spPr>
            <a:solidFill>
              <a:schemeClr val="accent6">
                <a:lumMod val="75000"/>
              </a:schemeClr>
            </a:solidFill>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groups'!$B$13:$B$18</c:f>
              <c:numCache>
                <c:formatCode>0.00</c:formatCode>
                <c:ptCount val="6"/>
                <c:pt idx="0">
                  <c:v>150.48387096774192</c:v>
                </c:pt>
                <c:pt idx="1">
                  <c:v>242.44444444444446</c:v>
                </c:pt>
                <c:pt idx="2">
                  <c:v>258.5625</c:v>
                </c:pt>
                <c:pt idx="3">
                  <c:v>207.28571428571428</c:v>
                </c:pt>
                <c:pt idx="4">
                  <c:v>246.32</c:v>
                </c:pt>
                <c:pt idx="5">
                  <c:v>210.95454545454547</c:v>
                </c:pt>
              </c:numCache>
            </c:numRef>
          </c:val>
        </c:ser>
        <c:dLbls>
          <c:showLegendKey val="0"/>
          <c:showVal val="0"/>
          <c:showCatName val="0"/>
          <c:showSerName val="0"/>
          <c:showPercent val="0"/>
          <c:showBubbleSize val="0"/>
        </c:dLbls>
        <c:gapWidth val="150"/>
        <c:axId val="146213504"/>
        <c:axId val="146219392"/>
      </c:barChart>
      <c:scatterChart>
        <c:scatterStyle val="lineMarker"/>
        <c:varyColors val="0"/>
        <c:ser>
          <c:idx val="1"/>
          <c:order val="1"/>
          <c:spPr>
            <a:ln w="38100"/>
          </c:spPr>
          <c:marker>
            <c:symbol val="none"/>
          </c:marker>
          <c:xVal>
            <c:numRef>
              <c:f>'Averages - Both groups'!$M$12:$M$13</c:f>
              <c:numCache>
                <c:formatCode>General</c:formatCode>
                <c:ptCount val="2"/>
              </c:numCache>
            </c:numRef>
          </c:xVal>
          <c:yVal>
            <c:numRef>
              <c:f>'Averages - Both groups'!$N$12:$N$13</c:f>
              <c:numCache>
                <c:formatCode>General</c:formatCode>
                <c:ptCount val="2"/>
              </c:numCache>
            </c:numRef>
          </c:yVal>
          <c:smooth val="0"/>
        </c:ser>
        <c:dLbls>
          <c:showLegendKey val="0"/>
          <c:showVal val="0"/>
          <c:showCatName val="0"/>
          <c:showSerName val="0"/>
          <c:showPercent val="0"/>
          <c:showBubbleSize val="0"/>
        </c:dLbls>
        <c:axId val="146231296"/>
        <c:axId val="146221312"/>
      </c:scatterChart>
      <c:catAx>
        <c:axId val="146213504"/>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6219392"/>
        <c:crossesAt val="0"/>
        <c:auto val="1"/>
        <c:lblAlgn val="ctr"/>
        <c:lblOffset val="100"/>
        <c:noMultiLvlLbl val="0"/>
      </c:catAx>
      <c:valAx>
        <c:axId val="146219392"/>
        <c:scaling>
          <c:orientation val="minMax"/>
          <c:max val="300"/>
          <c:min val="0"/>
        </c:scaling>
        <c:delete val="0"/>
        <c:axPos val="l"/>
        <c:majorGridlines/>
        <c:title>
          <c:tx>
            <c:rich>
              <a:bodyPr rot="-5400000" vert="horz"/>
              <a:lstStyle/>
              <a:p>
                <a:pPr>
                  <a:defRPr/>
                </a:pPr>
                <a:r>
                  <a:rPr lang="en-GB" b="0" i="0" baseline="0"/>
                  <a:t>Time on Task (Seconds)</a:t>
                </a:r>
              </a:p>
            </c:rich>
          </c:tx>
          <c:overlay val="0"/>
        </c:title>
        <c:numFmt formatCode="0.0" sourceLinked="0"/>
        <c:majorTickMark val="out"/>
        <c:minorTickMark val="none"/>
        <c:tickLblPos val="nextTo"/>
        <c:spPr>
          <a:ln w="44450">
            <a:solidFill>
              <a:schemeClr val="tx1"/>
            </a:solidFill>
          </a:ln>
        </c:spPr>
        <c:crossAx val="146213504"/>
        <c:crossesAt val="1"/>
        <c:crossBetween val="between"/>
        <c:majorUnit val="60"/>
      </c:valAx>
      <c:valAx>
        <c:axId val="146221312"/>
        <c:scaling>
          <c:orientation val="minMax"/>
        </c:scaling>
        <c:delete val="0"/>
        <c:axPos val="r"/>
        <c:numFmt formatCode="General" sourceLinked="1"/>
        <c:majorTickMark val="none"/>
        <c:minorTickMark val="none"/>
        <c:tickLblPos val="none"/>
        <c:crossAx val="146231296"/>
        <c:crosses val="max"/>
        <c:crossBetween val="midCat"/>
      </c:valAx>
      <c:valAx>
        <c:axId val="146231296"/>
        <c:scaling>
          <c:orientation val="minMax"/>
          <c:max val="1"/>
        </c:scaling>
        <c:delete val="0"/>
        <c:axPos val="t"/>
        <c:numFmt formatCode="General" sourceLinked="1"/>
        <c:majorTickMark val="none"/>
        <c:minorTickMark val="none"/>
        <c:tickLblPos val="none"/>
        <c:crossAx val="146221312"/>
        <c:crosses val="max"/>
        <c:crossBetween val="midCat"/>
      </c:valAx>
      <c:spPr>
        <a:ln w="0">
          <a:noFill/>
        </a:ln>
      </c:spPr>
    </c:plotArea>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1a Satisfaction</a:t>
            </a:r>
          </a:p>
        </c:rich>
      </c:tx>
      <c:overlay val="0"/>
    </c:title>
    <c:autoTitleDeleted val="0"/>
    <c:plotArea>
      <c:layout/>
      <c:barChart>
        <c:barDir val="col"/>
        <c:grouping val="clustered"/>
        <c:varyColors val="1"/>
        <c:ser>
          <c:idx val="0"/>
          <c:order val="0"/>
          <c:spPr>
            <a:solidFill>
              <a:schemeClr val="accent3">
                <a:lumMod val="75000"/>
              </a:schemeClr>
            </a:solidFill>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groups'!$B$22:$B$27</c:f>
              <c:numCache>
                <c:formatCode>0.00</c:formatCode>
                <c:ptCount val="6"/>
                <c:pt idx="0">
                  <c:v>4</c:v>
                </c:pt>
                <c:pt idx="1">
                  <c:v>2.5555555555555554</c:v>
                </c:pt>
                <c:pt idx="2">
                  <c:v>2.2777777777777777</c:v>
                </c:pt>
                <c:pt idx="3">
                  <c:v>3.3055555555555554</c:v>
                </c:pt>
                <c:pt idx="4">
                  <c:v>2.6666666666666665</c:v>
                </c:pt>
                <c:pt idx="5">
                  <c:v>2.5</c:v>
                </c:pt>
              </c:numCache>
            </c:numRef>
          </c:val>
        </c:ser>
        <c:dLbls>
          <c:showLegendKey val="0"/>
          <c:showVal val="0"/>
          <c:showCatName val="0"/>
          <c:showSerName val="0"/>
          <c:showPercent val="0"/>
          <c:showBubbleSize val="0"/>
        </c:dLbls>
        <c:gapWidth val="150"/>
        <c:axId val="146269696"/>
        <c:axId val="146271232"/>
      </c:barChart>
      <c:scatterChart>
        <c:scatterStyle val="lineMarker"/>
        <c:varyColors val="1"/>
        <c:ser>
          <c:idx val="1"/>
          <c:order val="1"/>
          <c:tx>
            <c:v>Benchmark</c:v>
          </c:tx>
          <c:spPr>
            <a:ln w="38100"/>
          </c:spPr>
          <c:marker>
            <c:symbol val="none"/>
          </c:marker>
          <c:xVal>
            <c:numRef>
              <c:f>'Averages - Both groups'!$M$3:$M$4</c:f>
              <c:numCache>
                <c:formatCode>General</c:formatCode>
                <c:ptCount val="2"/>
              </c:numCache>
            </c:numRef>
          </c:xVal>
          <c:yVal>
            <c:numRef>
              <c:f>'Averages - Both groups'!$N$22:$N$23</c:f>
              <c:numCache>
                <c:formatCode>General</c:formatCode>
                <c:ptCount val="2"/>
              </c:numCache>
            </c:numRef>
          </c:yVal>
          <c:smooth val="0"/>
        </c:ser>
        <c:dLbls>
          <c:showLegendKey val="0"/>
          <c:showVal val="0"/>
          <c:showCatName val="0"/>
          <c:showSerName val="0"/>
          <c:showPercent val="0"/>
          <c:showBubbleSize val="0"/>
        </c:dLbls>
        <c:axId val="146410112"/>
        <c:axId val="146408576"/>
      </c:scatterChart>
      <c:catAx>
        <c:axId val="146269696"/>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6271232"/>
        <c:crossesAt val="0"/>
        <c:auto val="1"/>
        <c:lblAlgn val="ctr"/>
        <c:lblOffset val="100"/>
        <c:noMultiLvlLbl val="0"/>
      </c:catAx>
      <c:valAx>
        <c:axId val="146271232"/>
        <c:scaling>
          <c:orientation val="minMax"/>
          <c:max val="5"/>
          <c:min val="0"/>
        </c:scaling>
        <c:delete val="0"/>
        <c:axPos val="l"/>
        <c:majorGridlines/>
        <c:title>
          <c:tx>
            <c:rich>
              <a:bodyPr rot="-5400000" vert="horz"/>
              <a:lstStyle/>
              <a:p>
                <a:pPr>
                  <a:defRPr/>
                </a:pPr>
                <a:r>
                  <a:rPr lang="en-GB" b="0" i="0" baseline="0"/>
                  <a:t>Satisfaction Rating</a:t>
                </a:r>
              </a:p>
            </c:rich>
          </c:tx>
          <c:overlay val="0"/>
        </c:title>
        <c:numFmt formatCode="0.0" sourceLinked="0"/>
        <c:majorTickMark val="out"/>
        <c:minorTickMark val="none"/>
        <c:tickLblPos val="nextTo"/>
        <c:spPr>
          <a:ln w="44450">
            <a:solidFill>
              <a:schemeClr val="tx1"/>
            </a:solidFill>
          </a:ln>
        </c:spPr>
        <c:crossAx val="146269696"/>
        <c:crossesAt val="1"/>
        <c:crossBetween val="between"/>
        <c:majorUnit val="1"/>
      </c:valAx>
      <c:valAx>
        <c:axId val="146408576"/>
        <c:scaling>
          <c:orientation val="minMax"/>
        </c:scaling>
        <c:delete val="1"/>
        <c:axPos val="r"/>
        <c:numFmt formatCode="General" sourceLinked="1"/>
        <c:majorTickMark val="out"/>
        <c:minorTickMark val="none"/>
        <c:tickLblPos val="none"/>
        <c:crossAx val="146410112"/>
        <c:crosses val="max"/>
        <c:crossBetween val="midCat"/>
      </c:valAx>
      <c:valAx>
        <c:axId val="146410112"/>
        <c:scaling>
          <c:orientation val="minMax"/>
          <c:max val="1"/>
          <c:min val="0"/>
        </c:scaling>
        <c:delete val="0"/>
        <c:axPos val="t"/>
        <c:numFmt formatCode="General" sourceLinked="1"/>
        <c:majorTickMark val="none"/>
        <c:minorTickMark val="none"/>
        <c:tickLblPos val="none"/>
        <c:crossAx val="146408576"/>
        <c:crosses val="max"/>
        <c:crossBetween val="midCat"/>
      </c:valAx>
      <c:spPr>
        <a:ln w="0">
          <a:noFill/>
        </a:ln>
      </c:spPr>
    </c:plotArea>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1b </a:t>
            </a:r>
            <a:r>
              <a:rPr lang="en-GB" sz="1800" b="1" i="0" u="none" strike="noStrike" baseline="0"/>
              <a:t>Efficiency</a:t>
            </a:r>
            <a:endParaRPr lang="en-GB"/>
          </a:p>
        </c:rich>
      </c:tx>
      <c:overlay val="0"/>
    </c:title>
    <c:autoTitleDeleted val="0"/>
    <c:plotArea>
      <c:layout/>
      <c:barChart>
        <c:barDir val="col"/>
        <c:grouping val="clustered"/>
        <c:varyColors val="0"/>
        <c:ser>
          <c:idx val="0"/>
          <c:order val="0"/>
          <c:spPr>
            <a:solidFill>
              <a:schemeClr val="accent6">
                <a:lumMod val="75000"/>
              </a:schemeClr>
            </a:solidFill>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groups'!$C$13:$C$18</c:f>
              <c:numCache>
                <c:formatCode>0.00</c:formatCode>
                <c:ptCount val="6"/>
                <c:pt idx="1">
                  <c:v>112.55555555555556</c:v>
                </c:pt>
                <c:pt idx="2">
                  <c:v>114.43478260869566</c:v>
                </c:pt>
                <c:pt idx="3">
                  <c:v>175.83333333333334</c:v>
                </c:pt>
                <c:pt idx="4">
                  <c:v>157.45833333333334</c:v>
                </c:pt>
                <c:pt idx="5">
                  <c:v>114.44444444444444</c:v>
                </c:pt>
              </c:numCache>
            </c:numRef>
          </c:val>
        </c:ser>
        <c:dLbls>
          <c:showLegendKey val="0"/>
          <c:showVal val="0"/>
          <c:showCatName val="0"/>
          <c:showSerName val="0"/>
          <c:showPercent val="0"/>
          <c:showBubbleSize val="0"/>
        </c:dLbls>
        <c:gapWidth val="150"/>
        <c:axId val="146436480"/>
        <c:axId val="146438016"/>
      </c:barChart>
      <c:scatterChart>
        <c:scatterStyle val="lineMarker"/>
        <c:varyColors val="0"/>
        <c:ser>
          <c:idx val="1"/>
          <c:order val="1"/>
          <c:tx>
            <c:v>Benchmark</c:v>
          </c:tx>
          <c:spPr>
            <a:ln w="38100"/>
          </c:spPr>
          <c:marker>
            <c:symbol val="none"/>
          </c:marker>
          <c:xVal>
            <c:numRef>
              <c:f>'Averages - Both groups'!$M$12:$M$13</c:f>
              <c:numCache>
                <c:formatCode>General</c:formatCode>
                <c:ptCount val="2"/>
              </c:numCache>
            </c:numRef>
          </c:xVal>
          <c:yVal>
            <c:numLit>
              <c:formatCode>General</c:formatCode>
              <c:ptCount val="2"/>
              <c:pt idx="0">
                <c:v>120</c:v>
              </c:pt>
              <c:pt idx="1">
                <c:v>120</c:v>
              </c:pt>
            </c:numLit>
          </c:yVal>
          <c:smooth val="0"/>
        </c:ser>
        <c:dLbls>
          <c:showLegendKey val="0"/>
          <c:showVal val="0"/>
          <c:showCatName val="0"/>
          <c:showSerName val="0"/>
          <c:showPercent val="0"/>
          <c:showBubbleSize val="0"/>
        </c:dLbls>
        <c:axId val="146454016"/>
        <c:axId val="146452480"/>
      </c:scatterChart>
      <c:catAx>
        <c:axId val="146436480"/>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6438016"/>
        <c:crossesAt val="0"/>
        <c:auto val="1"/>
        <c:lblAlgn val="ctr"/>
        <c:lblOffset val="100"/>
        <c:noMultiLvlLbl val="0"/>
      </c:catAx>
      <c:valAx>
        <c:axId val="146438016"/>
        <c:scaling>
          <c:orientation val="minMax"/>
          <c:max val="180"/>
          <c:min val="0"/>
        </c:scaling>
        <c:delete val="0"/>
        <c:axPos val="l"/>
        <c:majorGridlines/>
        <c:title>
          <c:tx>
            <c:rich>
              <a:bodyPr rot="-5400000" vert="horz"/>
              <a:lstStyle/>
              <a:p>
                <a:pPr>
                  <a:defRPr/>
                </a:pPr>
                <a:r>
                  <a:rPr lang="en-GB" b="0" i="0" baseline="0"/>
                  <a:t>Time on Task (Seconds)</a:t>
                </a:r>
              </a:p>
            </c:rich>
          </c:tx>
          <c:overlay val="0"/>
        </c:title>
        <c:numFmt formatCode="0.0" sourceLinked="0"/>
        <c:majorTickMark val="out"/>
        <c:minorTickMark val="none"/>
        <c:tickLblPos val="nextTo"/>
        <c:spPr>
          <a:ln w="44450">
            <a:solidFill>
              <a:schemeClr val="tx1"/>
            </a:solidFill>
          </a:ln>
        </c:spPr>
        <c:crossAx val="146436480"/>
        <c:crossesAt val="1"/>
        <c:crossBetween val="between"/>
        <c:majorUnit val="60"/>
      </c:valAx>
      <c:valAx>
        <c:axId val="146452480"/>
        <c:scaling>
          <c:orientation val="minMax"/>
          <c:max val="180"/>
        </c:scaling>
        <c:delete val="0"/>
        <c:axPos val="r"/>
        <c:numFmt formatCode="General" sourceLinked="1"/>
        <c:majorTickMark val="none"/>
        <c:minorTickMark val="none"/>
        <c:tickLblPos val="none"/>
        <c:crossAx val="146454016"/>
        <c:crosses val="max"/>
        <c:crossBetween val="midCat"/>
      </c:valAx>
      <c:valAx>
        <c:axId val="146454016"/>
        <c:scaling>
          <c:orientation val="minMax"/>
          <c:max val="1"/>
        </c:scaling>
        <c:delete val="0"/>
        <c:axPos val="t"/>
        <c:numFmt formatCode="General" sourceLinked="1"/>
        <c:majorTickMark val="none"/>
        <c:minorTickMark val="none"/>
        <c:tickLblPos val="none"/>
        <c:crossAx val="146452480"/>
        <c:crosses val="max"/>
        <c:crossBetween val="midCat"/>
      </c:valAx>
      <c:spPr>
        <a:ln w="0">
          <a:noFill/>
        </a:ln>
      </c:spPr>
    </c:plotArea>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1b </a:t>
            </a:r>
            <a:r>
              <a:rPr lang="en-GB" sz="1800" b="1" i="0" u="none" strike="noStrike" baseline="0"/>
              <a:t>Satisfaction</a:t>
            </a:r>
            <a:endParaRPr lang="en-GB"/>
          </a:p>
        </c:rich>
      </c:tx>
      <c:overlay val="0"/>
    </c:title>
    <c:autoTitleDeleted val="0"/>
    <c:plotArea>
      <c:layout/>
      <c:barChart>
        <c:barDir val="col"/>
        <c:grouping val="clustered"/>
        <c:varyColors val="1"/>
        <c:ser>
          <c:idx val="0"/>
          <c:order val="0"/>
          <c:spPr>
            <a:solidFill>
              <a:schemeClr val="accent3">
                <a:lumMod val="75000"/>
              </a:schemeClr>
            </a:solidFill>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groups'!$C$22:$C$27</c:f>
              <c:numCache>
                <c:formatCode>0.00</c:formatCode>
                <c:ptCount val="6"/>
                <c:pt idx="1">
                  <c:v>2.8333333333333335</c:v>
                </c:pt>
                <c:pt idx="2">
                  <c:v>2.8055555555555554</c:v>
                </c:pt>
                <c:pt idx="3">
                  <c:v>1.8055555555555556</c:v>
                </c:pt>
                <c:pt idx="4">
                  <c:v>2.4722222222222223</c:v>
                </c:pt>
                <c:pt idx="5">
                  <c:v>3.3333333333333335</c:v>
                </c:pt>
              </c:numCache>
            </c:numRef>
          </c:val>
        </c:ser>
        <c:dLbls>
          <c:showLegendKey val="0"/>
          <c:showVal val="0"/>
          <c:showCatName val="0"/>
          <c:showSerName val="0"/>
          <c:showPercent val="0"/>
          <c:showBubbleSize val="0"/>
        </c:dLbls>
        <c:gapWidth val="150"/>
        <c:axId val="146471936"/>
        <c:axId val="146477824"/>
      </c:barChart>
      <c:scatterChart>
        <c:scatterStyle val="lineMarker"/>
        <c:varyColors val="1"/>
        <c:ser>
          <c:idx val="1"/>
          <c:order val="1"/>
          <c:tx>
            <c:v>Benchmark</c:v>
          </c:tx>
          <c:spPr>
            <a:ln w="38100"/>
          </c:spPr>
          <c:marker>
            <c:symbol val="none"/>
          </c:marker>
          <c:xVal>
            <c:numRef>
              <c:f>'Averages - Both groups'!$M$3:$M$4</c:f>
              <c:numCache>
                <c:formatCode>General</c:formatCode>
                <c:ptCount val="2"/>
              </c:numCache>
            </c:numRef>
          </c:xVal>
          <c:yVal>
            <c:numRef>
              <c:f>'Averages - Both groups'!$N$22:$N$23</c:f>
              <c:numCache>
                <c:formatCode>General</c:formatCode>
                <c:ptCount val="2"/>
              </c:numCache>
            </c:numRef>
          </c:yVal>
          <c:smooth val="0"/>
        </c:ser>
        <c:dLbls>
          <c:showLegendKey val="0"/>
          <c:showVal val="0"/>
          <c:showCatName val="0"/>
          <c:showSerName val="0"/>
          <c:showPercent val="0"/>
          <c:showBubbleSize val="0"/>
        </c:dLbls>
        <c:axId val="146481536"/>
        <c:axId val="146479744"/>
      </c:scatterChart>
      <c:catAx>
        <c:axId val="146471936"/>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6477824"/>
        <c:crossesAt val="0"/>
        <c:auto val="1"/>
        <c:lblAlgn val="ctr"/>
        <c:lblOffset val="100"/>
        <c:noMultiLvlLbl val="0"/>
      </c:catAx>
      <c:valAx>
        <c:axId val="146477824"/>
        <c:scaling>
          <c:orientation val="minMax"/>
          <c:max val="5"/>
          <c:min val="0"/>
        </c:scaling>
        <c:delete val="0"/>
        <c:axPos val="l"/>
        <c:majorGridlines/>
        <c:title>
          <c:tx>
            <c:rich>
              <a:bodyPr rot="-5400000" vert="horz"/>
              <a:lstStyle/>
              <a:p>
                <a:pPr>
                  <a:defRPr/>
                </a:pPr>
                <a:r>
                  <a:rPr lang="en-GB" b="0" i="0" baseline="0"/>
                  <a:t>Satisfaction Rating</a:t>
                </a:r>
              </a:p>
            </c:rich>
          </c:tx>
          <c:overlay val="0"/>
        </c:title>
        <c:numFmt formatCode="0.0" sourceLinked="0"/>
        <c:majorTickMark val="out"/>
        <c:minorTickMark val="none"/>
        <c:tickLblPos val="nextTo"/>
        <c:spPr>
          <a:ln w="44450">
            <a:solidFill>
              <a:schemeClr val="tx1"/>
            </a:solidFill>
          </a:ln>
        </c:spPr>
        <c:crossAx val="146471936"/>
        <c:crossesAt val="1"/>
        <c:crossBetween val="between"/>
        <c:majorUnit val="1"/>
      </c:valAx>
      <c:valAx>
        <c:axId val="146479744"/>
        <c:scaling>
          <c:orientation val="minMax"/>
        </c:scaling>
        <c:delete val="1"/>
        <c:axPos val="r"/>
        <c:numFmt formatCode="General" sourceLinked="1"/>
        <c:majorTickMark val="out"/>
        <c:minorTickMark val="none"/>
        <c:tickLblPos val="none"/>
        <c:crossAx val="146481536"/>
        <c:crosses val="max"/>
        <c:crossBetween val="midCat"/>
      </c:valAx>
      <c:valAx>
        <c:axId val="146481536"/>
        <c:scaling>
          <c:orientation val="minMax"/>
          <c:max val="1"/>
          <c:min val="0"/>
        </c:scaling>
        <c:delete val="0"/>
        <c:axPos val="t"/>
        <c:numFmt formatCode="General" sourceLinked="1"/>
        <c:majorTickMark val="none"/>
        <c:minorTickMark val="none"/>
        <c:tickLblPos val="none"/>
        <c:crossAx val="146479744"/>
        <c:crosses val="max"/>
        <c:crossBetween val="midCat"/>
      </c:valAx>
      <c:spPr>
        <a:ln w="0">
          <a:noFill/>
        </a:ln>
      </c:spPr>
    </c:plotArea>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2 </a:t>
            </a:r>
            <a:r>
              <a:rPr lang="en-GB" sz="1800" b="1" i="0" u="none" strike="noStrike" baseline="0"/>
              <a:t>Effectiveness</a:t>
            </a:r>
            <a:endParaRPr lang="en-GB"/>
          </a:p>
        </c:rich>
      </c:tx>
      <c:overlay val="0"/>
    </c:title>
    <c:autoTitleDeleted val="0"/>
    <c:plotArea>
      <c:layout/>
      <c:barChart>
        <c:barDir val="col"/>
        <c:grouping val="clustered"/>
        <c:varyColors val="1"/>
        <c:ser>
          <c:idx val="0"/>
          <c:order val="0"/>
          <c:spPr>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groups'!$D$4:$D$9</c:f>
              <c:numCache>
                <c:formatCode>0.00</c:formatCode>
                <c:ptCount val="6"/>
                <c:pt idx="0">
                  <c:v>0.35416666666666669</c:v>
                </c:pt>
                <c:pt idx="1">
                  <c:v>0.16666666666666666</c:v>
                </c:pt>
                <c:pt idx="2">
                  <c:v>0.2638888888888889</c:v>
                </c:pt>
                <c:pt idx="3">
                  <c:v>6.9444444444444448E-2</c:v>
                </c:pt>
                <c:pt idx="4">
                  <c:v>0.15972222222222221</c:v>
                </c:pt>
                <c:pt idx="5">
                  <c:v>0.34027777777777779</c:v>
                </c:pt>
              </c:numCache>
            </c:numRef>
          </c:val>
        </c:ser>
        <c:dLbls>
          <c:showLegendKey val="0"/>
          <c:showVal val="0"/>
          <c:showCatName val="0"/>
          <c:showSerName val="0"/>
          <c:showPercent val="0"/>
          <c:showBubbleSize val="0"/>
        </c:dLbls>
        <c:gapWidth val="150"/>
        <c:axId val="146515840"/>
        <c:axId val="146517376"/>
      </c:barChart>
      <c:scatterChart>
        <c:scatterStyle val="lineMarker"/>
        <c:varyColors val="1"/>
        <c:ser>
          <c:idx val="1"/>
          <c:order val="1"/>
          <c:tx>
            <c:strRef>
              <c:f>'Averages - Both groups'!$P$2</c:f>
              <c:strCache>
                <c:ptCount val="1"/>
              </c:strCache>
            </c:strRef>
          </c:tx>
          <c:spPr>
            <a:ln w="38100"/>
          </c:spPr>
          <c:marker>
            <c:symbol val="none"/>
          </c:marker>
          <c:xVal>
            <c:numRef>
              <c:f>'Averages - Both groups'!$M$3:$M$4</c:f>
              <c:numCache>
                <c:formatCode>General</c:formatCode>
                <c:ptCount val="2"/>
              </c:numCache>
            </c:numRef>
          </c:xVal>
          <c:yVal>
            <c:numRef>
              <c:f>'Averages - Both groups'!$N$3:$N$4</c:f>
              <c:numCache>
                <c:formatCode>General</c:formatCode>
                <c:ptCount val="2"/>
              </c:numCache>
            </c:numRef>
          </c:yVal>
          <c:smooth val="0"/>
        </c:ser>
        <c:dLbls>
          <c:showLegendKey val="0"/>
          <c:showVal val="0"/>
          <c:showCatName val="0"/>
          <c:showSerName val="0"/>
          <c:showPercent val="0"/>
          <c:showBubbleSize val="0"/>
        </c:dLbls>
        <c:axId val="146529280"/>
        <c:axId val="146527744"/>
      </c:scatterChart>
      <c:catAx>
        <c:axId val="146515840"/>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6517376"/>
        <c:crossesAt val="0"/>
        <c:auto val="1"/>
        <c:lblAlgn val="ctr"/>
        <c:lblOffset val="100"/>
        <c:noMultiLvlLbl val="0"/>
      </c:catAx>
      <c:valAx>
        <c:axId val="146517376"/>
        <c:scaling>
          <c:orientation val="minMax"/>
          <c:max val="1"/>
          <c:min val="0"/>
        </c:scaling>
        <c:delete val="0"/>
        <c:axPos val="l"/>
        <c:majorGridlines/>
        <c:title>
          <c:tx>
            <c:rich>
              <a:bodyPr rot="-5400000" vert="horz"/>
              <a:lstStyle/>
              <a:p>
                <a:pPr>
                  <a:defRPr/>
                </a:pPr>
                <a:r>
                  <a:rPr lang="en-GB" b="0" i="0" baseline="0"/>
                  <a:t>Task Completion Rate</a:t>
                </a:r>
              </a:p>
            </c:rich>
          </c:tx>
          <c:overlay val="0"/>
        </c:title>
        <c:numFmt formatCode="0.0" sourceLinked="0"/>
        <c:majorTickMark val="out"/>
        <c:minorTickMark val="none"/>
        <c:tickLblPos val="nextTo"/>
        <c:spPr>
          <a:ln w="44450">
            <a:solidFill>
              <a:schemeClr val="tx1"/>
            </a:solidFill>
          </a:ln>
        </c:spPr>
        <c:crossAx val="146515840"/>
        <c:crossesAt val="1"/>
        <c:crossBetween val="between"/>
        <c:majorUnit val="0.2"/>
      </c:valAx>
      <c:valAx>
        <c:axId val="146527744"/>
        <c:scaling>
          <c:orientation val="minMax"/>
        </c:scaling>
        <c:delete val="1"/>
        <c:axPos val="r"/>
        <c:numFmt formatCode="General" sourceLinked="1"/>
        <c:majorTickMark val="out"/>
        <c:minorTickMark val="none"/>
        <c:tickLblPos val="none"/>
        <c:crossAx val="146529280"/>
        <c:crosses val="max"/>
        <c:crossBetween val="midCat"/>
      </c:valAx>
      <c:valAx>
        <c:axId val="146529280"/>
        <c:scaling>
          <c:orientation val="minMax"/>
          <c:max val="1"/>
          <c:min val="0"/>
        </c:scaling>
        <c:delete val="0"/>
        <c:axPos val="t"/>
        <c:numFmt formatCode="General" sourceLinked="1"/>
        <c:majorTickMark val="none"/>
        <c:minorTickMark val="none"/>
        <c:tickLblPos val="none"/>
        <c:crossAx val="146527744"/>
        <c:crosses val="max"/>
        <c:crossBetween val="midCat"/>
      </c:valAx>
      <c:spPr>
        <a:ln w="0">
          <a:noFill/>
        </a:ln>
      </c:spPr>
    </c:plotArea>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Effectiveness - Education</a:t>
            </a:r>
            <a:r>
              <a:rPr lang="en-GB" baseline="0"/>
              <a:t> Level</a:t>
            </a:r>
            <a:endParaRPr lang="en-GB"/>
          </a:p>
        </c:rich>
      </c:tx>
      <c:overlay val="0"/>
    </c:title>
    <c:autoTitleDeleted val="0"/>
    <c:plotArea>
      <c:layout/>
      <c:barChart>
        <c:barDir val="col"/>
        <c:grouping val="clustered"/>
        <c:varyColors val="1"/>
        <c:ser>
          <c:idx val="0"/>
          <c:order val="0"/>
          <c:spPr>
            <a:ln>
              <a:noFill/>
            </a:ln>
            <a:effectLst/>
          </c:spPr>
          <c:invertIfNegative val="0"/>
          <c:cat>
            <c:strRef>
              <c:f>'Demographic Analysis - Group B'!$N$36:$N$37</c:f>
              <c:strCache>
                <c:ptCount val="2"/>
                <c:pt idx="0">
                  <c:v>Below degree level education</c:v>
                </c:pt>
                <c:pt idx="1">
                  <c:v>Degree level education or above</c:v>
                </c:pt>
              </c:strCache>
            </c:strRef>
          </c:cat>
          <c:val>
            <c:numRef>
              <c:f>'Demographic Analysis - Group B'!$O$36:$O$37</c:f>
              <c:numCache>
                <c:formatCode>0.00</c:formatCode>
                <c:ptCount val="2"/>
                <c:pt idx="0">
                  <c:v>32.888257575757571</c:v>
                </c:pt>
                <c:pt idx="1">
                  <c:v>41.856060606060609</c:v>
                </c:pt>
              </c:numCache>
            </c:numRef>
          </c:val>
        </c:ser>
        <c:dLbls>
          <c:showLegendKey val="0"/>
          <c:showVal val="0"/>
          <c:showCatName val="0"/>
          <c:showSerName val="0"/>
          <c:showPercent val="0"/>
          <c:showBubbleSize val="0"/>
        </c:dLbls>
        <c:gapWidth val="150"/>
        <c:axId val="143357440"/>
        <c:axId val="143358976"/>
      </c:barChart>
      <c:catAx>
        <c:axId val="143357440"/>
        <c:scaling>
          <c:orientation val="minMax"/>
        </c:scaling>
        <c:delete val="0"/>
        <c:axPos val="b"/>
        <c:majorTickMark val="out"/>
        <c:minorTickMark val="none"/>
        <c:tickLblPos val="nextTo"/>
        <c:spPr>
          <a:ln w="44450">
            <a:solidFill>
              <a:sysClr val="windowText" lastClr="000000"/>
            </a:solidFill>
          </a:ln>
        </c:spPr>
        <c:txPr>
          <a:bodyPr rot="0"/>
          <a:lstStyle/>
          <a:p>
            <a:pPr>
              <a:defRPr/>
            </a:pPr>
            <a:endParaRPr lang="en-US"/>
          </a:p>
        </c:txPr>
        <c:crossAx val="143358976"/>
        <c:crossesAt val="0"/>
        <c:auto val="1"/>
        <c:lblAlgn val="ctr"/>
        <c:lblOffset val="100"/>
        <c:noMultiLvlLbl val="0"/>
      </c:catAx>
      <c:valAx>
        <c:axId val="143358976"/>
        <c:scaling>
          <c:orientation val="minMax"/>
          <c:max val="100"/>
          <c:min val="0"/>
        </c:scaling>
        <c:delete val="0"/>
        <c:axPos val="l"/>
        <c:majorGridlines/>
        <c:title>
          <c:tx>
            <c:rich>
              <a:bodyPr rot="-5400000" vert="horz"/>
              <a:lstStyle/>
              <a:p>
                <a:pPr>
                  <a:defRPr/>
                </a:pPr>
                <a:r>
                  <a:rPr lang="en-GB" b="0" i="0" baseline="0"/>
                  <a:t>Task Completion Rate (%)</a:t>
                </a:r>
              </a:p>
            </c:rich>
          </c:tx>
          <c:overlay val="0"/>
        </c:title>
        <c:numFmt formatCode="0" sourceLinked="0"/>
        <c:majorTickMark val="out"/>
        <c:minorTickMark val="none"/>
        <c:tickLblPos val="nextTo"/>
        <c:spPr>
          <a:ln w="44450">
            <a:solidFill>
              <a:schemeClr val="tx1"/>
            </a:solidFill>
          </a:ln>
        </c:spPr>
        <c:crossAx val="143357440"/>
        <c:crossesAt val="1"/>
        <c:crossBetween val="between"/>
        <c:majorUnit val="20"/>
      </c:valAx>
      <c:spPr>
        <a:ln w="0">
          <a:noFill/>
        </a:ln>
      </c:spPr>
    </c:plotArea>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2 </a:t>
            </a:r>
            <a:r>
              <a:rPr lang="en-GB" sz="1800" b="1" i="0" u="none" strike="noStrike" baseline="0"/>
              <a:t>Efficiency</a:t>
            </a:r>
            <a:endParaRPr lang="en-GB"/>
          </a:p>
        </c:rich>
      </c:tx>
      <c:overlay val="0"/>
    </c:title>
    <c:autoTitleDeleted val="0"/>
    <c:plotArea>
      <c:layout/>
      <c:barChart>
        <c:barDir val="col"/>
        <c:grouping val="clustered"/>
        <c:varyColors val="0"/>
        <c:ser>
          <c:idx val="0"/>
          <c:order val="0"/>
          <c:spPr>
            <a:solidFill>
              <a:schemeClr val="accent6">
                <a:lumMod val="75000"/>
              </a:schemeClr>
            </a:solidFill>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groups'!$D$13:$D$18</c:f>
              <c:numCache>
                <c:formatCode>0.00</c:formatCode>
                <c:ptCount val="6"/>
                <c:pt idx="0">
                  <c:v>126.14285714285714</c:v>
                </c:pt>
                <c:pt idx="1">
                  <c:v>138.73333333333332</c:v>
                </c:pt>
                <c:pt idx="2">
                  <c:v>162.85</c:v>
                </c:pt>
                <c:pt idx="3">
                  <c:v>132.57142857142858</c:v>
                </c:pt>
                <c:pt idx="4">
                  <c:v>124.34782608695652</c:v>
                </c:pt>
                <c:pt idx="5">
                  <c:v>115.22727272727273</c:v>
                </c:pt>
              </c:numCache>
            </c:numRef>
          </c:val>
        </c:ser>
        <c:dLbls>
          <c:showLegendKey val="0"/>
          <c:showVal val="0"/>
          <c:showCatName val="0"/>
          <c:showSerName val="0"/>
          <c:showPercent val="0"/>
          <c:showBubbleSize val="0"/>
        </c:dLbls>
        <c:gapWidth val="150"/>
        <c:axId val="146576128"/>
        <c:axId val="146577664"/>
      </c:barChart>
      <c:scatterChart>
        <c:scatterStyle val="lineMarker"/>
        <c:varyColors val="0"/>
        <c:ser>
          <c:idx val="1"/>
          <c:order val="1"/>
          <c:tx>
            <c:v>Benchmark</c:v>
          </c:tx>
          <c:spPr>
            <a:ln w="38100"/>
          </c:spPr>
          <c:marker>
            <c:symbol val="none"/>
          </c:marker>
          <c:xVal>
            <c:numRef>
              <c:f>'Averages - Both groups'!$M$12:$M$13</c:f>
              <c:numCache>
                <c:formatCode>General</c:formatCode>
                <c:ptCount val="2"/>
              </c:numCache>
            </c:numRef>
          </c:xVal>
          <c:yVal>
            <c:numLit>
              <c:formatCode>General</c:formatCode>
              <c:ptCount val="2"/>
              <c:pt idx="0">
                <c:v>120</c:v>
              </c:pt>
              <c:pt idx="1">
                <c:v>120</c:v>
              </c:pt>
            </c:numLit>
          </c:yVal>
          <c:smooth val="0"/>
        </c:ser>
        <c:dLbls>
          <c:showLegendKey val="0"/>
          <c:showVal val="0"/>
          <c:showCatName val="0"/>
          <c:showSerName val="0"/>
          <c:showPercent val="0"/>
          <c:showBubbleSize val="0"/>
        </c:dLbls>
        <c:axId val="146581376"/>
        <c:axId val="146579840"/>
      </c:scatterChart>
      <c:catAx>
        <c:axId val="146576128"/>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6577664"/>
        <c:crossesAt val="0"/>
        <c:auto val="1"/>
        <c:lblAlgn val="ctr"/>
        <c:lblOffset val="100"/>
        <c:noMultiLvlLbl val="0"/>
      </c:catAx>
      <c:valAx>
        <c:axId val="146577664"/>
        <c:scaling>
          <c:orientation val="minMax"/>
          <c:max val="180"/>
          <c:min val="0"/>
        </c:scaling>
        <c:delete val="0"/>
        <c:axPos val="l"/>
        <c:majorGridlines/>
        <c:title>
          <c:tx>
            <c:rich>
              <a:bodyPr rot="-5400000" vert="horz"/>
              <a:lstStyle/>
              <a:p>
                <a:pPr>
                  <a:defRPr/>
                </a:pPr>
                <a:r>
                  <a:rPr lang="en-GB" b="0" i="0" baseline="0"/>
                  <a:t>Time on Task (Seconds)</a:t>
                </a:r>
              </a:p>
            </c:rich>
          </c:tx>
          <c:overlay val="0"/>
        </c:title>
        <c:numFmt formatCode="0.0" sourceLinked="0"/>
        <c:majorTickMark val="out"/>
        <c:minorTickMark val="none"/>
        <c:tickLblPos val="nextTo"/>
        <c:spPr>
          <a:ln w="44450">
            <a:solidFill>
              <a:schemeClr val="tx1"/>
            </a:solidFill>
          </a:ln>
        </c:spPr>
        <c:crossAx val="146576128"/>
        <c:crossesAt val="1"/>
        <c:crossBetween val="between"/>
        <c:majorUnit val="60"/>
      </c:valAx>
      <c:valAx>
        <c:axId val="146579840"/>
        <c:scaling>
          <c:orientation val="minMax"/>
          <c:max val="180"/>
        </c:scaling>
        <c:delete val="0"/>
        <c:axPos val="r"/>
        <c:numFmt formatCode="General" sourceLinked="1"/>
        <c:majorTickMark val="none"/>
        <c:minorTickMark val="none"/>
        <c:tickLblPos val="none"/>
        <c:crossAx val="146581376"/>
        <c:crosses val="max"/>
        <c:crossBetween val="midCat"/>
      </c:valAx>
      <c:valAx>
        <c:axId val="146581376"/>
        <c:scaling>
          <c:orientation val="minMax"/>
          <c:max val="1"/>
        </c:scaling>
        <c:delete val="0"/>
        <c:axPos val="t"/>
        <c:numFmt formatCode="General" sourceLinked="1"/>
        <c:majorTickMark val="none"/>
        <c:minorTickMark val="none"/>
        <c:tickLblPos val="none"/>
        <c:crossAx val="146579840"/>
        <c:crosses val="max"/>
        <c:crossBetween val="midCat"/>
      </c:valAx>
      <c:spPr>
        <a:ln w="0">
          <a:noFill/>
        </a:ln>
      </c:spPr>
    </c:plotArea>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2 </a:t>
            </a:r>
            <a:r>
              <a:rPr lang="en-GB" sz="1800" b="1" i="0" u="none" strike="noStrike" baseline="0"/>
              <a:t>Satisfaction</a:t>
            </a:r>
            <a:endParaRPr lang="en-GB"/>
          </a:p>
        </c:rich>
      </c:tx>
      <c:overlay val="0"/>
    </c:title>
    <c:autoTitleDeleted val="0"/>
    <c:plotArea>
      <c:layout/>
      <c:barChart>
        <c:barDir val="col"/>
        <c:grouping val="clustered"/>
        <c:varyColors val="1"/>
        <c:ser>
          <c:idx val="0"/>
          <c:order val="0"/>
          <c:spPr>
            <a:solidFill>
              <a:schemeClr val="accent3">
                <a:lumMod val="75000"/>
              </a:schemeClr>
            </a:solidFill>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groups'!$D$22:$D$27</c:f>
              <c:numCache>
                <c:formatCode>0.00</c:formatCode>
                <c:ptCount val="6"/>
                <c:pt idx="0">
                  <c:v>2.9444444444444446</c:v>
                </c:pt>
                <c:pt idx="1">
                  <c:v>3</c:v>
                </c:pt>
                <c:pt idx="2">
                  <c:v>2.5</c:v>
                </c:pt>
                <c:pt idx="3">
                  <c:v>2</c:v>
                </c:pt>
                <c:pt idx="4">
                  <c:v>2.7777777777777777</c:v>
                </c:pt>
                <c:pt idx="5">
                  <c:v>2.8888888888888888</c:v>
                </c:pt>
              </c:numCache>
            </c:numRef>
          </c:val>
        </c:ser>
        <c:dLbls>
          <c:showLegendKey val="0"/>
          <c:showVal val="0"/>
          <c:showCatName val="0"/>
          <c:showSerName val="0"/>
          <c:showPercent val="0"/>
          <c:showBubbleSize val="0"/>
        </c:dLbls>
        <c:gapWidth val="150"/>
        <c:axId val="146603392"/>
        <c:axId val="146621568"/>
      </c:barChart>
      <c:scatterChart>
        <c:scatterStyle val="lineMarker"/>
        <c:varyColors val="1"/>
        <c:ser>
          <c:idx val="1"/>
          <c:order val="1"/>
          <c:tx>
            <c:v>Benchmark</c:v>
          </c:tx>
          <c:spPr>
            <a:ln w="38100"/>
          </c:spPr>
          <c:marker>
            <c:symbol val="none"/>
          </c:marker>
          <c:xVal>
            <c:numRef>
              <c:f>'Averages - Both groups'!$M$3:$M$4</c:f>
              <c:numCache>
                <c:formatCode>General</c:formatCode>
                <c:ptCount val="2"/>
              </c:numCache>
            </c:numRef>
          </c:xVal>
          <c:yVal>
            <c:numRef>
              <c:f>'Averages - Both groups'!$N$22:$N$23</c:f>
              <c:numCache>
                <c:formatCode>General</c:formatCode>
                <c:ptCount val="2"/>
              </c:numCache>
            </c:numRef>
          </c:yVal>
          <c:smooth val="0"/>
        </c:ser>
        <c:dLbls>
          <c:showLegendKey val="0"/>
          <c:showVal val="0"/>
          <c:showCatName val="0"/>
          <c:showSerName val="0"/>
          <c:showPercent val="0"/>
          <c:showBubbleSize val="0"/>
        </c:dLbls>
        <c:axId val="146629376"/>
        <c:axId val="146623488"/>
      </c:scatterChart>
      <c:catAx>
        <c:axId val="146603392"/>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6621568"/>
        <c:crossesAt val="0"/>
        <c:auto val="1"/>
        <c:lblAlgn val="ctr"/>
        <c:lblOffset val="100"/>
        <c:noMultiLvlLbl val="0"/>
      </c:catAx>
      <c:valAx>
        <c:axId val="146621568"/>
        <c:scaling>
          <c:orientation val="minMax"/>
          <c:max val="5"/>
          <c:min val="0"/>
        </c:scaling>
        <c:delete val="0"/>
        <c:axPos val="l"/>
        <c:majorGridlines/>
        <c:title>
          <c:tx>
            <c:rich>
              <a:bodyPr rot="-5400000" vert="horz"/>
              <a:lstStyle/>
              <a:p>
                <a:pPr>
                  <a:defRPr/>
                </a:pPr>
                <a:r>
                  <a:rPr lang="en-GB" b="0" i="0" baseline="0"/>
                  <a:t>Satisfaction Rating</a:t>
                </a:r>
              </a:p>
            </c:rich>
          </c:tx>
          <c:overlay val="0"/>
        </c:title>
        <c:numFmt formatCode="0.0" sourceLinked="0"/>
        <c:majorTickMark val="out"/>
        <c:minorTickMark val="none"/>
        <c:tickLblPos val="nextTo"/>
        <c:spPr>
          <a:ln w="44450">
            <a:solidFill>
              <a:schemeClr val="tx1"/>
            </a:solidFill>
          </a:ln>
        </c:spPr>
        <c:crossAx val="146603392"/>
        <c:crossesAt val="1"/>
        <c:crossBetween val="between"/>
        <c:majorUnit val="1"/>
      </c:valAx>
      <c:valAx>
        <c:axId val="146623488"/>
        <c:scaling>
          <c:orientation val="minMax"/>
        </c:scaling>
        <c:delete val="1"/>
        <c:axPos val="r"/>
        <c:numFmt formatCode="General" sourceLinked="1"/>
        <c:majorTickMark val="out"/>
        <c:minorTickMark val="none"/>
        <c:tickLblPos val="none"/>
        <c:crossAx val="146629376"/>
        <c:crosses val="max"/>
        <c:crossBetween val="midCat"/>
      </c:valAx>
      <c:valAx>
        <c:axId val="146629376"/>
        <c:scaling>
          <c:orientation val="minMax"/>
          <c:max val="1"/>
          <c:min val="0"/>
        </c:scaling>
        <c:delete val="0"/>
        <c:axPos val="t"/>
        <c:numFmt formatCode="General" sourceLinked="1"/>
        <c:majorTickMark val="none"/>
        <c:minorTickMark val="none"/>
        <c:tickLblPos val="none"/>
        <c:crossAx val="146623488"/>
        <c:crosses val="max"/>
        <c:crossBetween val="midCat"/>
      </c:valAx>
      <c:spPr>
        <a:ln w="0">
          <a:noFill/>
        </a:ln>
      </c:spPr>
    </c:plotArea>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3 </a:t>
            </a:r>
            <a:r>
              <a:rPr lang="en-GB" sz="1800" b="1" i="0" u="none" strike="noStrike" baseline="0"/>
              <a:t>Effectiveness</a:t>
            </a:r>
            <a:endParaRPr lang="en-GB"/>
          </a:p>
        </c:rich>
      </c:tx>
      <c:overlay val="0"/>
    </c:title>
    <c:autoTitleDeleted val="0"/>
    <c:plotArea>
      <c:layout/>
      <c:barChart>
        <c:barDir val="col"/>
        <c:grouping val="clustered"/>
        <c:varyColors val="1"/>
        <c:ser>
          <c:idx val="0"/>
          <c:order val="0"/>
          <c:spPr>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groups'!$E$4:$E$9</c:f>
              <c:numCache>
                <c:formatCode>0.00</c:formatCode>
                <c:ptCount val="6"/>
                <c:pt idx="0">
                  <c:v>0.1388888888888889</c:v>
                </c:pt>
                <c:pt idx="1">
                  <c:v>0.36805555555555558</c:v>
                </c:pt>
                <c:pt idx="2">
                  <c:v>0.45833333333333331</c:v>
                </c:pt>
                <c:pt idx="3">
                  <c:v>0.19444444444444445</c:v>
                </c:pt>
                <c:pt idx="4">
                  <c:v>0.46527777777777779</c:v>
                </c:pt>
                <c:pt idx="5">
                  <c:v>0.75694444444444442</c:v>
                </c:pt>
              </c:numCache>
            </c:numRef>
          </c:val>
        </c:ser>
        <c:dLbls>
          <c:showLegendKey val="0"/>
          <c:showVal val="0"/>
          <c:showCatName val="0"/>
          <c:showSerName val="0"/>
          <c:showPercent val="0"/>
          <c:showBubbleSize val="0"/>
        </c:dLbls>
        <c:gapWidth val="150"/>
        <c:axId val="146659968"/>
        <c:axId val="146665856"/>
      </c:barChart>
      <c:scatterChart>
        <c:scatterStyle val="lineMarker"/>
        <c:varyColors val="1"/>
        <c:ser>
          <c:idx val="1"/>
          <c:order val="1"/>
          <c:tx>
            <c:strRef>
              <c:f>'Averages - Both groups'!$P$2</c:f>
              <c:strCache>
                <c:ptCount val="1"/>
              </c:strCache>
            </c:strRef>
          </c:tx>
          <c:spPr>
            <a:ln w="38100"/>
          </c:spPr>
          <c:marker>
            <c:symbol val="none"/>
          </c:marker>
          <c:xVal>
            <c:numRef>
              <c:f>'Averages - Both groups'!$M$3:$M$4</c:f>
              <c:numCache>
                <c:formatCode>General</c:formatCode>
                <c:ptCount val="2"/>
              </c:numCache>
            </c:numRef>
          </c:xVal>
          <c:yVal>
            <c:numRef>
              <c:f>'Averages - Both groups'!$N$3:$N$4</c:f>
              <c:numCache>
                <c:formatCode>General</c:formatCode>
                <c:ptCount val="2"/>
              </c:numCache>
            </c:numRef>
          </c:yVal>
          <c:smooth val="0"/>
        </c:ser>
        <c:dLbls>
          <c:showLegendKey val="0"/>
          <c:showVal val="0"/>
          <c:showCatName val="0"/>
          <c:showSerName val="0"/>
          <c:showPercent val="0"/>
          <c:showBubbleSize val="0"/>
        </c:dLbls>
        <c:axId val="146739200"/>
        <c:axId val="146667776"/>
      </c:scatterChart>
      <c:catAx>
        <c:axId val="146659968"/>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6665856"/>
        <c:crossesAt val="0"/>
        <c:auto val="1"/>
        <c:lblAlgn val="ctr"/>
        <c:lblOffset val="100"/>
        <c:noMultiLvlLbl val="0"/>
      </c:catAx>
      <c:valAx>
        <c:axId val="146665856"/>
        <c:scaling>
          <c:orientation val="minMax"/>
          <c:max val="1"/>
          <c:min val="0"/>
        </c:scaling>
        <c:delete val="0"/>
        <c:axPos val="l"/>
        <c:majorGridlines/>
        <c:title>
          <c:tx>
            <c:rich>
              <a:bodyPr rot="-5400000" vert="horz"/>
              <a:lstStyle/>
              <a:p>
                <a:pPr>
                  <a:defRPr/>
                </a:pPr>
                <a:r>
                  <a:rPr lang="en-GB" b="0" i="0" baseline="0"/>
                  <a:t>Task Completion Rate</a:t>
                </a:r>
              </a:p>
            </c:rich>
          </c:tx>
          <c:overlay val="0"/>
        </c:title>
        <c:numFmt formatCode="0.0" sourceLinked="0"/>
        <c:majorTickMark val="out"/>
        <c:minorTickMark val="none"/>
        <c:tickLblPos val="nextTo"/>
        <c:spPr>
          <a:ln w="44450">
            <a:solidFill>
              <a:schemeClr val="tx1"/>
            </a:solidFill>
          </a:ln>
        </c:spPr>
        <c:crossAx val="146659968"/>
        <c:crossesAt val="1"/>
        <c:crossBetween val="between"/>
        <c:majorUnit val="0.2"/>
      </c:valAx>
      <c:valAx>
        <c:axId val="146667776"/>
        <c:scaling>
          <c:orientation val="minMax"/>
        </c:scaling>
        <c:delete val="1"/>
        <c:axPos val="r"/>
        <c:numFmt formatCode="General" sourceLinked="1"/>
        <c:majorTickMark val="out"/>
        <c:minorTickMark val="none"/>
        <c:tickLblPos val="none"/>
        <c:crossAx val="146739200"/>
        <c:crosses val="max"/>
        <c:crossBetween val="midCat"/>
      </c:valAx>
      <c:valAx>
        <c:axId val="146739200"/>
        <c:scaling>
          <c:orientation val="minMax"/>
          <c:max val="1"/>
          <c:min val="0"/>
        </c:scaling>
        <c:delete val="0"/>
        <c:axPos val="t"/>
        <c:numFmt formatCode="General" sourceLinked="1"/>
        <c:majorTickMark val="none"/>
        <c:minorTickMark val="none"/>
        <c:tickLblPos val="none"/>
        <c:crossAx val="146667776"/>
        <c:crosses val="max"/>
        <c:crossBetween val="midCat"/>
      </c:valAx>
      <c:spPr>
        <a:ln w="0">
          <a:noFill/>
        </a:ln>
      </c:spPr>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3 </a:t>
            </a:r>
            <a:r>
              <a:rPr lang="en-GB" sz="1800" b="1" i="0" u="none" strike="noStrike" baseline="0"/>
              <a:t>Efficiency</a:t>
            </a:r>
            <a:endParaRPr lang="en-GB"/>
          </a:p>
        </c:rich>
      </c:tx>
      <c:overlay val="0"/>
    </c:title>
    <c:autoTitleDeleted val="0"/>
    <c:plotArea>
      <c:layout/>
      <c:barChart>
        <c:barDir val="col"/>
        <c:grouping val="clustered"/>
        <c:varyColors val="0"/>
        <c:ser>
          <c:idx val="0"/>
          <c:order val="0"/>
          <c:spPr>
            <a:solidFill>
              <a:schemeClr val="accent6">
                <a:lumMod val="75000"/>
              </a:schemeClr>
            </a:solidFill>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groups'!$E$13:$E$18</c:f>
              <c:numCache>
                <c:formatCode>0.00</c:formatCode>
                <c:ptCount val="6"/>
                <c:pt idx="0">
                  <c:v>82.75</c:v>
                </c:pt>
                <c:pt idx="1">
                  <c:v>74.214285714285708</c:v>
                </c:pt>
                <c:pt idx="2">
                  <c:v>89.333333333333329</c:v>
                </c:pt>
                <c:pt idx="3">
                  <c:v>104</c:v>
                </c:pt>
                <c:pt idx="4">
                  <c:v>115.94736842105263</c:v>
                </c:pt>
                <c:pt idx="5">
                  <c:v>54</c:v>
                </c:pt>
              </c:numCache>
            </c:numRef>
          </c:val>
        </c:ser>
        <c:dLbls>
          <c:showLegendKey val="0"/>
          <c:showVal val="0"/>
          <c:showCatName val="0"/>
          <c:showSerName val="0"/>
          <c:showPercent val="0"/>
          <c:showBubbleSize val="0"/>
        </c:dLbls>
        <c:gapWidth val="150"/>
        <c:axId val="146773504"/>
        <c:axId val="146775040"/>
      </c:barChart>
      <c:scatterChart>
        <c:scatterStyle val="lineMarker"/>
        <c:varyColors val="0"/>
        <c:ser>
          <c:idx val="1"/>
          <c:order val="1"/>
          <c:tx>
            <c:v>Benchmark</c:v>
          </c:tx>
          <c:spPr>
            <a:ln w="38100"/>
          </c:spPr>
          <c:marker>
            <c:symbol val="none"/>
          </c:marker>
          <c:xVal>
            <c:numRef>
              <c:f>'Averages - Both groups'!$M$12:$M$13</c:f>
              <c:numCache>
                <c:formatCode>General</c:formatCode>
                <c:ptCount val="2"/>
              </c:numCache>
            </c:numRef>
          </c:xVal>
          <c:yVal>
            <c:numLit>
              <c:formatCode>General</c:formatCode>
              <c:ptCount val="2"/>
              <c:pt idx="0">
                <c:v>60</c:v>
              </c:pt>
              <c:pt idx="1">
                <c:v>60</c:v>
              </c:pt>
            </c:numLit>
          </c:yVal>
          <c:smooth val="0"/>
        </c:ser>
        <c:dLbls>
          <c:showLegendKey val="0"/>
          <c:showVal val="0"/>
          <c:showCatName val="0"/>
          <c:showSerName val="0"/>
          <c:showPercent val="0"/>
          <c:showBubbleSize val="0"/>
        </c:dLbls>
        <c:axId val="146782848"/>
        <c:axId val="146781312"/>
      </c:scatterChart>
      <c:catAx>
        <c:axId val="146773504"/>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6775040"/>
        <c:crossesAt val="0"/>
        <c:auto val="1"/>
        <c:lblAlgn val="ctr"/>
        <c:lblOffset val="100"/>
        <c:noMultiLvlLbl val="0"/>
      </c:catAx>
      <c:valAx>
        <c:axId val="146775040"/>
        <c:scaling>
          <c:orientation val="minMax"/>
          <c:max val="180"/>
          <c:min val="0"/>
        </c:scaling>
        <c:delete val="0"/>
        <c:axPos val="l"/>
        <c:majorGridlines/>
        <c:title>
          <c:tx>
            <c:rich>
              <a:bodyPr rot="-5400000" vert="horz"/>
              <a:lstStyle/>
              <a:p>
                <a:pPr>
                  <a:defRPr/>
                </a:pPr>
                <a:r>
                  <a:rPr lang="en-GB" b="0" i="0" baseline="0"/>
                  <a:t>Time on Task (Seconds)</a:t>
                </a:r>
              </a:p>
            </c:rich>
          </c:tx>
          <c:overlay val="0"/>
        </c:title>
        <c:numFmt formatCode="0.0" sourceLinked="0"/>
        <c:majorTickMark val="out"/>
        <c:minorTickMark val="none"/>
        <c:tickLblPos val="nextTo"/>
        <c:spPr>
          <a:ln w="44450">
            <a:solidFill>
              <a:schemeClr val="tx1"/>
            </a:solidFill>
          </a:ln>
        </c:spPr>
        <c:crossAx val="146773504"/>
        <c:crossesAt val="1"/>
        <c:crossBetween val="between"/>
        <c:majorUnit val="60"/>
      </c:valAx>
      <c:valAx>
        <c:axId val="146781312"/>
        <c:scaling>
          <c:orientation val="minMax"/>
          <c:max val="180"/>
        </c:scaling>
        <c:delete val="0"/>
        <c:axPos val="r"/>
        <c:numFmt formatCode="General" sourceLinked="1"/>
        <c:majorTickMark val="none"/>
        <c:minorTickMark val="none"/>
        <c:tickLblPos val="none"/>
        <c:crossAx val="146782848"/>
        <c:crosses val="max"/>
        <c:crossBetween val="midCat"/>
      </c:valAx>
      <c:valAx>
        <c:axId val="146782848"/>
        <c:scaling>
          <c:orientation val="minMax"/>
          <c:max val="1"/>
        </c:scaling>
        <c:delete val="0"/>
        <c:axPos val="t"/>
        <c:numFmt formatCode="General" sourceLinked="1"/>
        <c:majorTickMark val="none"/>
        <c:minorTickMark val="none"/>
        <c:tickLblPos val="none"/>
        <c:crossAx val="146781312"/>
        <c:crosses val="max"/>
        <c:crossBetween val="midCat"/>
      </c:valAx>
      <c:spPr>
        <a:ln w="0">
          <a:noFill/>
        </a:ln>
      </c:spPr>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3 </a:t>
            </a:r>
            <a:r>
              <a:rPr lang="en-GB" sz="1800" b="1" i="0" u="none" strike="noStrike" baseline="0"/>
              <a:t>Satisfaction</a:t>
            </a:r>
            <a:endParaRPr lang="en-GB"/>
          </a:p>
        </c:rich>
      </c:tx>
      <c:overlay val="0"/>
    </c:title>
    <c:autoTitleDeleted val="0"/>
    <c:plotArea>
      <c:layout/>
      <c:barChart>
        <c:barDir val="col"/>
        <c:grouping val="clustered"/>
        <c:varyColors val="1"/>
        <c:ser>
          <c:idx val="0"/>
          <c:order val="0"/>
          <c:spPr>
            <a:solidFill>
              <a:schemeClr val="accent3">
                <a:lumMod val="75000"/>
              </a:schemeClr>
            </a:solidFill>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groups'!$E$22:$E$27</c:f>
              <c:numCache>
                <c:formatCode>0.00</c:formatCode>
                <c:ptCount val="6"/>
                <c:pt idx="0">
                  <c:v>2.9166666666666665</c:v>
                </c:pt>
                <c:pt idx="1">
                  <c:v>2.9166666666666665</c:v>
                </c:pt>
                <c:pt idx="2">
                  <c:v>2.7777777777777777</c:v>
                </c:pt>
                <c:pt idx="3">
                  <c:v>1.7222222222222223</c:v>
                </c:pt>
                <c:pt idx="4">
                  <c:v>2.25</c:v>
                </c:pt>
                <c:pt idx="5">
                  <c:v>2.8888888888888888</c:v>
                </c:pt>
              </c:numCache>
            </c:numRef>
          </c:val>
        </c:ser>
        <c:dLbls>
          <c:showLegendKey val="0"/>
          <c:showVal val="0"/>
          <c:showCatName val="0"/>
          <c:showSerName val="0"/>
          <c:showPercent val="0"/>
          <c:showBubbleSize val="0"/>
        </c:dLbls>
        <c:gapWidth val="150"/>
        <c:axId val="146809216"/>
        <c:axId val="146810752"/>
      </c:barChart>
      <c:scatterChart>
        <c:scatterStyle val="lineMarker"/>
        <c:varyColors val="1"/>
        <c:ser>
          <c:idx val="1"/>
          <c:order val="1"/>
          <c:tx>
            <c:v>Benchmark</c:v>
          </c:tx>
          <c:spPr>
            <a:ln w="38100"/>
          </c:spPr>
          <c:marker>
            <c:symbol val="none"/>
          </c:marker>
          <c:xVal>
            <c:numRef>
              <c:f>'Averages - Both groups'!$M$3:$M$4</c:f>
              <c:numCache>
                <c:formatCode>General</c:formatCode>
                <c:ptCount val="2"/>
              </c:numCache>
            </c:numRef>
          </c:xVal>
          <c:yVal>
            <c:numRef>
              <c:f>'Averages - Both groups'!$N$22:$N$23</c:f>
              <c:numCache>
                <c:formatCode>General</c:formatCode>
                <c:ptCount val="2"/>
              </c:numCache>
            </c:numRef>
          </c:yVal>
          <c:smooth val="0"/>
        </c:ser>
        <c:dLbls>
          <c:showLegendKey val="0"/>
          <c:showVal val="0"/>
          <c:showCatName val="0"/>
          <c:showSerName val="0"/>
          <c:showPercent val="0"/>
          <c:showBubbleSize val="0"/>
        </c:dLbls>
        <c:axId val="146826752"/>
        <c:axId val="146825216"/>
      </c:scatterChart>
      <c:catAx>
        <c:axId val="146809216"/>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6810752"/>
        <c:crossesAt val="0"/>
        <c:auto val="1"/>
        <c:lblAlgn val="ctr"/>
        <c:lblOffset val="100"/>
        <c:noMultiLvlLbl val="0"/>
      </c:catAx>
      <c:valAx>
        <c:axId val="146810752"/>
        <c:scaling>
          <c:orientation val="minMax"/>
          <c:max val="5"/>
          <c:min val="0"/>
        </c:scaling>
        <c:delete val="0"/>
        <c:axPos val="l"/>
        <c:majorGridlines/>
        <c:title>
          <c:tx>
            <c:rich>
              <a:bodyPr rot="-5400000" vert="horz"/>
              <a:lstStyle/>
              <a:p>
                <a:pPr>
                  <a:defRPr/>
                </a:pPr>
                <a:r>
                  <a:rPr lang="en-GB" b="0" i="0" baseline="0"/>
                  <a:t>Satisfaction Rating</a:t>
                </a:r>
              </a:p>
            </c:rich>
          </c:tx>
          <c:overlay val="0"/>
        </c:title>
        <c:numFmt formatCode="0.0" sourceLinked="0"/>
        <c:majorTickMark val="out"/>
        <c:minorTickMark val="none"/>
        <c:tickLblPos val="nextTo"/>
        <c:spPr>
          <a:ln w="44450">
            <a:solidFill>
              <a:schemeClr val="tx1"/>
            </a:solidFill>
          </a:ln>
        </c:spPr>
        <c:crossAx val="146809216"/>
        <c:crossesAt val="1"/>
        <c:crossBetween val="between"/>
        <c:majorUnit val="1"/>
      </c:valAx>
      <c:valAx>
        <c:axId val="146825216"/>
        <c:scaling>
          <c:orientation val="minMax"/>
        </c:scaling>
        <c:delete val="1"/>
        <c:axPos val="r"/>
        <c:numFmt formatCode="General" sourceLinked="1"/>
        <c:majorTickMark val="out"/>
        <c:minorTickMark val="none"/>
        <c:tickLblPos val="none"/>
        <c:crossAx val="146826752"/>
        <c:crosses val="max"/>
        <c:crossBetween val="midCat"/>
      </c:valAx>
      <c:valAx>
        <c:axId val="146826752"/>
        <c:scaling>
          <c:orientation val="minMax"/>
          <c:max val="1"/>
          <c:min val="0"/>
        </c:scaling>
        <c:delete val="0"/>
        <c:axPos val="t"/>
        <c:numFmt formatCode="General" sourceLinked="1"/>
        <c:majorTickMark val="none"/>
        <c:minorTickMark val="none"/>
        <c:tickLblPos val="none"/>
        <c:crossAx val="146825216"/>
        <c:crosses val="max"/>
        <c:crossBetween val="midCat"/>
      </c:valAx>
      <c:spPr>
        <a:ln w="0">
          <a:noFill/>
        </a:ln>
      </c:spPr>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4 </a:t>
            </a:r>
            <a:r>
              <a:rPr lang="en-GB" sz="1800" b="1" i="0" u="none" strike="noStrike" baseline="0"/>
              <a:t>Effectiveness</a:t>
            </a:r>
            <a:endParaRPr lang="en-GB"/>
          </a:p>
        </c:rich>
      </c:tx>
      <c:overlay val="0"/>
    </c:title>
    <c:autoTitleDeleted val="0"/>
    <c:plotArea>
      <c:layout/>
      <c:barChart>
        <c:barDir val="col"/>
        <c:grouping val="clustered"/>
        <c:varyColors val="1"/>
        <c:ser>
          <c:idx val="0"/>
          <c:order val="0"/>
          <c:spPr>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groups'!$F$4:$F$9</c:f>
              <c:numCache>
                <c:formatCode>0.00</c:formatCode>
                <c:ptCount val="6"/>
                <c:pt idx="0">
                  <c:v>0.28472222222222221</c:v>
                </c:pt>
                <c:pt idx="1">
                  <c:v>0.16666666666666666</c:v>
                </c:pt>
                <c:pt idx="2">
                  <c:v>0.125</c:v>
                </c:pt>
                <c:pt idx="3">
                  <c:v>0.3611111111111111</c:v>
                </c:pt>
                <c:pt idx="4">
                  <c:v>0.69444444444444442</c:v>
                </c:pt>
                <c:pt idx="5">
                  <c:v>0.3125</c:v>
                </c:pt>
              </c:numCache>
            </c:numRef>
          </c:val>
        </c:ser>
        <c:dLbls>
          <c:showLegendKey val="0"/>
          <c:showVal val="0"/>
          <c:showCatName val="0"/>
          <c:showSerName val="0"/>
          <c:showPercent val="0"/>
          <c:showBubbleSize val="0"/>
        </c:dLbls>
        <c:gapWidth val="150"/>
        <c:axId val="146848768"/>
        <c:axId val="146854656"/>
      </c:barChart>
      <c:scatterChart>
        <c:scatterStyle val="lineMarker"/>
        <c:varyColors val="1"/>
        <c:ser>
          <c:idx val="1"/>
          <c:order val="1"/>
          <c:tx>
            <c:strRef>
              <c:f>'Averages - Both groups'!$P$2</c:f>
              <c:strCache>
                <c:ptCount val="1"/>
              </c:strCache>
            </c:strRef>
          </c:tx>
          <c:spPr>
            <a:ln w="38100"/>
          </c:spPr>
          <c:marker>
            <c:symbol val="none"/>
          </c:marker>
          <c:xVal>
            <c:numRef>
              <c:f>'Averages - Both groups'!$M$3:$M$4</c:f>
              <c:numCache>
                <c:formatCode>General</c:formatCode>
                <c:ptCount val="2"/>
              </c:numCache>
            </c:numRef>
          </c:xVal>
          <c:yVal>
            <c:numRef>
              <c:f>'Averages - Both groups'!$N$3:$N$4</c:f>
              <c:numCache>
                <c:formatCode>General</c:formatCode>
                <c:ptCount val="2"/>
              </c:numCache>
            </c:numRef>
          </c:yVal>
          <c:smooth val="0"/>
        </c:ser>
        <c:dLbls>
          <c:showLegendKey val="0"/>
          <c:showVal val="0"/>
          <c:showCatName val="0"/>
          <c:showSerName val="0"/>
          <c:showPercent val="0"/>
          <c:showBubbleSize val="0"/>
        </c:dLbls>
        <c:axId val="146866560"/>
        <c:axId val="146856576"/>
      </c:scatterChart>
      <c:catAx>
        <c:axId val="146848768"/>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6854656"/>
        <c:crossesAt val="0"/>
        <c:auto val="1"/>
        <c:lblAlgn val="ctr"/>
        <c:lblOffset val="100"/>
        <c:noMultiLvlLbl val="0"/>
      </c:catAx>
      <c:valAx>
        <c:axId val="146854656"/>
        <c:scaling>
          <c:orientation val="minMax"/>
          <c:max val="1"/>
          <c:min val="0"/>
        </c:scaling>
        <c:delete val="0"/>
        <c:axPos val="l"/>
        <c:majorGridlines/>
        <c:title>
          <c:tx>
            <c:rich>
              <a:bodyPr rot="-5400000" vert="horz"/>
              <a:lstStyle/>
              <a:p>
                <a:pPr>
                  <a:defRPr/>
                </a:pPr>
                <a:r>
                  <a:rPr lang="en-GB" b="0" i="0" baseline="0"/>
                  <a:t>Task Completion Rate</a:t>
                </a:r>
              </a:p>
            </c:rich>
          </c:tx>
          <c:overlay val="0"/>
        </c:title>
        <c:numFmt formatCode="0.0" sourceLinked="0"/>
        <c:majorTickMark val="out"/>
        <c:minorTickMark val="none"/>
        <c:tickLblPos val="nextTo"/>
        <c:spPr>
          <a:ln w="44450">
            <a:solidFill>
              <a:schemeClr val="tx1"/>
            </a:solidFill>
          </a:ln>
        </c:spPr>
        <c:crossAx val="146848768"/>
        <c:crossesAt val="1"/>
        <c:crossBetween val="between"/>
        <c:majorUnit val="0.2"/>
      </c:valAx>
      <c:valAx>
        <c:axId val="146856576"/>
        <c:scaling>
          <c:orientation val="minMax"/>
        </c:scaling>
        <c:delete val="1"/>
        <c:axPos val="r"/>
        <c:numFmt formatCode="General" sourceLinked="1"/>
        <c:majorTickMark val="out"/>
        <c:minorTickMark val="none"/>
        <c:tickLblPos val="none"/>
        <c:crossAx val="146866560"/>
        <c:crosses val="max"/>
        <c:crossBetween val="midCat"/>
      </c:valAx>
      <c:valAx>
        <c:axId val="146866560"/>
        <c:scaling>
          <c:orientation val="minMax"/>
          <c:max val="1"/>
          <c:min val="0"/>
        </c:scaling>
        <c:delete val="0"/>
        <c:axPos val="t"/>
        <c:numFmt formatCode="General" sourceLinked="1"/>
        <c:majorTickMark val="none"/>
        <c:minorTickMark val="none"/>
        <c:tickLblPos val="none"/>
        <c:crossAx val="146856576"/>
        <c:crosses val="max"/>
        <c:crossBetween val="midCat"/>
      </c:valAx>
      <c:spPr>
        <a:ln w="0">
          <a:noFill/>
        </a:ln>
      </c:spPr>
    </c:plotArea>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4 </a:t>
            </a:r>
            <a:r>
              <a:rPr lang="en-GB" sz="1800" b="1" i="0" u="none" strike="noStrike" baseline="0"/>
              <a:t>Efficiency</a:t>
            </a:r>
            <a:endParaRPr lang="en-GB"/>
          </a:p>
        </c:rich>
      </c:tx>
      <c:overlay val="0"/>
    </c:title>
    <c:autoTitleDeleted val="0"/>
    <c:plotArea>
      <c:layout/>
      <c:barChart>
        <c:barDir val="col"/>
        <c:grouping val="clustered"/>
        <c:varyColors val="0"/>
        <c:ser>
          <c:idx val="0"/>
          <c:order val="0"/>
          <c:spPr>
            <a:solidFill>
              <a:schemeClr val="accent6">
                <a:lumMod val="75000"/>
              </a:schemeClr>
            </a:solidFill>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groups'!$F$13:$F$18</c:f>
              <c:numCache>
                <c:formatCode>0.00</c:formatCode>
                <c:ptCount val="6"/>
                <c:pt idx="0">
                  <c:v>77.090909090909093</c:v>
                </c:pt>
                <c:pt idx="1">
                  <c:v>83.571428571428569</c:v>
                </c:pt>
                <c:pt idx="2">
                  <c:v>95.333333333333329</c:v>
                </c:pt>
                <c:pt idx="3">
                  <c:v>123.09090909090909</c:v>
                </c:pt>
                <c:pt idx="4">
                  <c:v>96.357142857142861</c:v>
                </c:pt>
                <c:pt idx="5">
                  <c:v>112.4</c:v>
                </c:pt>
              </c:numCache>
            </c:numRef>
          </c:val>
        </c:ser>
        <c:dLbls>
          <c:showLegendKey val="0"/>
          <c:showVal val="0"/>
          <c:showCatName val="0"/>
          <c:showSerName val="0"/>
          <c:showPercent val="0"/>
          <c:showBubbleSize val="0"/>
        </c:dLbls>
        <c:gapWidth val="150"/>
        <c:axId val="146900864"/>
        <c:axId val="146902400"/>
      </c:barChart>
      <c:scatterChart>
        <c:scatterStyle val="lineMarker"/>
        <c:varyColors val="0"/>
        <c:ser>
          <c:idx val="1"/>
          <c:order val="1"/>
          <c:tx>
            <c:v>Benchmark</c:v>
          </c:tx>
          <c:spPr>
            <a:ln w="38100"/>
          </c:spPr>
          <c:marker>
            <c:symbol val="none"/>
          </c:marker>
          <c:xVal>
            <c:numRef>
              <c:f>'Averages - Both groups'!$M$12:$M$13</c:f>
              <c:numCache>
                <c:formatCode>General</c:formatCode>
                <c:ptCount val="2"/>
              </c:numCache>
            </c:numRef>
          </c:xVal>
          <c:yVal>
            <c:numLit>
              <c:formatCode>General</c:formatCode>
              <c:ptCount val="2"/>
              <c:pt idx="0">
                <c:v>120</c:v>
              </c:pt>
              <c:pt idx="1">
                <c:v>120</c:v>
              </c:pt>
            </c:numLit>
          </c:yVal>
          <c:smooth val="0"/>
        </c:ser>
        <c:dLbls>
          <c:showLegendKey val="0"/>
          <c:showVal val="0"/>
          <c:showCatName val="0"/>
          <c:showSerName val="0"/>
          <c:showPercent val="0"/>
          <c:showBubbleSize val="0"/>
        </c:dLbls>
        <c:axId val="146910208"/>
        <c:axId val="146908672"/>
      </c:scatterChart>
      <c:catAx>
        <c:axId val="146900864"/>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6902400"/>
        <c:crossesAt val="0"/>
        <c:auto val="1"/>
        <c:lblAlgn val="ctr"/>
        <c:lblOffset val="100"/>
        <c:noMultiLvlLbl val="0"/>
      </c:catAx>
      <c:valAx>
        <c:axId val="146902400"/>
        <c:scaling>
          <c:orientation val="minMax"/>
          <c:max val="180"/>
          <c:min val="0"/>
        </c:scaling>
        <c:delete val="0"/>
        <c:axPos val="l"/>
        <c:majorGridlines/>
        <c:title>
          <c:tx>
            <c:rich>
              <a:bodyPr rot="-5400000" vert="horz"/>
              <a:lstStyle/>
              <a:p>
                <a:pPr>
                  <a:defRPr/>
                </a:pPr>
                <a:r>
                  <a:rPr lang="en-GB" b="0" i="0" baseline="0"/>
                  <a:t>Time on Task (Seconds)</a:t>
                </a:r>
              </a:p>
            </c:rich>
          </c:tx>
          <c:overlay val="0"/>
        </c:title>
        <c:numFmt formatCode="0.0" sourceLinked="0"/>
        <c:majorTickMark val="out"/>
        <c:minorTickMark val="none"/>
        <c:tickLblPos val="nextTo"/>
        <c:spPr>
          <a:ln w="44450">
            <a:solidFill>
              <a:schemeClr val="tx1"/>
            </a:solidFill>
          </a:ln>
        </c:spPr>
        <c:crossAx val="146900864"/>
        <c:crossesAt val="1"/>
        <c:crossBetween val="between"/>
        <c:majorUnit val="60"/>
      </c:valAx>
      <c:valAx>
        <c:axId val="146908672"/>
        <c:scaling>
          <c:orientation val="minMax"/>
          <c:max val="180"/>
        </c:scaling>
        <c:delete val="0"/>
        <c:axPos val="r"/>
        <c:numFmt formatCode="General" sourceLinked="1"/>
        <c:majorTickMark val="none"/>
        <c:minorTickMark val="none"/>
        <c:tickLblPos val="none"/>
        <c:crossAx val="146910208"/>
        <c:crosses val="max"/>
        <c:crossBetween val="midCat"/>
      </c:valAx>
      <c:valAx>
        <c:axId val="146910208"/>
        <c:scaling>
          <c:orientation val="minMax"/>
          <c:max val="1"/>
        </c:scaling>
        <c:delete val="0"/>
        <c:axPos val="t"/>
        <c:numFmt formatCode="General" sourceLinked="1"/>
        <c:majorTickMark val="none"/>
        <c:minorTickMark val="none"/>
        <c:tickLblPos val="none"/>
        <c:crossAx val="146908672"/>
        <c:crosses val="max"/>
        <c:crossBetween val="midCat"/>
      </c:valAx>
      <c:spPr>
        <a:ln w="0">
          <a:noFill/>
        </a:ln>
      </c:spPr>
    </c:plotArea>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4 </a:t>
            </a:r>
            <a:r>
              <a:rPr lang="en-GB" sz="1800" b="1" i="0" u="none" strike="noStrike" baseline="0"/>
              <a:t>Satisfaction</a:t>
            </a:r>
            <a:endParaRPr lang="en-GB"/>
          </a:p>
        </c:rich>
      </c:tx>
      <c:overlay val="0"/>
    </c:title>
    <c:autoTitleDeleted val="0"/>
    <c:plotArea>
      <c:layout/>
      <c:barChart>
        <c:barDir val="col"/>
        <c:grouping val="clustered"/>
        <c:varyColors val="1"/>
        <c:ser>
          <c:idx val="0"/>
          <c:order val="0"/>
          <c:spPr>
            <a:solidFill>
              <a:schemeClr val="accent3">
                <a:lumMod val="75000"/>
              </a:schemeClr>
            </a:solidFill>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groups'!$F$22:$F$27</c:f>
              <c:numCache>
                <c:formatCode>0.00</c:formatCode>
                <c:ptCount val="6"/>
                <c:pt idx="0">
                  <c:v>2.6111111111111112</c:v>
                </c:pt>
                <c:pt idx="1">
                  <c:v>2.8055555555555554</c:v>
                </c:pt>
                <c:pt idx="2">
                  <c:v>2.3888888888888888</c:v>
                </c:pt>
                <c:pt idx="3">
                  <c:v>2.8333333333333335</c:v>
                </c:pt>
                <c:pt idx="4">
                  <c:v>2.9444444444444446</c:v>
                </c:pt>
                <c:pt idx="5">
                  <c:v>3.5</c:v>
                </c:pt>
              </c:numCache>
            </c:numRef>
          </c:val>
        </c:ser>
        <c:dLbls>
          <c:showLegendKey val="0"/>
          <c:showVal val="0"/>
          <c:showCatName val="0"/>
          <c:showSerName val="0"/>
          <c:showPercent val="0"/>
          <c:showBubbleSize val="0"/>
        </c:dLbls>
        <c:gapWidth val="150"/>
        <c:axId val="147006208"/>
        <c:axId val="147007744"/>
      </c:barChart>
      <c:scatterChart>
        <c:scatterStyle val="lineMarker"/>
        <c:varyColors val="1"/>
        <c:ser>
          <c:idx val="1"/>
          <c:order val="1"/>
          <c:tx>
            <c:v>Benchmark</c:v>
          </c:tx>
          <c:spPr>
            <a:ln w="38100"/>
          </c:spPr>
          <c:marker>
            <c:symbol val="none"/>
          </c:marker>
          <c:xVal>
            <c:numRef>
              <c:f>'Averages - Both groups'!$M$3:$M$4</c:f>
              <c:numCache>
                <c:formatCode>General</c:formatCode>
                <c:ptCount val="2"/>
              </c:numCache>
            </c:numRef>
          </c:xVal>
          <c:yVal>
            <c:numRef>
              <c:f>'Averages - Both groups'!$N$22:$N$23</c:f>
              <c:numCache>
                <c:formatCode>General</c:formatCode>
                <c:ptCount val="2"/>
              </c:numCache>
            </c:numRef>
          </c:yVal>
          <c:smooth val="0"/>
        </c:ser>
        <c:dLbls>
          <c:showLegendKey val="0"/>
          <c:showVal val="0"/>
          <c:showCatName val="0"/>
          <c:showSerName val="0"/>
          <c:showPercent val="0"/>
          <c:showBubbleSize val="0"/>
        </c:dLbls>
        <c:axId val="147019648"/>
        <c:axId val="147018112"/>
      </c:scatterChart>
      <c:catAx>
        <c:axId val="147006208"/>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7007744"/>
        <c:crossesAt val="0"/>
        <c:auto val="1"/>
        <c:lblAlgn val="ctr"/>
        <c:lblOffset val="100"/>
        <c:noMultiLvlLbl val="0"/>
      </c:catAx>
      <c:valAx>
        <c:axId val="147007744"/>
        <c:scaling>
          <c:orientation val="minMax"/>
          <c:max val="5"/>
          <c:min val="0"/>
        </c:scaling>
        <c:delete val="0"/>
        <c:axPos val="l"/>
        <c:majorGridlines/>
        <c:title>
          <c:tx>
            <c:rich>
              <a:bodyPr rot="-5400000" vert="horz"/>
              <a:lstStyle/>
              <a:p>
                <a:pPr>
                  <a:defRPr/>
                </a:pPr>
                <a:r>
                  <a:rPr lang="en-GB" b="0" i="0" baseline="0"/>
                  <a:t>Satisfaction Rating</a:t>
                </a:r>
              </a:p>
            </c:rich>
          </c:tx>
          <c:overlay val="0"/>
        </c:title>
        <c:numFmt formatCode="0.0" sourceLinked="0"/>
        <c:majorTickMark val="out"/>
        <c:minorTickMark val="none"/>
        <c:tickLblPos val="nextTo"/>
        <c:spPr>
          <a:ln w="44450">
            <a:solidFill>
              <a:schemeClr val="tx1"/>
            </a:solidFill>
          </a:ln>
        </c:spPr>
        <c:crossAx val="147006208"/>
        <c:crossesAt val="1"/>
        <c:crossBetween val="between"/>
        <c:majorUnit val="1"/>
      </c:valAx>
      <c:valAx>
        <c:axId val="147018112"/>
        <c:scaling>
          <c:orientation val="minMax"/>
        </c:scaling>
        <c:delete val="1"/>
        <c:axPos val="r"/>
        <c:numFmt formatCode="General" sourceLinked="1"/>
        <c:majorTickMark val="out"/>
        <c:minorTickMark val="none"/>
        <c:tickLblPos val="none"/>
        <c:crossAx val="147019648"/>
        <c:crosses val="max"/>
        <c:crossBetween val="midCat"/>
      </c:valAx>
      <c:valAx>
        <c:axId val="147019648"/>
        <c:scaling>
          <c:orientation val="minMax"/>
          <c:max val="1"/>
          <c:min val="0"/>
        </c:scaling>
        <c:delete val="0"/>
        <c:axPos val="t"/>
        <c:numFmt formatCode="General" sourceLinked="1"/>
        <c:majorTickMark val="none"/>
        <c:minorTickMark val="none"/>
        <c:tickLblPos val="none"/>
        <c:crossAx val="147018112"/>
        <c:crosses val="max"/>
        <c:crossBetween val="midCat"/>
      </c:valAx>
      <c:spPr>
        <a:ln w="0">
          <a:noFill/>
        </a:ln>
      </c:spPr>
    </c:plotArea>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5 </a:t>
            </a:r>
            <a:r>
              <a:rPr lang="en-GB" sz="1800" b="1" i="0" u="none" strike="noStrike" baseline="0"/>
              <a:t>Effectiveness</a:t>
            </a:r>
            <a:endParaRPr lang="en-GB"/>
          </a:p>
        </c:rich>
      </c:tx>
      <c:overlay val="0"/>
    </c:title>
    <c:autoTitleDeleted val="0"/>
    <c:plotArea>
      <c:layout/>
      <c:barChart>
        <c:barDir val="col"/>
        <c:grouping val="clustered"/>
        <c:varyColors val="1"/>
        <c:ser>
          <c:idx val="0"/>
          <c:order val="0"/>
          <c:spPr>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groups'!$G$4:$G$9</c:f>
              <c:numCache>
                <c:formatCode>0.00</c:formatCode>
                <c:ptCount val="6"/>
                <c:pt idx="0">
                  <c:v>0.69444444444444442</c:v>
                </c:pt>
                <c:pt idx="1">
                  <c:v>0.18055555555555555</c:v>
                </c:pt>
                <c:pt idx="2">
                  <c:v>0.3125</c:v>
                </c:pt>
                <c:pt idx="3">
                  <c:v>0.1388888888888889</c:v>
                </c:pt>
                <c:pt idx="4">
                  <c:v>0.75694444444444442</c:v>
                </c:pt>
                <c:pt idx="5">
                  <c:v>0.54861111111111116</c:v>
                </c:pt>
              </c:numCache>
            </c:numRef>
          </c:val>
        </c:ser>
        <c:dLbls>
          <c:showLegendKey val="0"/>
          <c:showVal val="0"/>
          <c:showCatName val="0"/>
          <c:showSerName val="0"/>
          <c:showPercent val="0"/>
          <c:showBubbleSize val="0"/>
        </c:dLbls>
        <c:gapWidth val="150"/>
        <c:axId val="147054592"/>
        <c:axId val="147056128"/>
      </c:barChart>
      <c:scatterChart>
        <c:scatterStyle val="lineMarker"/>
        <c:varyColors val="1"/>
        <c:ser>
          <c:idx val="1"/>
          <c:order val="1"/>
          <c:tx>
            <c:strRef>
              <c:f>'Averages - Both groups'!$P$2</c:f>
              <c:strCache>
                <c:ptCount val="1"/>
              </c:strCache>
            </c:strRef>
          </c:tx>
          <c:spPr>
            <a:ln w="38100"/>
          </c:spPr>
          <c:marker>
            <c:symbol val="none"/>
          </c:marker>
          <c:xVal>
            <c:numRef>
              <c:f>'Averages - Both groups'!$M$3:$M$4</c:f>
              <c:numCache>
                <c:formatCode>General</c:formatCode>
                <c:ptCount val="2"/>
              </c:numCache>
            </c:numRef>
          </c:xVal>
          <c:yVal>
            <c:numRef>
              <c:f>'Averages - Both groups'!$N$3:$N$4</c:f>
              <c:numCache>
                <c:formatCode>General</c:formatCode>
                <c:ptCount val="2"/>
              </c:numCache>
            </c:numRef>
          </c:yVal>
          <c:smooth val="0"/>
        </c:ser>
        <c:dLbls>
          <c:showLegendKey val="0"/>
          <c:showVal val="0"/>
          <c:showCatName val="0"/>
          <c:showSerName val="0"/>
          <c:showPercent val="0"/>
          <c:showBubbleSize val="0"/>
        </c:dLbls>
        <c:axId val="147059840"/>
        <c:axId val="147058048"/>
      </c:scatterChart>
      <c:catAx>
        <c:axId val="147054592"/>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7056128"/>
        <c:crossesAt val="0"/>
        <c:auto val="1"/>
        <c:lblAlgn val="ctr"/>
        <c:lblOffset val="100"/>
        <c:noMultiLvlLbl val="0"/>
      </c:catAx>
      <c:valAx>
        <c:axId val="147056128"/>
        <c:scaling>
          <c:orientation val="minMax"/>
          <c:max val="1"/>
          <c:min val="0"/>
        </c:scaling>
        <c:delete val="0"/>
        <c:axPos val="l"/>
        <c:majorGridlines/>
        <c:title>
          <c:tx>
            <c:rich>
              <a:bodyPr rot="-5400000" vert="horz"/>
              <a:lstStyle/>
              <a:p>
                <a:pPr>
                  <a:defRPr/>
                </a:pPr>
                <a:r>
                  <a:rPr lang="en-GB" b="0" i="0" baseline="0"/>
                  <a:t>Task Completion Rate</a:t>
                </a:r>
              </a:p>
            </c:rich>
          </c:tx>
          <c:overlay val="0"/>
        </c:title>
        <c:numFmt formatCode="0.0" sourceLinked="0"/>
        <c:majorTickMark val="out"/>
        <c:minorTickMark val="none"/>
        <c:tickLblPos val="nextTo"/>
        <c:spPr>
          <a:ln w="44450">
            <a:solidFill>
              <a:schemeClr val="tx1"/>
            </a:solidFill>
          </a:ln>
        </c:spPr>
        <c:crossAx val="147054592"/>
        <c:crossesAt val="1"/>
        <c:crossBetween val="between"/>
        <c:majorUnit val="0.2"/>
      </c:valAx>
      <c:valAx>
        <c:axId val="147058048"/>
        <c:scaling>
          <c:orientation val="minMax"/>
        </c:scaling>
        <c:delete val="1"/>
        <c:axPos val="r"/>
        <c:numFmt formatCode="General" sourceLinked="1"/>
        <c:majorTickMark val="out"/>
        <c:minorTickMark val="none"/>
        <c:tickLblPos val="none"/>
        <c:crossAx val="147059840"/>
        <c:crosses val="max"/>
        <c:crossBetween val="midCat"/>
      </c:valAx>
      <c:valAx>
        <c:axId val="147059840"/>
        <c:scaling>
          <c:orientation val="minMax"/>
          <c:max val="1"/>
          <c:min val="0"/>
        </c:scaling>
        <c:delete val="0"/>
        <c:axPos val="t"/>
        <c:numFmt formatCode="General" sourceLinked="1"/>
        <c:majorTickMark val="none"/>
        <c:minorTickMark val="none"/>
        <c:tickLblPos val="none"/>
        <c:crossAx val="147058048"/>
        <c:crosses val="max"/>
        <c:crossBetween val="midCat"/>
      </c:valAx>
      <c:spPr>
        <a:ln w="0">
          <a:noFill/>
        </a:ln>
      </c:spPr>
    </c:plotArea>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5 </a:t>
            </a:r>
            <a:r>
              <a:rPr lang="en-GB" sz="1800" b="1" i="0" u="none" strike="noStrike" baseline="0"/>
              <a:t>Efficiency</a:t>
            </a:r>
            <a:endParaRPr lang="en-GB"/>
          </a:p>
        </c:rich>
      </c:tx>
      <c:overlay val="0"/>
    </c:title>
    <c:autoTitleDeleted val="0"/>
    <c:plotArea>
      <c:layout/>
      <c:barChart>
        <c:barDir val="col"/>
        <c:grouping val="clustered"/>
        <c:varyColors val="0"/>
        <c:ser>
          <c:idx val="0"/>
          <c:order val="0"/>
          <c:spPr>
            <a:solidFill>
              <a:schemeClr val="accent6">
                <a:lumMod val="75000"/>
              </a:schemeClr>
            </a:solidFill>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groups'!$G$13:$G$18</c:f>
              <c:numCache>
                <c:formatCode>0.00</c:formatCode>
                <c:ptCount val="6"/>
                <c:pt idx="0">
                  <c:v>60.36</c:v>
                </c:pt>
                <c:pt idx="1">
                  <c:v>91.75</c:v>
                </c:pt>
                <c:pt idx="2">
                  <c:v>115.2</c:v>
                </c:pt>
                <c:pt idx="3">
                  <c:v>84.818181818181813</c:v>
                </c:pt>
                <c:pt idx="4">
                  <c:v>61.264705882352942</c:v>
                </c:pt>
                <c:pt idx="5">
                  <c:v>48.68181818181818</c:v>
                </c:pt>
              </c:numCache>
            </c:numRef>
          </c:val>
        </c:ser>
        <c:dLbls>
          <c:showLegendKey val="0"/>
          <c:showVal val="0"/>
          <c:showCatName val="0"/>
          <c:showSerName val="0"/>
          <c:showPercent val="0"/>
          <c:showBubbleSize val="0"/>
        </c:dLbls>
        <c:gapWidth val="150"/>
        <c:axId val="147098624"/>
        <c:axId val="147112704"/>
      </c:barChart>
      <c:scatterChart>
        <c:scatterStyle val="lineMarker"/>
        <c:varyColors val="0"/>
        <c:ser>
          <c:idx val="1"/>
          <c:order val="1"/>
          <c:tx>
            <c:v>Benchmark</c:v>
          </c:tx>
          <c:spPr>
            <a:ln w="38100"/>
          </c:spPr>
          <c:marker>
            <c:symbol val="none"/>
          </c:marker>
          <c:xVal>
            <c:numRef>
              <c:f>'Averages - Both groups'!$M$12:$M$13</c:f>
              <c:numCache>
                <c:formatCode>General</c:formatCode>
                <c:ptCount val="2"/>
              </c:numCache>
            </c:numRef>
          </c:xVal>
          <c:yVal>
            <c:numLit>
              <c:formatCode>General</c:formatCode>
              <c:ptCount val="2"/>
              <c:pt idx="0">
                <c:v>60</c:v>
              </c:pt>
              <c:pt idx="1">
                <c:v>60</c:v>
              </c:pt>
            </c:numLit>
          </c:yVal>
          <c:smooth val="0"/>
        </c:ser>
        <c:dLbls>
          <c:showLegendKey val="0"/>
          <c:showVal val="0"/>
          <c:showCatName val="0"/>
          <c:showSerName val="0"/>
          <c:showPercent val="0"/>
          <c:showBubbleSize val="0"/>
        </c:dLbls>
        <c:axId val="147116416"/>
        <c:axId val="147114624"/>
      </c:scatterChart>
      <c:catAx>
        <c:axId val="147098624"/>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7112704"/>
        <c:crossesAt val="0"/>
        <c:auto val="1"/>
        <c:lblAlgn val="ctr"/>
        <c:lblOffset val="100"/>
        <c:noMultiLvlLbl val="0"/>
      </c:catAx>
      <c:valAx>
        <c:axId val="147112704"/>
        <c:scaling>
          <c:orientation val="minMax"/>
          <c:max val="180"/>
          <c:min val="0"/>
        </c:scaling>
        <c:delete val="0"/>
        <c:axPos val="l"/>
        <c:majorGridlines/>
        <c:title>
          <c:tx>
            <c:rich>
              <a:bodyPr rot="-5400000" vert="horz"/>
              <a:lstStyle/>
              <a:p>
                <a:pPr>
                  <a:defRPr/>
                </a:pPr>
                <a:r>
                  <a:rPr lang="en-GB" b="0" i="0" baseline="0"/>
                  <a:t>Time on Task (Seconds)</a:t>
                </a:r>
              </a:p>
            </c:rich>
          </c:tx>
          <c:overlay val="0"/>
        </c:title>
        <c:numFmt formatCode="0.0" sourceLinked="0"/>
        <c:majorTickMark val="out"/>
        <c:minorTickMark val="none"/>
        <c:tickLblPos val="nextTo"/>
        <c:spPr>
          <a:ln w="44450">
            <a:solidFill>
              <a:schemeClr val="tx1"/>
            </a:solidFill>
          </a:ln>
        </c:spPr>
        <c:crossAx val="147098624"/>
        <c:crossesAt val="1"/>
        <c:crossBetween val="between"/>
        <c:majorUnit val="60"/>
      </c:valAx>
      <c:valAx>
        <c:axId val="147114624"/>
        <c:scaling>
          <c:orientation val="minMax"/>
          <c:max val="180"/>
        </c:scaling>
        <c:delete val="0"/>
        <c:axPos val="r"/>
        <c:numFmt formatCode="General" sourceLinked="1"/>
        <c:majorTickMark val="none"/>
        <c:minorTickMark val="none"/>
        <c:tickLblPos val="none"/>
        <c:crossAx val="147116416"/>
        <c:crosses val="max"/>
        <c:crossBetween val="midCat"/>
      </c:valAx>
      <c:valAx>
        <c:axId val="147116416"/>
        <c:scaling>
          <c:orientation val="minMax"/>
          <c:max val="1"/>
        </c:scaling>
        <c:delete val="0"/>
        <c:axPos val="t"/>
        <c:numFmt formatCode="General" sourceLinked="1"/>
        <c:majorTickMark val="none"/>
        <c:minorTickMark val="none"/>
        <c:tickLblPos val="none"/>
        <c:crossAx val="147114624"/>
        <c:crosses val="max"/>
        <c:crossBetween val="midCat"/>
      </c:valAx>
      <c:spPr>
        <a:ln w="0">
          <a:noFill/>
        </a:ln>
      </c:spPr>
    </c:plotArea>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Effectiveness - Accessibilty</a:t>
            </a:r>
            <a:r>
              <a:rPr lang="en-GB" baseline="0"/>
              <a:t> needs</a:t>
            </a:r>
          </a:p>
        </c:rich>
      </c:tx>
      <c:overlay val="0"/>
    </c:title>
    <c:autoTitleDeleted val="0"/>
    <c:plotArea>
      <c:layout/>
      <c:barChart>
        <c:barDir val="col"/>
        <c:grouping val="clustered"/>
        <c:varyColors val="1"/>
        <c:ser>
          <c:idx val="0"/>
          <c:order val="0"/>
          <c:spPr>
            <a:ln>
              <a:noFill/>
            </a:ln>
            <a:effectLst/>
          </c:spPr>
          <c:invertIfNegative val="0"/>
          <c:cat>
            <c:strRef>
              <c:f>'Demographic Analysis - Group B'!$N$28:$N$29</c:f>
              <c:strCache>
                <c:ptCount val="2"/>
                <c:pt idx="0">
                  <c:v>Dexterity or visual impairment</c:v>
                </c:pt>
                <c:pt idx="1">
                  <c:v>No impairment</c:v>
                </c:pt>
              </c:strCache>
            </c:strRef>
          </c:cat>
          <c:val>
            <c:numRef>
              <c:f>'Demographic Analysis - Group B'!$O$28:$O$29</c:f>
              <c:numCache>
                <c:formatCode>0.00</c:formatCode>
                <c:ptCount val="2"/>
                <c:pt idx="0">
                  <c:v>34.015151515151516</c:v>
                </c:pt>
                <c:pt idx="1">
                  <c:v>36.579861111111114</c:v>
                </c:pt>
              </c:numCache>
            </c:numRef>
          </c:val>
        </c:ser>
        <c:dLbls>
          <c:showLegendKey val="0"/>
          <c:showVal val="0"/>
          <c:showCatName val="0"/>
          <c:showSerName val="0"/>
          <c:showPercent val="0"/>
          <c:showBubbleSize val="0"/>
        </c:dLbls>
        <c:gapWidth val="150"/>
        <c:axId val="143389440"/>
        <c:axId val="143390976"/>
      </c:barChart>
      <c:catAx>
        <c:axId val="143389440"/>
        <c:scaling>
          <c:orientation val="minMax"/>
        </c:scaling>
        <c:delete val="0"/>
        <c:axPos val="b"/>
        <c:majorTickMark val="out"/>
        <c:minorTickMark val="none"/>
        <c:tickLblPos val="nextTo"/>
        <c:spPr>
          <a:ln w="44450">
            <a:solidFill>
              <a:sysClr val="windowText" lastClr="000000"/>
            </a:solidFill>
          </a:ln>
        </c:spPr>
        <c:txPr>
          <a:bodyPr rot="0"/>
          <a:lstStyle/>
          <a:p>
            <a:pPr>
              <a:defRPr/>
            </a:pPr>
            <a:endParaRPr lang="en-US"/>
          </a:p>
        </c:txPr>
        <c:crossAx val="143390976"/>
        <c:crossesAt val="0"/>
        <c:auto val="1"/>
        <c:lblAlgn val="ctr"/>
        <c:lblOffset val="100"/>
        <c:noMultiLvlLbl val="0"/>
      </c:catAx>
      <c:valAx>
        <c:axId val="143390976"/>
        <c:scaling>
          <c:orientation val="minMax"/>
          <c:max val="100"/>
          <c:min val="0"/>
        </c:scaling>
        <c:delete val="0"/>
        <c:axPos val="l"/>
        <c:majorGridlines/>
        <c:title>
          <c:tx>
            <c:rich>
              <a:bodyPr rot="-5400000" vert="horz"/>
              <a:lstStyle/>
              <a:p>
                <a:pPr>
                  <a:defRPr/>
                </a:pPr>
                <a:r>
                  <a:rPr lang="en-GB" b="0" i="0" baseline="0"/>
                  <a:t>Task Completion Rate (%)</a:t>
                </a:r>
              </a:p>
            </c:rich>
          </c:tx>
          <c:overlay val="0"/>
        </c:title>
        <c:numFmt formatCode="0" sourceLinked="0"/>
        <c:majorTickMark val="out"/>
        <c:minorTickMark val="none"/>
        <c:tickLblPos val="nextTo"/>
        <c:spPr>
          <a:ln w="44450">
            <a:solidFill>
              <a:schemeClr val="tx1"/>
            </a:solidFill>
          </a:ln>
        </c:spPr>
        <c:crossAx val="143389440"/>
        <c:crossesAt val="1"/>
        <c:crossBetween val="between"/>
        <c:majorUnit val="20"/>
      </c:valAx>
      <c:spPr>
        <a:ln w="0">
          <a:noFill/>
        </a:ln>
      </c:spPr>
    </c:plotArea>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5 </a:t>
            </a:r>
            <a:r>
              <a:rPr lang="en-GB" sz="1800" b="1" i="0" u="none" strike="noStrike" baseline="0"/>
              <a:t>Satisfaction</a:t>
            </a:r>
            <a:endParaRPr lang="en-GB"/>
          </a:p>
        </c:rich>
      </c:tx>
      <c:overlay val="0"/>
    </c:title>
    <c:autoTitleDeleted val="0"/>
    <c:plotArea>
      <c:layout/>
      <c:barChart>
        <c:barDir val="col"/>
        <c:grouping val="clustered"/>
        <c:varyColors val="1"/>
        <c:ser>
          <c:idx val="0"/>
          <c:order val="0"/>
          <c:spPr>
            <a:solidFill>
              <a:schemeClr val="accent3">
                <a:lumMod val="75000"/>
              </a:schemeClr>
            </a:solidFill>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groups'!$G$22:$G$27</c:f>
              <c:numCache>
                <c:formatCode>0.00</c:formatCode>
                <c:ptCount val="6"/>
                <c:pt idx="0">
                  <c:v>3.6388888888888888</c:v>
                </c:pt>
                <c:pt idx="1">
                  <c:v>2.3888888888888888</c:v>
                </c:pt>
                <c:pt idx="2">
                  <c:v>2.1388888888888888</c:v>
                </c:pt>
                <c:pt idx="3">
                  <c:v>2.1388888888888888</c:v>
                </c:pt>
                <c:pt idx="4">
                  <c:v>3.75</c:v>
                </c:pt>
                <c:pt idx="5">
                  <c:v>3.6944444444444446</c:v>
                </c:pt>
              </c:numCache>
            </c:numRef>
          </c:val>
        </c:ser>
        <c:dLbls>
          <c:showLegendKey val="0"/>
          <c:showVal val="0"/>
          <c:showCatName val="0"/>
          <c:showSerName val="0"/>
          <c:showPercent val="0"/>
          <c:showBubbleSize val="0"/>
        </c:dLbls>
        <c:gapWidth val="150"/>
        <c:axId val="147146240"/>
        <c:axId val="147147776"/>
      </c:barChart>
      <c:scatterChart>
        <c:scatterStyle val="lineMarker"/>
        <c:varyColors val="1"/>
        <c:ser>
          <c:idx val="1"/>
          <c:order val="1"/>
          <c:tx>
            <c:v>Benchmark</c:v>
          </c:tx>
          <c:spPr>
            <a:ln w="38100"/>
          </c:spPr>
          <c:marker>
            <c:symbol val="none"/>
          </c:marker>
          <c:xVal>
            <c:numRef>
              <c:f>'Averages - Both groups'!$M$3:$M$4</c:f>
              <c:numCache>
                <c:formatCode>General</c:formatCode>
                <c:ptCount val="2"/>
              </c:numCache>
            </c:numRef>
          </c:xVal>
          <c:yVal>
            <c:numRef>
              <c:f>'Averages - Both groups'!$N$22:$N$23</c:f>
              <c:numCache>
                <c:formatCode>General</c:formatCode>
                <c:ptCount val="2"/>
              </c:numCache>
            </c:numRef>
          </c:yVal>
          <c:smooth val="0"/>
        </c:ser>
        <c:dLbls>
          <c:showLegendKey val="0"/>
          <c:showVal val="0"/>
          <c:showCatName val="0"/>
          <c:showSerName val="0"/>
          <c:showPercent val="0"/>
          <c:showBubbleSize val="0"/>
        </c:dLbls>
        <c:axId val="147151488"/>
        <c:axId val="147149952"/>
      </c:scatterChart>
      <c:catAx>
        <c:axId val="147146240"/>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7147776"/>
        <c:crossesAt val="0"/>
        <c:auto val="1"/>
        <c:lblAlgn val="ctr"/>
        <c:lblOffset val="100"/>
        <c:noMultiLvlLbl val="0"/>
      </c:catAx>
      <c:valAx>
        <c:axId val="147147776"/>
        <c:scaling>
          <c:orientation val="minMax"/>
          <c:max val="5"/>
          <c:min val="0"/>
        </c:scaling>
        <c:delete val="0"/>
        <c:axPos val="l"/>
        <c:majorGridlines/>
        <c:title>
          <c:tx>
            <c:rich>
              <a:bodyPr rot="-5400000" vert="horz"/>
              <a:lstStyle/>
              <a:p>
                <a:pPr>
                  <a:defRPr/>
                </a:pPr>
                <a:r>
                  <a:rPr lang="en-GB" b="0" i="0" baseline="0"/>
                  <a:t>Satisfaction Rating</a:t>
                </a:r>
              </a:p>
            </c:rich>
          </c:tx>
          <c:overlay val="0"/>
        </c:title>
        <c:numFmt formatCode="0.0" sourceLinked="0"/>
        <c:majorTickMark val="out"/>
        <c:minorTickMark val="none"/>
        <c:tickLblPos val="nextTo"/>
        <c:spPr>
          <a:ln w="44450">
            <a:solidFill>
              <a:schemeClr val="tx1"/>
            </a:solidFill>
          </a:ln>
        </c:spPr>
        <c:crossAx val="147146240"/>
        <c:crossesAt val="1"/>
        <c:crossBetween val="between"/>
        <c:majorUnit val="1"/>
      </c:valAx>
      <c:valAx>
        <c:axId val="147149952"/>
        <c:scaling>
          <c:orientation val="minMax"/>
        </c:scaling>
        <c:delete val="1"/>
        <c:axPos val="r"/>
        <c:numFmt formatCode="General" sourceLinked="1"/>
        <c:majorTickMark val="out"/>
        <c:minorTickMark val="none"/>
        <c:tickLblPos val="none"/>
        <c:crossAx val="147151488"/>
        <c:crosses val="max"/>
        <c:crossBetween val="midCat"/>
      </c:valAx>
      <c:valAx>
        <c:axId val="147151488"/>
        <c:scaling>
          <c:orientation val="minMax"/>
          <c:max val="1"/>
          <c:min val="0"/>
        </c:scaling>
        <c:delete val="0"/>
        <c:axPos val="t"/>
        <c:numFmt formatCode="General" sourceLinked="1"/>
        <c:majorTickMark val="none"/>
        <c:minorTickMark val="none"/>
        <c:tickLblPos val="none"/>
        <c:crossAx val="147149952"/>
        <c:crosses val="max"/>
        <c:crossBetween val="midCat"/>
      </c:valAx>
      <c:spPr>
        <a:ln w="0">
          <a:noFill/>
        </a:ln>
      </c:spPr>
    </c:plotArea>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6 </a:t>
            </a:r>
            <a:r>
              <a:rPr lang="en-GB" sz="1800" b="1" i="0" u="none" strike="noStrike" baseline="0"/>
              <a:t>Effectiveness</a:t>
            </a:r>
            <a:endParaRPr lang="en-GB"/>
          </a:p>
        </c:rich>
      </c:tx>
      <c:overlay val="0"/>
    </c:title>
    <c:autoTitleDeleted val="0"/>
    <c:plotArea>
      <c:layout/>
      <c:barChart>
        <c:barDir val="col"/>
        <c:grouping val="clustered"/>
        <c:varyColors val="1"/>
        <c:ser>
          <c:idx val="0"/>
          <c:order val="0"/>
          <c:spPr>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groups'!$H$4:$H$9</c:f>
              <c:numCache>
                <c:formatCode>0.00</c:formatCode>
                <c:ptCount val="6"/>
                <c:pt idx="0">
                  <c:v>0.2986111111111111</c:v>
                </c:pt>
                <c:pt idx="1">
                  <c:v>0.29166666666666669</c:v>
                </c:pt>
                <c:pt idx="2">
                  <c:v>0.27777777777777779</c:v>
                </c:pt>
                <c:pt idx="3">
                  <c:v>0.16666666666666666</c:v>
                </c:pt>
                <c:pt idx="4">
                  <c:v>0.61111111111111116</c:v>
                </c:pt>
                <c:pt idx="5">
                  <c:v>0.30555555555555558</c:v>
                </c:pt>
              </c:numCache>
            </c:numRef>
          </c:val>
        </c:ser>
        <c:dLbls>
          <c:showLegendKey val="0"/>
          <c:showVal val="0"/>
          <c:showCatName val="0"/>
          <c:showSerName val="0"/>
          <c:showPercent val="0"/>
          <c:showBubbleSize val="0"/>
        </c:dLbls>
        <c:gapWidth val="150"/>
        <c:axId val="147186048"/>
        <c:axId val="147187584"/>
      </c:barChart>
      <c:scatterChart>
        <c:scatterStyle val="lineMarker"/>
        <c:varyColors val="1"/>
        <c:ser>
          <c:idx val="1"/>
          <c:order val="1"/>
          <c:tx>
            <c:strRef>
              <c:f>'Averages - Both groups'!$P$2</c:f>
              <c:strCache>
                <c:ptCount val="1"/>
              </c:strCache>
            </c:strRef>
          </c:tx>
          <c:spPr>
            <a:ln w="38100"/>
          </c:spPr>
          <c:marker>
            <c:symbol val="none"/>
          </c:marker>
          <c:xVal>
            <c:numRef>
              <c:f>'Averages - Both groups'!$M$3:$M$4</c:f>
              <c:numCache>
                <c:formatCode>General</c:formatCode>
                <c:ptCount val="2"/>
              </c:numCache>
            </c:numRef>
          </c:xVal>
          <c:yVal>
            <c:numRef>
              <c:f>'Averages - Both groups'!$N$3:$N$4</c:f>
              <c:numCache>
                <c:formatCode>General</c:formatCode>
                <c:ptCount val="2"/>
              </c:numCache>
            </c:numRef>
          </c:yVal>
          <c:smooth val="0"/>
        </c:ser>
        <c:dLbls>
          <c:showLegendKey val="0"/>
          <c:showVal val="0"/>
          <c:showCatName val="0"/>
          <c:showSerName val="0"/>
          <c:showPercent val="0"/>
          <c:showBubbleSize val="0"/>
        </c:dLbls>
        <c:axId val="147199488"/>
        <c:axId val="147197952"/>
      </c:scatterChart>
      <c:catAx>
        <c:axId val="147186048"/>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7187584"/>
        <c:crossesAt val="0"/>
        <c:auto val="1"/>
        <c:lblAlgn val="ctr"/>
        <c:lblOffset val="100"/>
        <c:noMultiLvlLbl val="0"/>
      </c:catAx>
      <c:valAx>
        <c:axId val="147187584"/>
        <c:scaling>
          <c:orientation val="minMax"/>
          <c:max val="1"/>
          <c:min val="0"/>
        </c:scaling>
        <c:delete val="0"/>
        <c:axPos val="l"/>
        <c:majorGridlines/>
        <c:title>
          <c:tx>
            <c:rich>
              <a:bodyPr rot="-5400000" vert="horz"/>
              <a:lstStyle/>
              <a:p>
                <a:pPr>
                  <a:defRPr/>
                </a:pPr>
                <a:r>
                  <a:rPr lang="en-GB" b="0" i="0" baseline="0"/>
                  <a:t>Task Completion Rate</a:t>
                </a:r>
              </a:p>
            </c:rich>
          </c:tx>
          <c:overlay val="0"/>
        </c:title>
        <c:numFmt formatCode="0.0" sourceLinked="0"/>
        <c:majorTickMark val="out"/>
        <c:minorTickMark val="none"/>
        <c:tickLblPos val="nextTo"/>
        <c:spPr>
          <a:ln w="44450">
            <a:solidFill>
              <a:schemeClr val="tx1"/>
            </a:solidFill>
          </a:ln>
        </c:spPr>
        <c:crossAx val="147186048"/>
        <c:crossesAt val="1"/>
        <c:crossBetween val="between"/>
        <c:majorUnit val="0.2"/>
      </c:valAx>
      <c:valAx>
        <c:axId val="147197952"/>
        <c:scaling>
          <c:orientation val="minMax"/>
        </c:scaling>
        <c:delete val="1"/>
        <c:axPos val="r"/>
        <c:numFmt formatCode="General" sourceLinked="1"/>
        <c:majorTickMark val="out"/>
        <c:minorTickMark val="none"/>
        <c:tickLblPos val="none"/>
        <c:crossAx val="147199488"/>
        <c:crosses val="max"/>
        <c:crossBetween val="midCat"/>
      </c:valAx>
      <c:valAx>
        <c:axId val="147199488"/>
        <c:scaling>
          <c:orientation val="minMax"/>
          <c:max val="1"/>
          <c:min val="0"/>
        </c:scaling>
        <c:delete val="0"/>
        <c:axPos val="t"/>
        <c:numFmt formatCode="General" sourceLinked="1"/>
        <c:majorTickMark val="none"/>
        <c:minorTickMark val="none"/>
        <c:tickLblPos val="none"/>
        <c:crossAx val="147197952"/>
        <c:crosses val="max"/>
        <c:crossBetween val="midCat"/>
      </c:valAx>
      <c:spPr>
        <a:ln w="0">
          <a:noFill/>
        </a:ln>
      </c:spPr>
    </c:plotArea>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6 </a:t>
            </a:r>
            <a:r>
              <a:rPr lang="en-GB" sz="1800" b="1" i="0" u="none" strike="noStrike" baseline="0"/>
              <a:t>Efficiency</a:t>
            </a:r>
            <a:endParaRPr lang="en-GB"/>
          </a:p>
        </c:rich>
      </c:tx>
      <c:overlay val="0"/>
    </c:title>
    <c:autoTitleDeleted val="0"/>
    <c:plotArea>
      <c:layout/>
      <c:barChart>
        <c:barDir val="col"/>
        <c:grouping val="clustered"/>
        <c:varyColors val="0"/>
        <c:ser>
          <c:idx val="0"/>
          <c:order val="0"/>
          <c:spPr>
            <a:solidFill>
              <a:schemeClr val="accent6">
                <a:lumMod val="75000"/>
              </a:schemeClr>
            </a:solidFill>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groups'!$H$13:$H$18</c:f>
              <c:numCache>
                <c:formatCode>0.00</c:formatCode>
                <c:ptCount val="6"/>
                <c:pt idx="0">
                  <c:v>43.46153846153846</c:v>
                </c:pt>
                <c:pt idx="1">
                  <c:v>60.25</c:v>
                </c:pt>
                <c:pt idx="2">
                  <c:v>87.94736842105263</c:v>
                </c:pt>
                <c:pt idx="3">
                  <c:v>117.08333333333333</c:v>
                </c:pt>
                <c:pt idx="4">
                  <c:v>57.64</c:v>
                </c:pt>
                <c:pt idx="5">
                  <c:v>97.818181818181813</c:v>
                </c:pt>
              </c:numCache>
            </c:numRef>
          </c:val>
        </c:ser>
        <c:dLbls>
          <c:showLegendKey val="0"/>
          <c:showVal val="0"/>
          <c:showCatName val="0"/>
          <c:showSerName val="0"/>
          <c:showPercent val="0"/>
          <c:showBubbleSize val="0"/>
        </c:dLbls>
        <c:gapWidth val="150"/>
        <c:axId val="147241984"/>
        <c:axId val="147243776"/>
      </c:barChart>
      <c:scatterChart>
        <c:scatterStyle val="lineMarker"/>
        <c:varyColors val="0"/>
        <c:ser>
          <c:idx val="1"/>
          <c:order val="1"/>
          <c:tx>
            <c:v>Benchmark</c:v>
          </c:tx>
          <c:marker>
            <c:symbol val="none"/>
          </c:marker>
          <c:xVal>
            <c:numRef>
              <c:f>'Averages - Both groups'!$M$12:$M$13</c:f>
              <c:numCache>
                <c:formatCode>General</c:formatCode>
                <c:ptCount val="2"/>
              </c:numCache>
            </c:numRef>
          </c:xVal>
          <c:yVal>
            <c:numLit>
              <c:formatCode>General</c:formatCode>
              <c:ptCount val="2"/>
              <c:pt idx="0">
                <c:v>60</c:v>
              </c:pt>
              <c:pt idx="1">
                <c:v>60</c:v>
              </c:pt>
            </c:numLit>
          </c:yVal>
          <c:smooth val="0"/>
        </c:ser>
        <c:dLbls>
          <c:showLegendKey val="0"/>
          <c:showVal val="0"/>
          <c:showCatName val="0"/>
          <c:showSerName val="0"/>
          <c:showPercent val="0"/>
          <c:showBubbleSize val="0"/>
        </c:dLbls>
        <c:axId val="147255680"/>
        <c:axId val="147245696"/>
      </c:scatterChart>
      <c:catAx>
        <c:axId val="147241984"/>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7243776"/>
        <c:crossesAt val="0"/>
        <c:auto val="1"/>
        <c:lblAlgn val="ctr"/>
        <c:lblOffset val="100"/>
        <c:noMultiLvlLbl val="0"/>
      </c:catAx>
      <c:valAx>
        <c:axId val="147243776"/>
        <c:scaling>
          <c:orientation val="minMax"/>
          <c:max val="180"/>
          <c:min val="0"/>
        </c:scaling>
        <c:delete val="0"/>
        <c:axPos val="l"/>
        <c:majorGridlines/>
        <c:title>
          <c:tx>
            <c:rich>
              <a:bodyPr rot="-5400000" vert="horz"/>
              <a:lstStyle/>
              <a:p>
                <a:pPr>
                  <a:defRPr/>
                </a:pPr>
                <a:r>
                  <a:rPr lang="en-GB" b="0" i="0" baseline="0"/>
                  <a:t>Time on Task (Seconds)</a:t>
                </a:r>
              </a:p>
            </c:rich>
          </c:tx>
          <c:overlay val="0"/>
        </c:title>
        <c:numFmt formatCode="0.0" sourceLinked="0"/>
        <c:majorTickMark val="out"/>
        <c:minorTickMark val="none"/>
        <c:tickLblPos val="nextTo"/>
        <c:spPr>
          <a:ln w="44450">
            <a:solidFill>
              <a:schemeClr val="tx1"/>
            </a:solidFill>
          </a:ln>
        </c:spPr>
        <c:crossAx val="147241984"/>
        <c:crossesAt val="1"/>
        <c:crossBetween val="between"/>
        <c:majorUnit val="60"/>
      </c:valAx>
      <c:valAx>
        <c:axId val="147245696"/>
        <c:scaling>
          <c:orientation val="minMax"/>
          <c:max val="180"/>
        </c:scaling>
        <c:delete val="0"/>
        <c:axPos val="r"/>
        <c:numFmt formatCode="General" sourceLinked="1"/>
        <c:majorTickMark val="none"/>
        <c:minorTickMark val="none"/>
        <c:tickLblPos val="none"/>
        <c:crossAx val="147255680"/>
        <c:crosses val="max"/>
        <c:crossBetween val="midCat"/>
      </c:valAx>
      <c:valAx>
        <c:axId val="147255680"/>
        <c:scaling>
          <c:orientation val="minMax"/>
          <c:max val="1"/>
        </c:scaling>
        <c:delete val="0"/>
        <c:axPos val="t"/>
        <c:numFmt formatCode="General" sourceLinked="1"/>
        <c:majorTickMark val="none"/>
        <c:minorTickMark val="none"/>
        <c:tickLblPos val="none"/>
        <c:crossAx val="147245696"/>
        <c:crosses val="max"/>
        <c:crossBetween val="midCat"/>
      </c:valAx>
      <c:spPr>
        <a:ln w="0">
          <a:noFill/>
        </a:ln>
      </c:spPr>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6 </a:t>
            </a:r>
            <a:r>
              <a:rPr lang="en-GB" sz="1800" b="1" i="0" u="none" strike="noStrike" baseline="0"/>
              <a:t>Satisfaction</a:t>
            </a:r>
            <a:endParaRPr lang="en-GB"/>
          </a:p>
        </c:rich>
      </c:tx>
      <c:overlay val="0"/>
    </c:title>
    <c:autoTitleDeleted val="0"/>
    <c:plotArea>
      <c:layout/>
      <c:barChart>
        <c:barDir val="col"/>
        <c:grouping val="clustered"/>
        <c:varyColors val="1"/>
        <c:ser>
          <c:idx val="0"/>
          <c:order val="0"/>
          <c:spPr>
            <a:solidFill>
              <a:schemeClr val="accent3">
                <a:lumMod val="75000"/>
              </a:schemeClr>
            </a:solidFill>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groups'!$H$22:$H$27</c:f>
              <c:numCache>
                <c:formatCode>0.00</c:formatCode>
                <c:ptCount val="6"/>
                <c:pt idx="0">
                  <c:v>3.7777777777777777</c:v>
                </c:pt>
                <c:pt idx="1">
                  <c:v>2.8888888888888888</c:v>
                </c:pt>
                <c:pt idx="2">
                  <c:v>2.6111111111111112</c:v>
                </c:pt>
                <c:pt idx="3">
                  <c:v>1.9166666666666667</c:v>
                </c:pt>
                <c:pt idx="4">
                  <c:v>3.0277777777777777</c:v>
                </c:pt>
                <c:pt idx="5">
                  <c:v>3.0555555555555554</c:v>
                </c:pt>
              </c:numCache>
            </c:numRef>
          </c:val>
        </c:ser>
        <c:dLbls>
          <c:showLegendKey val="0"/>
          <c:showVal val="0"/>
          <c:showCatName val="0"/>
          <c:showSerName val="0"/>
          <c:showPercent val="0"/>
          <c:showBubbleSize val="0"/>
        </c:dLbls>
        <c:gapWidth val="150"/>
        <c:axId val="147416576"/>
        <c:axId val="147418112"/>
      </c:barChart>
      <c:scatterChart>
        <c:scatterStyle val="lineMarker"/>
        <c:varyColors val="1"/>
        <c:ser>
          <c:idx val="1"/>
          <c:order val="1"/>
          <c:tx>
            <c:v>Benchmark</c:v>
          </c:tx>
          <c:spPr>
            <a:ln w="38100"/>
          </c:spPr>
          <c:marker>
            <c:symbol val="none"/>
          </c:marker>
          <c:xVal>
            <c:numRef>
              <c:f>'Averages - Both groups'!$M$3:$M$4</c:f>
              <c:numCache>
                <c:formatCode>General</c:formatCode>
                <c:ptCount val="2"/>
              </c:numCache>
            </c:numRef>
          </c:xVal>
          <c:yVal>
            <c:numRef>
              <c:f>'Averages - Both groups'!$N$22:$N$23</c:f>
              <c:numCache>
                <c:formatCode>General</c:formatCode>
                <c:ptCount val="2"/>
              </c:numCache>
            </c:numRef>
          </c:yVal>
          <c:smooth val="0"/>
        </c:ser>
        <c:dLbls>
          <c:showLegendKey val="0"/>
          <c:showVal val="0"/>
          <c:showCatName val="0"/>
          <c:showSerName val="0"/>
          <c:showPercent val="0"/>
          <c:showBubbleSize val="0"/>
        </c:dLbls>
        <c:axId val="147421824"/>
        <c:axId val="147420288"/>
      </c:scatterChart>
      <c:catAx>
        <c:axId val="147416576"/>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7418112"/>
        <c:crossesAt val="0"/>
        <c:auto val="1"/>
        <c:lblAlgn val="ctr"/>
        <c:lblOffset val="100"/>
        <c:noMultiLvlLbl val="0"/>
      </c:catAx>
      <c:valAx>
        <c:axId val="147418112"/>
        <c:scaling>
          <c:orientation val="minMax"/>
          <c:max val="5"/>
          <c:min val="0"/>
        </c:scaling>
        <c:delete val="0"/>
        <c:axPos val="l"/>
        <c:majorGridlines/>
        <c:title>
          <c:tx>
            <c:rich>
              <a:bodyPr rot="-5400000" vert="horz"/>
              <a:lstStyle/>
              <a:p>
                <a:pPr>
                  <a:defRPr/>
                </a:pPr>
                <a:r>
                  <a:rPr lang="en-GB" b="0" i="0" baseline="0"/>
                  <a:t>Satisfaction Rating</a:t>
                </a:r>
              </a:p>
            </c:rich>
          </c:tx>
          <c:overlay val="0"/>
        </c:title>
        <c:numFmt formatCode="0.0" sourceLinked="0"/>
        <c:majorTickMark val="out"/>
        <c:minorTickMark val="none"/>
        <c:tickLblPos val="nextTo"/>
        <c:spPr>
          <a:ln w="44450">
            <a:solidFill>
              <a:schemeClr val="tx1"/>
            </a:solidFill>
          </a:ln>
        </c:spPr>
        <c:crossAx val="147416576"/>
        <c:crossesAt val="1"/>
        <c:crossBetween val="between"/>
        <c:majorUnit val="1"/>
      </c:valAx>
      <c:valAx>
        <c:axId val="147420288"/>
        <c:scaling>
          <c:orientation val="minMax"/>
        </c:scaling>
        <c:delete val="1"/>
        <c:axPos val="r"/>
        <c:numFmt formatCode="General" sourceLinked="1"/>
        <c:majorTickMark val="out"/>
        <c:minorTickMark val="none"/>
        <c:tickLblPos val="none"/>
        <c:crossAx val="147421824"/>
        <c:crosses val="max"/>
        <c:crossBetween val="midCat"/>
      </c:valAx>
      <c:valAx>
        <c:axId val="147421824"/>
        <c:scaling>
          <c:orientation val="minMax"/>
          <c:max val="1"/>
          <c:min val="0"/>
        </c:scaling>
        <c:delete val="0"/>
        <c:axPos val="t"/>
        <c:numFmt formatCode="General" sourceLinked="1"/>
        <c:majorTickMark val="none"/>
        <c:minorTickMark val="none"/>
        <c:tickLblPos val="none"/>
        <c:crossAx val="147420288"/>
        <c:crosses val="max"/>
        <c:crossBetween val="midCat"/>
      </c:valAx>
      <c:spPr>
        <a:ln w="0">
          <a:noFill/>
        </a:ln>
      </c:spPr>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7 </a:t>
            </a:r>
            <a:r>
              <a:rPr lang="en-GB" sz="1800" b="1" i="0" u="none" strike="noStrike" baseline="0"/>
              <a:t>Effectiveness</a:t>
            </a:r>
            <a:endParaRPr lang="en-GB"/>
          </a:p>
        </c:rich>
      </c:tx>
      <c:overlay val="0"/>
    </c:title>
    <c:autoTitleDeleted val="0"/>
    <c:plotArea>
      <c:layout/>
      <c:barChart>
        <c:barDir val="col"/>
        <c:grouping val="clustered"/>
        <c:varyColors val="1"/>
        <c:ser>
          <c:idx val="0"/>
          <c:order val="0"/>
          <c:spPr>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groups'!$I$4:$I$9</c:f>
              <c:numCache>
                <c:formatCode>0.00</c:formatCode>
                <c:ptCount val="6"/>
                <c:pt idx="1">
                  <c:v>0.67361111111111116</c:v>
                </c:pt>
                <c:pt idx="2">
                  <c:v>0.69444444444444442</c:v>
                </c:pt>
                <c:pt idx="3">
                  <c:v>0.43055555555555558</c:v>
                </c:pt>
                <c:pt idx="4">
                  <c:v>0.77083333333333337</c:v>
                </c:pt>
                <c:pt idx="5">
                  <c:v>0.95833333333333337</c:v>
                </c:pt>
              </c:numCache>
            </c:numRef>
          </c:val>
        </c:ser>
        <c:dLbls>
          <c:showLegendKey val="0"/>
          <c:showVal val="0"/>
          <c:showCatName val="0"/>
          <c:showSerName val="0"/>
          <c:showPercent val="0"/>
          <c:showBubbleSize val="0"/>
        </c:dLbls>
        <c:gapWidth val="150"/>
        <c:axId val="147452288"/>
        <c:axId val="147453824"/>
      </c:barChart>
      <c:scatterChart>
        <c:scatterStyle val="lineMarker"/>
        <c:varyColors val="1"/>
        <c:ser>
          <c:idx val="1"/>
          <c:order val="1"/>
          <c:tx>
            <c:strRef>
              <c:f>'Averages - Both groups'!$P$2</c:f>
              <c:strCache>
                <c:ptCount val="1"/>
              </c:strCache>
            </c:strRef>
          </c:tx>
          <c:spPr>
            <a:ln w="38100"/>
          </c:spPr>
          <c:marker>
            <c:symbol val="none"/>
          </c:marker>
          <c:xVal>
            <c:numRef>
              <c:f>'Averages - Both groups'!$M$3:$M$4</c:f>
              <c:numCache>
                <c:formatCode>General</c:formatCode>
                <c:ptCount val="2"/>
              </c:numCache>
            </c:numRef>
          </c:xVal>
          <c:yVal>
            <c:numRef>
              <c:f>'Averages - Both groups'!$N$3:$N$4</c:f>
              <c:numCache>
                <c:formatCode>General</c:formatCode>
                <c:ptCount val="2"/>
              </c:numCache>
            </c:numRef>
          </c:yVal>
          <c:smooth val="0"/>
        </c:ser>
        <c:dLbls>
          <c:showLegendKey val="0"/>
          <c:showVal val="0"/>
          <c:showCatName val="0"/>
          <c:showSerName val="0"/>
          <c:showPercent val="0"/>
          <c:showBubbleSize val="0"/>
        </c:dLbls>
        <c:axId val="147465728"/>
        <c:axId val="147464192"/>
      </c:scatterChart>
      <c:catAx>
        <c:axId val="147452288"/>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7453824"/>
        <c:crossesAt val="0"/>
        <c:auto val="1"/>
        <c:lblAlgn val="ctr"/>
        <c:lblOffset val="100"/>
        <c:noMultiLvlLbl val="0"/>
      </c:catAx>
      <c:valAx>
        <c:axId val="147453824"/>
        <c:scaling>
          <c:orientation val="minMax"/>
          <c:max val="1"/>
          <c:min val="0"/>
        </c:scaling>
        <c:delete val="0"/>
        <c:axPos val="l"/>
        <c:majorGridlines/>
        <c:title>
          <c:tx>
            <c:rich>
              <a:bodyPr rot="-5400000" vert="horz"/>
              <a:lstStyle/>
              <a:p>
                <a:pPr>
                  <a:defRPr/>
                </a:pPr>
                <a:r>
                  <a:rPr lang="en-GB" b="0" i="0" baseline="0"/>
                  <a:t>Task Completion Rate</a:t>
                </a:r>
              </a:p>
            </c:rich>
          </c:tx>
          <c:overlay val="0"/>
        </c:title>
        <c:numFmt formatCode="0.0" sourceLinked="0"/>
        <c:majorTickMark val="out"/>
        <c:minorTickMark val="none"/>
        <c:tickLblPos val="nextTo"/>
        <c:spPr>
          <a:ln w="44450">
            <a:solidFill>
              <a:schemeClr val="tx1"/>
            </a:solidFill>
          </a:ln>
        </c:spPr>
        <c:crossAx val="147452288"/>
        <c:crossesAt val="1"/>
        <c:crossBetween val="between"/>
        <c:majorUnit val="0.2"/>
      </c:valAx>
      <c:valAx>
        <c:axId val="147464192"/>
        <c:scaling>
          <c:orientation val="minMax"/>
        </c:scaling>
        <c:delete val="1"/>
        <c:axPos val="r"/>
        <c:numFmt formatCode="General" sourceLinked="1"/>
        <c:majorTickMark val="out"/>
        <c:minorTickMark val="none"/>
        <c:tickLblPos val="none"/>
        <c:crossAx val="147465728"/>
        <c:crosses val="max"/>
        <c:crossBetween val="midCat"/>
      </c:valAx>
      <c:valAx>
        <c:axId val="147465728"/>
        <c:scaling>
          <c:orientation val="minMax"/>
          <c:max val="1"/>
          <c:min val="0"/>
        </c:scaling>
        <c:delete val="0"/>
        <c:axPos val="t"/>
        <c:numFmt formatCode="General" sourceLinked="1"/>
        <c:majorTickMark val="none"/>
        <c:minorTickMark val="none"/>
        <c:tickLblPos val="none"/>
        <c:crossAx val="147464192"/>
        <c:crosses val="max"/>
        <c:crossBetween val="midCat"/>
      </c:valAx>
      <c:spPr>
        <a:ln w="0">
          <a:noFill/>
        </a:ln>
      </c:spPr>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7 </a:t>
            </a:r>
            <a:r>
              <a:rPr lang="en-GB" sz="1800" b="1" i="0" u="none" strike="noStrike" baseline="0"/>
              <a:t>Efficiency</a:t>
            </a:r>
            <a:endParaRPr lang="en-GB"/>
          </a:p>
        </c:rich>
      </c:tx>
      <c:overlay val="0"/>
    </c:title>
    <c:autoTitleDeleted val="0"/>
    <c:plotArea>
      <c:layout/>
      <c:barChart>
        <c:barDir val="col"/>
        <c:grouping val="clustered"/>
        <c:varyColors val="0"/>
        <c:ser>
          <c:idx val="0"/>
          <c:order val="0"/>
          <c:spPr>
            <a:solidFill>
              <a:schemeClr val="accent6">
                <a:lumMod val="75000"/>
              </a:schemeClr>
            </a:solidFill>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groups'!$I$13:$I$18</c:f>
              <c:numCache>
                <c:formatCode>0.00</c:formatCode>
                <c:ptCount val="6"/>
                <c:pt idx="1">
                  <c:v>75.959999999999994</c:v>
                </c:pt>
                <c:pt idx="2">
                  <c:v>94.821428571428569</c:v>
                </c:pt>
                <c:pt idx="3">
                  <c:v>131.85</c:v>
                </c:pt>
                <c:pt idx="4">
                  <c:v>54.757575757575758</c:v>
                </c:pt>
                <c:pt idx="5">
                  <c:v>44.027777777777779</c:v>
                </c:pt>
              </c:numCache>
            </c:numRef>
          </c:val>
        </c:ser>
        <c:dLbls>
          <c:showLegendKey val="0"/>
          <c:showVal val="0"/>
          <c:showCatName val="0"/>
          <c:showSerName val="0"/>
          <c:showPercent val="0"/>
          <c:showBubbleSize val="0"/>
        </c:dLbls>
        <c:gapWidth val="150"/>
        <c:axId val="147495936"/>
        <c:axId val="147505920"/>
      </c:barChart>
      <c:scatterChart>
        <c:scatterStyle val="lineMarker"/>
        <c:varyColors val="0"/>
        <c:ser>
          <c:idx val="1"/>
          <c:order val="1"/>
          <c:tx>
            <c:v>Benchmark</c:v>
          </c:tx>
          <c:spPr>
            <a:ln w="38100"/>
          </c:spPr>
          <c:marker>
            <c:symbol val="none"/>
          </c:marker>
          <c:xVal>
            <c:numRef>
              <c:f>'Averages - Both groups'!$M$12:$M$13</c:f>
              <c:numCache>
                <c:formatCode>General</c:formatCode>
                <c:ptCount val="2"/>
              </c:numCache>
            </c:numRef>
          </c:xVal>
          <c:yVal>
            <c:numLit>
              <c:formatCode>General</c:formatCode>
              <c:ptCount val="2"/>
              <c:pt idx="0">
                <c:v>120</c:v>
              </c:pt>
              <c:pt idx="1">
                <c:v>120</c:v>
              </c:pt>
            </c:numLit>
          </c:yVal>
          <c:smooth val="0"/>
        </c:ser>
        <c:dLbls>
          <c:showLegendKey val="0"/>
          <c:showVal val="0"/>
          <c:showCatName val="0"/>
          <c:showSerName val="0"/>
          <c:showPercent val="0"/>
          <c:showBubbleSize val="0"/>
        </c:dLbls>
        <c:axId val="147521920"/>
        <c:axId val="147507840"/>
      </c:scatterChart>
      <c:catAx>
        <c:axId val="147495936"/>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7505920"/>
        <c:crossesAt val="0"/>
        <c:auto val="1"/>
        <c:lblAlgn val="ctr"/>
        <c:lblOffset val="100"/>
        <c:noMultiLvlLbl val="0"/>
      </c:catAx>
      <c:valAx>
        <c:axId val="147505920"/>
        <c:scaling>
          <c:orientation val="minMax"/>
          <c:max val="180"/>
          <c:min val="0"/>
        </c:scaling>
        <c:delete val="0"/>
        <c:axPos val="l"/>
        <c:majorGridlines/>
        <c:title>
          <c:tx>
            <c:rich>
              <a:bodyPr rot="-5400000" vert="horz"/>
              <a:lstStyle/>
              <a:p>
                <a:pPr>
                  <a:defRPr/>
                </a:pPr>
                <a:r>
                  <a:rPr lang="en-GB" b="0" i="0" baseline="0"/>
                  <a:t>Time on Task (Seconds)</a:t>
                </a:r>
              </a:p>
            </c:rich>
          </c:tx>
          <c:overlay val="0"/>
        </c:title>
        <c:numFmt formatCode="0.0" sourceLinked="0"/>
        <c:majorTickMark val="out"/>
        <c:minorTickMark val="none"/>
        <c:tickLblPos val="nextTo"/>
        <c:spPr>
          <a:ln w="44450">
            <a:solidFill>
              <a:schemeClr val="tx1"/>
            </a:solidFill>
          </a:ln>
        </c:spPr>
        <c:crossAx val="147495936"/>
        <c:crossesAt val="1"/>
        <c:crossBetween val="between"/>
        <c:majorUnit val="60"/>
      </c:valAx>
      <c:valAx>
        <c:axId val="147507840"/>
        <c:scaling>
          <c:orientation val="minMax"/>
          <c:max val="180"/>
        </c:scaling>
        <c:delete val="0"/>
        <c:axPos val="r"/>
        <c:numFmt formatCode="General" sourceLinked="1"/>
        <c:majorTickMark val="none"/>
        <c:minorTickMark val="none"/>
        <c:tickLblPos val="none"/>
        <c:crossAx val="147521920"/>
        <c:crosses val="max"/>
        <c:crossBetween val="midCat"/>
      </c:valAx>
      <c:valAx>
        <c:axId val="147521920"/>
        <c:scaling>
          <c:orientation val="minMax"/>
          <c:max val="1"/>
        </c:scaling>
        <c:delete val="0"/>
        <c:axPos val="t"/>
        <c:numFmt formatCode="General" sourceLinked="1"/>
        <c:majorTickMark val="none"/>
        <c:minorTickMark val="none"/>
        <c:tickLblPos val="none"/>
        <c:crossAx val="147507840"/>
        <c:crosses val="max"/>
        <c:crossBetween val="midCat"/>
      </c:valAx>
      <c:spPr>
        <a:ln w="0">
          <a:noFill/>
        </a:ln>
      </c:spPr>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Task 7 </a:t>
            </a:r>
            <a:r>
              <a:rPr lang="en-GB" sz="1800" b="1" i="0" u="none" strike="noStrike" baseline="0"/>
              <a:t>Satisfaction</a:t>
            </a:r>
            <a:endParaRPr lang="en-GB"/>
          </a:p>
        </c:rich>
      </c:tx>
      <c:overlay val="0"/>
    </c:title>
    <c:autoTitleDeleted val="0"/>
    <c:plotArea>
      <c:layout/>
      <c:barChart>
        <c:barDir val="col"/>
        <c:grouping val="clustered"/>
        <c:varyColors val="1"/>
        <c:ser>
          <c:idx val="0"/>
          <c:order val="0"/>
          <c:spPr>
            <a:solidFill>
              <a:schemeClr val="accent3">
                <a:lumMod val="75000"/>
              </a:schemeClr>
            </a:solidFill>
            <a:ln>
              <a:noFill/>
            </a:ln>
            <a:effectLst/>
          </c:spPr>
          <c:invertIfNegative val="0"/>
          <c:cat>
            <c:strRef>
              <c:f>'Averages - Both groups'!$A$4:$A$9</c:f>
              <c:strCache>
                <c:ptCount val="6"/>
                <c:pt idx="0">
                  <c:v>System A</c:v>
                </c:pt>
                <c:pt idx="1">
                  <c:v>System B</c:v>
                </c:pt>
                <c:pt idx="2">
                  <c:v>System C</c:v>
                </c:pt>
                <c:pt idx="3">
                  <c:v>System D</c:v>
                </c:pt>
                <c:pt idx="4">
                  <c:v>System E</c:v>
                </c:pt>
                <c:pt idx="5">
                  <c:v>System F</c:v>
                </c:pt>
              </c:strCache>
            </c:strRef>
          </c:cat>
          <c:val>
            <c:numRef>
              <c:f>'Averages - Both groups'!$I$22:$I$27</c:f>
              <c:numCache>
                <c:formatCode>0.00</c:formatCode>
                <c:ptCount val="6"/>
                <c:pt idx="1">
                  <c:v>3.0277777777777777</c:v>
                </c:pt>
                <c:pt idx="2">
                  <c:v>3.1944444444444446</c:v>
                </c:pt>
                <c:pt idx="3">
                  <c:v>1.9166666666666667</c:v>
                </c:pt>
                <c:pt idx="4">
                  <c:v>3.9444444444444446</c:v>
                </c:pt>
                <c:pt idx="5">
                  <c:v>4.3611111111111107</c:v>
                </c:pt>
              </c:numCache>
            </c:numRef>
          </c:val>
        </c:ser>
        <c:dLbls>
          <c:showLegendKey val="0"/>
          <c:showVal val="0"/>
          <c:showCatName val="0"/>
          <c:showSerName val="0"/>
          <c:showPercent val="0"/>
          <c:showBubbleSize val="0"/>
        </c:dLbls>
        <c:gapWidth val="150"/>
        <c:axId val="147535744"/>
        <c:axId val="147537280"/>
      </c:barChart>
      <c:scatterChart>
        <c:scatterStyle val="lineMarker"/>
        <c:varyColors val="1"/>
        <c:ser>
          <c:idx val="1"/>
          <c:order val="1"/>
          <c:tx>
            <c:v>Benchmark</c:v>
          </c:tx>
          <c:spPr>
            <a:ln w="38100"/>
          </c:spPr>
          <c:marker>
            <c:symbol val="none"/>
          </c:marker>
          <c:xVal>
            <c:numRef>
              <c:f>'Averages - Both groups'!$M$3:$M$4</c:f>
              <c:numCache>
                <c:formatCode>General</c:formatCode>
                <c:ptCount val="2"/>
              </c:numCache>
            </c:numRef>
          </c:xVal>
          <c:yVal>
            <c:numRef>
              <c:f>'Averages - Both groups'!$N$22:$N$23</c:f>
              <c:numCache>
                <c:formatCode>General</c:formatCode>
                <c:ptCount val="2"/>
              </c:numCache>
            </c:numRef>
          </c:yVal>
          <c:smooth val="0"/>
        </c:ser>
        <c:dLbls>
          <c:showLegendKey val="0"/>
          <c:showVal val="0"/>
          <c:showCatName val="0"/>
          <c:showSerName val="0"/>
          <c:showPercent val="0"/>
          <c:showBubbleSize val="0"/>
        </c:dLbls>
        <c:axId val="147545088"/>
        <c:axId val="147543552"/>
      </c:scatterChart>
      <c:catAx>
        <c:axId val="147535744"/>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7537280"/>
        <c:crossesAt val="0"/>
        <c:auto val="1"/>
        <c:lblAlgn val="ctr"/>
        <c:lblOffset val="100"/>
        <c:noMultiLvlLbl val="0"/>
      </c:catAx>
      <c:valAx>
        <c:axId val="147537280"/>
        <c:scaling>
          <c:orientation val="minMax"/>
          <c:max val="5"/>
          <c:min val="0"/>
        </c:scaling>
        <c:delete val="0"/>
        <c:axPos val="l"/>
        <c:majorGridlines/>
        <c:title>
          <c:tx>
            <c:rich>
              <a:bodyPr rot="-5400000" vert="horz"/>
              <a:lstStyle/>
              <a:p>
                <a:pPr>
                  <a:defRPr/>
                </a:pPr>
                <a:r>
                  <a:rPr lang="en-GB" b="0" i="0" baseline="0"/>
                  <a:t>Satisfaction Rating</a:t>
                </a:r>
              </a:p>
            </c:rich>
          </c:tx>
          <c:overlay val="0"/>
        </c:title>
        <c:numFmt formatCode="0.0" sourceLinked="0"/>
        <c:majorTickMark val="out"/>
        <c:minorTickMark val="none"/>
        <c:tickLblPos val="nextTo"/>
        <c:spPr>
          <a:ln w="44450">
            <a:solidFill>
              <a:schemeClr val="tx1"/>
            </a:solidFill>
          </a:ln>
        </c:spPr>
        <c:crossAx val="147535744"/>
        <c:crossesAt val="1"/>
        <c:crossBetween val="between"/>
        <c:majorUnit val="1"/>
      </c:valAx>
      <c:valAx>
        <c:axId val="147543552"/>
        <c:scaling>
          <c:orientation val="minMax"/>
        </c:scaling>
        <c:delete val="1"/>
        <c:axPos val="r"/>
        <c:numFmt formatCode="General" sourceLinked="1"/>
        <c:majorTickMark val="out"/>
        <c:minorTickMark val="none"/>
        <c:tickLblPos val="none"/>
        <c:crossAx val="147545088"/>
        <c:crosses val="max"/>
        <c:crossBetween val="midCat"/>
      </c:valAx>
      <c:valAx>
        <c:axId val="147545088"/>
        <c:scaling>
          <c:orientation val="minMax"/>
          <c:max val="1"/>
          <c:min val="0"/>
        </c:scaling>
        <c:delete val="0"/>
        <c:axPos val="t"/>
        <c:numFmt formatCode="General" sourceLinked="1"/>
        <c:majorTickMark val="none"/>
        <c:minorTickMark val="none"/>
        <c:tickLblPos val="none"/>
        <c:crossAx val="147543552"/>
        <c:crosses val="max"/>
        <c:crossBetween val="midCat"/>
      </c:valAx>
      <c:spPr>
        <a:ln w="0">
          <a:noFill/>
        </a:ln>
      </c:spPr>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t>Efficiency - Smart phone usage</a:t>
            </a:r>
            <a:endParaRPr lang="en-GB"/>
          </a:p>
        </c:rich>
      </c:tx>
      <c:overlay val="0"/>
    </c:title>
    <c:autoTitleDeleted val="0"/>
    <c:plotArea>
      <c:layout/>
      <c:barChart>
        <c:barDir val="col"/>
        <c:grouping val="clustered"/>
        <c:varyColors val="1"/>
        <c:ser>
          <c:idx val="0"/>
          <c:order val="0"/>
          <c:invertIfNegative val="0"/>
          <c:cat>
            <c:strRef>
              <c:f>'Demographic Analysis - Group B'!$N$4:$N$5</c:f>
              <c:strCache>
                <c:ptCount val="2"/>
                <c:pt idx="0">
                  <c:v>Non-smart</c:v>
                </c:pt>
                <c:pt idx="1">
                  <c:v>Smart</c:v>
                </c:pt>
              </c:strCache>
            </c:strRef>
          </c:cat>
          <c:val>
            <c:numRef>
              <c:f>'Demographic Analysis - Group B'!$P$4:$P$5</c:f>
              <c:numCache>
                <c:formatCode>0.00</c:formatCode>
                <c:ptCount val="2"/>
                <c:pt idx="0">
                  <c:v>128.73281926406926</c:v>
                </c:pt>
                <c:pt idx="1">
                  <c:v>113.88774104683196</c:v>
                </c:pt>
              </c:numCache>
            </c:numRef>
          </c:val>
        </c:ser>
        <c:dLbls>
          <c:showLegendKey val="0"/>
          <c:showVal val="0"/>
          <c:showCatName val="0"/>
          <c:showSerName val="0"/>
          <c:showPercent val="0"/>
          <c:showBubbleSize val="0"/>
        </c:dLbls>
        <c:gapWidth val="150"/>
        <c:axId val="143599872"/>
        <c:axId val="143622144"/>
      </c:barChart>
      <c:catAx>
        <c:axId val="143599872"/>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3622144"/>
        <c:crossesAt val="0"/>
        <c:auto val="1"/>
        <c:lblAlgn val="ctr"/>
        <c:lblOffset val="100"/>
        <c:noMultiLvlLbl val="0"/>
      </c:catAx>
      <c:valAx>
        <c:axId val="143622144"/>
        <c:scaling>
          <c:orientation val="minMax"/>
          <c:max val="180"/>
          <c:min val="0"/>
        </c:scaling>
        <c:delete val="0"/>
        <c:axPos val="l"/>
        <c:majorGridlines/>
        <c:title>
          <c:tx>
            <c:rich>
              <a:bodyPr rot="-5400000" vert="horz"/>
              <a:lstStyle/>
              <a:p>
                <a:pPr>
                  <a:defRPr/>
                </a:pPr>
                <a:r>
                  <a:rPr lang="en-GB" b="0" i="0" baseline="0"/>
                  <a:t>Time on Task (Seconds)</a:t>
                </a:r>
              </a:p>
            </c:rich>
          </c:tx>
          <c:overlay val="0"/>
        </c:title>
        <c:numFmt formatCode="0.0" sourceLinked="0"/>
        <c:majorTickMark val="out"/>
        <c:minorTickMark val="none"/>
        <c:tickLblPos val="nextTo"/>
        <c:spPr>
          <a:ln w="44450">
            <a:solidFill>
              <a:schemeClr val="tx1"/>
            </a:solidFill>
          </a:ln>
        </c:spPr>
        <c:crossAx val="143599872"/>
        <c:crossesAt val="1"/>
        <c:crossBetween val="between"/>
        <c:majorUnit val="60"/>
      </c:valAx>
      <c:spPr>
        <a:ln w="0">
          <a:noFill/>
        </a:ln>
      </c:spPr>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t>Efficiency - Age</a:t>
            </a:r>
            <a:endParaRPr lang="en-GB"/>
          </a:p>
        </c:rich>
      </c:tx>
      <c:overlay val="0"/>
    </c:title>
    <c:autoTitleDeleted val="0"/>
    <c:plotArea>
      <c:layout/>
      <c:barChart>
        <c:barDir val="col"/>
        <c:grouping val="clustered"/>
        <c:varyColors val="1"/>
        <c:ser>
          <c:idx val="0"/>
          <c:order val="0"/>
          <c:invertIfNegative val="0"/>
          <c:cat>
            <c:strRef>
              <c:f>'Demographic Analysis - Group B'!$N$32:$N$34</c:f>
              <c:strCache>
                <c:ptCount val="3"/>
                <c:pt idx="0">
                  <c:v>18 to 35 years</c:v>
                </c:pt>
                <c:pt idx="1">
                  <c:v>36 to 55 years</c:v>
                </c:pt>
                <c:pt idx="2">
                  <c:v>56 to 75 years</c:v>
                </c:pt>
              </c:strCache>
            </c:strRef>
          </c:cat>
          <c:val>
            <c:numRef>
              <c:f>'Demographic Analysis - Group B'!$P$32:$P$34</c:f>
              <c:numCache>
                <c:formatCode>0.00</c:formatCode>
                <c:ptCount val="3"/>
                <c:pt idx="0">
                  <c:v>97.734090909090909</c:v>
                </c:pt>
                <c:pt idx="1">
                  <c:v>133.43636363636364</c:v>
                </c:pt>
                <c:pt idx="2">
                  <c:v>137.17561983471074</c:v>
                </c:pt>
              </c:numCache>
            </c:numRef>
          </c:val>
        </c:ser>
        <c:dLbls>
          <c:showLegendKey val="0"/>
          <c:showVal val="0"/>
          <c:showCatName val="0"/>
          <c:showSerName val="0"/>
          <c:showPercent val="0"/>
          <c:showBubbleSize val="0"/>
        </c:dLbls>
        <c:gapWidth val="150"/>
        <c:axId val="143363456"/>
        <c:axId val="143925248"/>
      </c:barChart>
      <c:catAx>
        <c:axId val="143363456"/>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3925248"/>
        <c:crossesAt val="0"/>
        <c:auto val="1"/>
        <c:lblAlgn val="ctr"/>
        <c:lblOffset val="100"/>
        <c:noMultiLvlLbl val="0"/>
      </c:catAx>
      <c:valAx>
        <c:axId val="143925248"/>
        <c:scaling>
          <c:orientation val="minMax"/>
          <c:max val="180"/>
          <c:min val="0"/>
        </c:scaling>
        <c:delete val="0"/>
        <c:axPos val="l"/>
        <c:majorGridlines/>
        <c:title>
          <c:tx>
            <c:rich>
              <a:bodyPr rot="-5400000" vert="horz"/>
              <a:lstStyle/>
              <a:p>
                <a:pPr>
                  <a:defRPr/>
                </a:pPr>
                <a:r>
                  <a:rPr lang="en-GB" b="0" i="0" baseline="0"/>
                  <a:t>Time on Task (Seconds)</a:t>
                </a:r>
              </a:p>
            </c:rich>
          </c:tx>
          <c:overlay val="0"/>
        </c:title>
        <c:numFmt formatCode="0.0" sourceLinked="0"/>
        <c:majorTickMark val="out"/>
        <c:minorTickMark val="none"/>
        <c:tickLblPos val="nextTo"/>
        <c:spPr>
          <a:ln w="44450">
            <a:solidFill>
              <a:schemeClr val="tx1"/>
            </a:solidFill>
          </a:ln>
        </c:spPr>
        <c:crossAx val="143363456"/>
        <c:crossesAt val="1"/>
        <c:crossBetween val="between"/>
        <c:majorUnit val="60"/>
      </c:valAx>
      <c:spPr>
        <a:ln w="0">
          <a:noFill/>
        </a:ln>
      </c:spPr>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t>Efficiency - Education Level</a:t>
            </a:r>
          </a:p>
        </c:rich>
      </c:tx>
      <c:overlay val="0"/>
    </c:title>
    <c:autoTitleDeleted val="0"/>
    <c:plotArea>
      <c:layout/>
      <c:barChart>
        <c:barDir val="col"/>
        <c:grouping val="clustered"/>
        <c:varyColors val="1"/>
        <c:ser>
          <c:idx val="0"/>
          <c:order val="0"/>
          <c:invertIfNegative val="0"/>
          <c:cat>
            <c:strRef>
              <c:f>'Demographic Analysis - Group B'!$N$36:$N$37</c:f>
              <c:strCache>
                <c:ptCount val="2"/>
                <c:pt idx="0">
                  <c:v>Below degree level education</c:v>
                </c:pt>
                <c:pt idx="1">
                  <c:v>Degree level education or above</c:v>
                </c:pt>
              </c:strCache>
            </c:strRef>
          </c:cat>
          <c:val>
            <c:numRef>
              <c:f>'Demographic Analysis - Group B'!$P$36:$P$37</c:f>
              <c:numCache>
                <c:formatCode>0.00</c:formatCode>
                <c:ptCount val="2"/>
                <c:pt idx="0">
                  <c:v>124.63162878787878</c:v>
                </c:pt>
                <c:pt idx="1">
                  <c:v>123.09469696969697</c:v>
                </c:pt>
              </c:numCache>
            </c:numRef>
          </c:val>
        </c:ser>
        <c:dLbls>
          <c:showLegendKey val="0"/>
          <c:showVal val="0"/>
          <c:showCatName val="0"/>
          <c:showSerName val="0"/>
          <c:showPercent val="0"/>
          <c:showBubbleSize val="0"/>
        </c:dLbls>
        <c:gapWidth val="150"/>
        <c:axId val="143949824"/>
        <c:axId val="143951360"/>
      </c:barChart>
      <c:catAx>
        <c:axId val="143949824"/>
        <c:scaling>
          <c:orientation val="minMax"/>
        </c:scaling>
        <c:delete val="0"/>
        <c:axPos val="b"/>
        <c:majorTickMark val="out"/>
        <c:minorTickMark val="none"/>
        <c:tickLblPos val="nextTo"/>
        <c:spPr>
          <a:ln w="44450">
            <a:solidFill>
              <a:sysClr val="windowText" lastClr="000000"/>
            </a:solidFill>
          </a:ln>
        </c:spPr>
        <c:txPr>
          <a:bodyPr rot="0"/>
          <a:lstStyle/>
          <a:p>
            <a:pPr>
              <a:defRPr/>
            </a:pPr>
            <a:endParaRPr lang="en-US"/>
          </a:p>
        </c:txPr>
        <c:crossAx val="143951360"/>
        <c:crossesAt val="0"/>
        <c:auto val="1"/>
        <c:lblAlgn val="ctr"/>
        <c:lblOffset val="100"/>
        <c:noMultiLvlLbl val="0"/>
      </c:catAx>
      <c:valAx>
        <c:axId val="143951360"/>
        <c:scaling>
          <c:orientation val="minMax"/>
          <c:max val="180"/>
          <c:min val="0"/>
        </c:scaling>
        <c:delete val="0"/>
        <c:axPos val="l"/>
        <c:majorGridlines/>
        <c:title>
          <c:tx>
            <c:rich>
              <a:bodyPr rot="-5400000" vert="horz"/>
              <a:lstStyle/>
              <a:p>
                <a:pPr>
                  <a:defRPr/>
                </a:pPr>
                <a:r>
                  <a:rPr lang="en-GB" b="0" i="0" baseline="0"/>
                  <a:t>Time on Task (Seconds)</a:t>
                </a:r>
              </a:p>
            </c:rich>
          </c:tx>
          <c:overlay val="0"/>
        </c:title>
        <c:numFmt formatCode="0.0" sourceLinked="0"/>
        <c:majorTickMark val="out"/>
        <c:minorTickMark val="none"/>
        <c:tickLblPos val="nextTo"/>
        <c:spPr>
          <a:ln w="44450">
            <a:solidFill>
              <a:schemeClr val="tx1"/>
            </a:solidFill>
          </a:ln>
        </c:spPr>
        <c:crossAx val="143949824"/>
        <c:crossesAt val="1"/>
        <c:crossBetween val="between"/>
        <c:majorUnit val="60"/>
      </c:valAx>
      <c:spPr>
        <a:ln w="0">
          <a:noFill/>
        </a:ln>
      </c:spPr>
    </c:plotArea>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t>Efficiency - Accessibility Needs</a:t>
            </a:r>
          </a:p>
        </c:rich>
      </c:tx>
      <c:overlay val="0"/>
    </c:title>
    <c:autoTitleDeleted val="0"/>
    <c:plotArea>
      <c:layout/>
      <c:barChart>
        <c:barDir val="col"/>
        <c:grouping val="clustered"/>
        <c:varyColors val="1"/>
        <c:ser>
          <c:idx val="0"/>
          <c:order val="0"/>
          <c:invertIfNegative val="0"/>
          <c:cat>
            <c:strRef>
              <c:f>'Demographic Analysis - Group B'!$N$28:$N$29</c:f>
              <c:strCache>
                <c:ptCount val="2"/>
                <c:pt idx="0">
                  <c:v>Dexterity or visual impairment</c:v>
                </c:pt>
                <c:pt idx="1">
                  <c:v>No impairment</c:v>
                </c:pt>
              </c:strCache>
            </c:strRef>
          </c:cat>
          <c:val>
            <c:numRef>
              <c:f>'Demographic Analysis - Group B'!$P$28:$P$29</c:f>
              <c:numCache>
                <c:formatCode>0.00</c:formatCode>
                <c:ptCount val="2"/>
                <c:pt idx="0">
                  <c:v>130.16603535353534</c:v>
                </c:pt>
                <c:pt idx="1">
                  <c:v>118.80909090909091</c:v>
                </c:pt>
              </c:numCache>
            </c:numRef>
          </c:val>
        </c:ser>
        <c:dLbls>
          <c:showLegendKey val="0"/>
          <c:showVal val="0"/>
          <c:showCatName val="0"/>
          <c:showSerName val="0"/>
          <c:showPercent val="0"/>
          <c:showBubbleSize val="0"/>
        </c:dLbls>
        <c:gapWidth val="150"/>
        <c:axId val="143975552"/>
        <c:axId val="143977088"/>
      </c:barChart>
      <c:catAx>
        <c:axId val="143975552"/>
        <c:scaling>
          <c:orientation val="minMax"/>
        </c:scaling>
        <c:delete val="0"/>
        <c:axPos val="b"/>
        <c:majorTickMark val="out"/>
        <c:minorTickMark val="none"/>
        <c:tickLblPos val="nextTo"/>
        <c:spPr>
          <a:ln w="44450">
            <a:solidFill>
              <a:sysClr val="windowText" lastClr="000000"/>
            </a:solidFill>
          </a:ln>
        </c:spPr>
        <c:txPr>
          <a:bodyPr rot="0"/>
          <a:lstStyle/>
          <a:p>
            <a:pPr>
              <a:defRPr/>
            </a:pPr>
            <a:endParaRPr lang="en-US"/>
          </a:p>
        </c:txPr>
        <c:crossAx val="143977088"/>
        <c:crossesAt val="0"/>
        <c:auto val="1"/>
        <c:lblAlgn val="ctr"/>
        <c:lblOffset val="100"/>
        <c:noMultiLvlLbl val="0"/>
      </c:catAx>
      <c:valAx>
        <c:axId val="143977088"/>
        <c:scaling>
          <c:orientation val="minMax"/>
          <c:max val="180"/>
          <c:min val="0"/>
        </c:scaling>
        <c:delete val="0"/>
        <c:axPos val="l"/>
        <c:majorGridlines/>
        <c:title>
          <c:tx>
            <c:rich>
              <a:bodyPr rot="-5400000" vert="horz"/>
              <a:lstStyle/>
              <a:p>
                <a:pPr>
                  <a:defRPr/>
                </a:pPr>
                <a:r>
                  <a:rPr lang="en-GB" b="0" i="0" baseline="0"/>
                  <a:t>Time on Task (Seconds)</a:t>
                </a:r>
              </a:p>
            </c:rich>
          </c:tx>
          <c:overlay val="0"/>
        </c:title>
        <c:numFmt formatCode="0.0" sourceLinked="0"/>
        <c:majorTickMark val="out"/>
        <c:minorTickMark val="none"/>
        <c:tickLblPos val="nextTo"/>
        <c:spPr>
          <a:ln w="44450">
            <a:solidFill>
              <a:schemeClr val="tx1"/>
            </a:solidFill>
          </a:ln>
        </c:spPr>
        <c:crossAx val="143975552"/>
        <c:crossesAt val="1"/>
        <c:crossBetween val="between"/>
        <c:majorUnit val="60"/>
      </c:valAx>
      <c:spPr>
        <a:ln w="0">
          <a:noFill/>
        </a:ln>
      </c:spPr>
    </c:plotArea>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Satisfaction</a:t>
            </a:r>
            <a:r>
              <a:rPr lang="en-GB" baseline="0"/>
              <a:t> - Smart phone usage</a:t>
            </a:r>
            <a:endParaRPr lang="en-GB"/>
          </a:p>
        </c:rich>
      </c:tx>
      <c:overlay val="0"/>
    </c:title>
    <c:autoTitleDeleted val="0"/>
    <c:plotArea>
      <c:layout/>
      <c:barChart>
        <c:barDir val="col"/>
        <c:grouping val="clustered"/>
        <c:varyColors val="1"/>
        <c:ser>
          <c:idx val="0"/>
          <c:order val="0"/>
          <c:spPr>
            <a:ln>
              <a:noFill/>
            </a:ln>
            <a:effectLst/>
          </c:spPr>
          <c:invertIfNegative val="0"/>
          <c:cat>
            <c:strRef>
              <c:f>'Demographic Analysis - Group B'!$N$4:$N$5</c:f>
              <c:strCache>
                <c:ptCount val="2"/>
                <c:pt idx="0">
                  <c:v>Non-smart</c:v>
                </c:pt>
                <c:pt idx="1">
                  <c:v>Smart</c:v>
                </c:pt>
              </c:strCache>
            </c:strRef>
          </c:cat>
          <c:val>
            <c:numRef>
              <c:f>'Demographic Analysis - Group B'!$Q$4:$Q$5</c:f>
              <c:numCache>
                <c:formatCode>0.00</c:formatCode>
                <c:ptCount val="2"/>
                <c:pt idx="0">
                  <c:v>2.6466450216450217</c:v>
                </c:pt>
                <c:pt idx="1">
                  <c:v>2.8643250688705235</c:v>
                </c:pt>
              </c:numCache>
            </c:numRef>
          </c:val>
        </c:ser>
        <c:dLbls>
          <c:showLegendKey val="0"/>
          <c:showVal val="0"/>
          <c:showCatName val="0"/>
          <c:showSerName val="0"/>
          <c:showPercent val="0"/>
          <c:showBubbleSize val="0"/>
        </c:dLbls>
        <c:gapWidth val="150"/>
        <c:axId val="143743616"/>
        <c:axId val="143761792"/>
      </c:barChart>
      <c:catAx>
        <c:axId val="143743616"/>
        <c:scaling>
          <c:orientation val="minMax"/>
        </c:scaling>
        <c:delete val="0"/>
        <c:axPos val="b"/>
        <c:majorTickMark val="out"/>
        <c:minorTickMark val="none"/>
        <c:tickLblPos val="nextTo"/>
        <c:spPr>
          <a:ln w="44450">
            <a:solidFill>
              <a:sysClr val="windowText" lastClr="000000"/>
            </a:solidFill>
          </a:ln>
        </c:spPr>
        <c:txPr>
          <a:bodyPr rot="-3000000"/>
          <a:lstStyle/>
          <a:p>
            <a:pPr>
              <a:defRPr/>
            </a:pPr>
            <a:endParaRPr lang="en-US"/>
          </a:p>
        </c:txPr>
        <c:crossAx val="143761792"/>
        <c:crossesAt val="0"/>
        <c:auto val="1"/>
        <c:lblAlgn val="ctr"/>
        <c:lblOffset val="100"/>
        <c:noMultiLvlLbl val="0"/>
      </c:catAx>
      <c:valAx>
        <c:axId val="143761792"/>
        <c:scaling>
          <c:orientation val="minMax"/>
          <c:max val="5"/>
          <c:min val="0"/>
        </c:scaling>
        <c:delete val="0"/>
        <c:axPos val="l"/>
        <c:majorGridlines/>
        <c:title>
          <c:tx>
            <c:rich>
              <a:bodyPr rot="-5400000" vert="horz"/>
              <a:lstStyle/>
              <a:p>
                <a:pPr>
                  <a:defRPr/>
                </a:pPr>
                <a:r>
                  <a:rPr lang="en-GB" b="0" i="0" baseline="0"/>
                  <a:t>Satisfaction Rating</a:t>
                </a:r>
              </a:p>
            </c:rich>
          </c:tx>
          <c:overlay val="0"/>
        </c:title>
        <c:numFmt formatCode="0.0" sourceLinked="0"/>
        <c:majorTickMark val="out"/>
        <c:minorTickMark val="none"/>
        <c:tickLblPos val="nextTo"/>
        <c:spPr>
          <a:ln w="44450">
            <a:solidFill>
              <a:schemeClr val="tx1"/>
            </a:solidFill>
          </a:ln>
        </c:spPr>
        <c:crossAx val="143743616"/>
        <c:crossesAt val="1"/>
        <c:crossBetween val="between"/>
        <c:majorUnit val="1"/>
      </c:valAx>
      <c:spPr>
        <a:ln w="0">
          <a:noFill/>
        </a:ln>
      </c:spPr>
    </c:plotArea>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26" Type="http://schemas.openxmlformats.org/officeDocument/2006/relationships/chart" Target="../charts/chart44.xml"/><Relationship Id="rId3" Type="http://schemas.openxmlformats.org/officeDocument/2006/relationships/chart" Target="../charts/chart21.xml"/><Relationship Id="rId21" Type="http://schemas.openxmlformats.org/officeDocument/2006/relationships/chart" Target="../charts/chart39.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5" Type="http://schemas.openxmlformats.org/officeDocument/2006/relationships/chart" Target="../charts/chart43.xml"/><Relationship Id="rId2" Type="http://schemas.openxmlformats.org/officeDocument/2006/relationships/chart" Target="../charts/chart20.xml"/><Relationship Id="rId16" Type="http://schemas.openxmlformats.org/officeDocument/2006/relationships/chart" Target="../charts/chart34.xml"/><Relationship Id="rId20" Type="http://schemas.openxmlformats.org/officeDocument/2006/relationships/chart" Target="../charts/chart38.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24" Type="http://schemas.openxmlformats.org/officeDocument/2006/relationships/chart" Target="../charts/chart42.xml"/><Relationship Id="rId5" Type="http://schemas.openxmlformats.org/officeDocument/2006/relationships/chart" Target="../charts/chart23.xml"/><Relationship Id="rId15" Type="http://schemas.openxmlformats.org/officeDocument/2006/relationships/chart" Target="../charts/chart33.xml"/><Relationship Id="rId23" Type="http://schemas.openxmlformats.org/officeDocument/2006/relationships/chart" Target="../charts/chart41.xml"/><Relationship Id="rId28" Type="http://schemas.openxmlformats.org/officeDocument/2006/relationships/chart" Target="../charts/chart46.xml"/><Relationship Id="rId10" Type="http://schemas.openxmlformats.org/officeDocument/2006/relationships/chart" Target="../charts/chart28.xml"/><Relationship Id="rId19" Type="http://schemas.openxmlformats.org/officeDocument/2006/relationships/chart" Target="../charts/chart37.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 Id="rId22" Type="http://schemas.openxmlformats.org/officeDocument/2006/relationships/chart" Target="../charts/chart40.xml"/><Relationship Id="rId27"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28</xdr:row>
      <xdr:rowOff>0</xdr:rowOff>
    </xdr:from>
    <xdr:to>
      <xdr:col>3</xdr:col>
      <xdr:colOff>304800</xdr:colOff>
      <xdr:row>29</xdr:row>
      <xdr:rowOff>121920</xdr:rowOff>
    </xdr:to>
    <xdr:sp macro="" textlink="">
      <xdr:nvSpPr>
        <xdr:cNvPr id="6145" name="AutoShape 1" descr="data:image/jpeg;base64,/9j/4AAQSkZJRgABAQAAAQABAAD/2wCEAAkGBhQSERUUEBQVFBQUFRQXEhQXFBQUFhQXFRUVGBYVFxUXGyYeGBkjGhQUHy8gIycpLCwsFR4xNTAqNSYrLCkBCQoKDgwOGg8PGiwkHyQpLC0qLy0qLCwuMC4pNCopLyksKiwsLC8sLCksLSw1LCksLCksKSwsLCksLCwsLCwsLP/AABEIAFgBcAMBIgACEQEDEQH/xAAcAAACAgMBAQAAAAAAAAAAAAAABwEGAgQFAwj/xABHEAABAwICBQcIBgkCBwAAAAABAAIDBBEGIQUHEjFREyJBYXGhsTIzQlJygZGyFCM0c5LRJENTYoKDwcLwF9IVJaKjw+Hx/8QAGgEBAAIDAQAAAAAAAAAAAAAAAAQFAQIDBv/EADgRAAEDAgQDBQQIBwAAAAAAAAEAAgMEEQUSITETQXEUUWGBwQYykbEVIjNCUnKh8BYjJDRi4fH/2gAMAwEAAhEDEQA/AHihCERCEKLoilCi6LoilCi6LoilCEIiEIQiIQhCIhCFG0iKUKNpAKIpQhCIhCEIiEIQiIQhCIhCFF0RShRdRtoiyQoDlBciLJCjaUoiEIQiIQhQXIilCjaRtIilCEIiEKLo2kRShCERCi6lQURF1zdL6ehpm3meG33De49jRmVjiPTQpad0pzIyaOLjkB/nBJaurnzPMkri5zt5PR1DgOpQKus4FgBcq6wvCjWHM42aP1TFm1pwg8yKRw481vddFPrThJs+KRo4jZd3Aqg0Gg55heGJ7xxAy/ETZY1+hZ4M5onsHEjL4jJV3ban3radFfDCMO+zDvrfm1+Cc+itOw1DbwPDrbxucO1pzC6AKQlBpB8Egkidsubu4HiCOHUnToDS4qYGSty2vKHBwyI+KsqSrE2h3VBimFmjIc03aV1ELFalZpWKLzsjGe04BTSQBcqnALjYLdQuPFiylcbNqIieG2B4rqMlBFwbg9IN1hr2u2N1s6N7PeBC9ELRrdMww+dlYzqc4A/Ba9PiimebMniJ6BtgHvKxxGjQlZEUhGYNNui6q4OM9Kvp6V8keT7taDvttEC9l3Q5VbWT9id7cfzLSdxETiO5dqNgfUMa4XBcEvIcV1YcD9IkOe4m4+BTrjXz83eE9KvTEMIHKysZ7TgL+5VuHSE5i493Neg9oKdrXRiNupvsOi6CFy6TEdPIbRzxuPQNoX+C6QKtg4O2K8u5jmGzhbqpUqFi99hcmwHStlqs0LjzYqpWGzqiMEbxtAnuutqi0xDN5qVj/ZcD4FaCRpNrroYpAMxabdFvIUXQSt1zUqFzazEdPEbSTRtPAuF/gijxDTym0czHHgHC/wAFpxG3tcLpwZLZspt0WljXSz6elc+LJ92tad9to77JYwYtqw6/0iS9+k3HwOSYGsr7F/Mj8Uqmb1S18rmygAr1+B08UlK5z2gm51ITz0pX8jBJLa+wwutxNsh8Uo34yqy/b5Zwzvsg83s2d1k4amkbLGY3i7Xt2XdhCXU2ra0lhUxBl8g7y7dl8ypVayY5chVZg8tJGHioAvyuL6K84Z0sammjlcLFwIcBxabG3UusFpaJ0eyCFkUfksFgePErcVhGCGjNuqOYsMjiza5t0WSFz63TkERtLNGw8C4A/BeFPimmebMnjJ4bYBPxTiMva4QRSEZg026LrrB25DXXG9DltyXNJ3TGL6p8z7TPY0OcA1p2QACQO3cr5gDSck9MXTPL3B7mgm17AD80qq/zsntv+Ypi6u6xkVE50j2sHKuzcQBub0lUdHM4znMV7PF6aNlG3htF9NhqryoK4rcX0hNvpEf4hb4ldaKcOALSHA7iDcdyu2va7YryD4ns95pHULJzlxJ8a0bHFrpm3BsbBxA94Fl0NMOtBKR0RSEH+ApEKDWVToLWG6uMJwxlbmLyRa23in9SVTZGh8bg5rvJcDcH3r3VXwTXRtoYQ57AQ03BcB6R4lWKGoa7yXNd2EFTI35mgkqpmiMb3N5A2XsoKlQV0XFL7WtUHZgj6CXuPuAA+Yqi6Lo+Wmjj9d7WnsJz7rq561vOQezJ4tVQ0HXNhqIpX32WPDnWFzlfcF5yr1qdfBe+wsFuHfU3s746p4UtK2NoawBrWiwA6AoraNsjHMeAWuFiD0qrf6n03qy/gb/uR/qfTerL+Bv+5XPaYbWzBeR7BV5s2R1+iWdfS8nLJH6j3N/CSP6JgaqqkmOaPoa5rh/ECD8neqJperEs8sjbhr3ucL5HNXTVTvn/AJf96pqM2qdPFeuxYF2H3fv9X4qwY0xEaSC7POSHZZfO2Vy73DvSinqHPcXPcXOO8k3J/wA6leta558Hsy+Maq2GKFs1XDG8Xa5/OHEAE27lvWufJPw7936rlg8ccFGagjXUny5Llf52rq6LxLPTtc2KQhrhaxz2T6zb7im/W6EhkjMbo27JFrBoFst44JHzxbLnN9Vzh+EkX7lyngfS2IdupFFWxYmHNezbv1WL5S4lziS47ySST7yoITB1ZaGjcx8z2hzg/ZbcXsAATbrN+5e+szRLBA2VrQHh4aSBa4cDvtvzss9jcYuLdY+lo21fZA3S9r/6XDwPip8UrYZHF0TyGi5vsE7iOrot2K26x/sJ9uP5kq6PzjLeuz5gmprH+wu9uP5lJppHOp3g8gq7EadkdfC9gtmIv5EJTLOedz3FzyXOJzJJJ/8An5LzKdGHcNRU0TQGtLyBtvIBJPTmoVLTunJANgrjE8QjogHFt3Hb/qS4V4wLjFzZG087i5jjaNxzLT0NJ4Hr3Lp6xMOR8iZ2NDXsI2rC200kDMDtS1Y6xuMiDcdRGYPxt8Fu4Po5bXXJrocWpSS2x/UHqn7V1bY2Oe82a0EuPUEn8SYtlq3kXLYr81gNrji628q4Y60kTo6Mj9cYtrsLdsjwSzZa4ve1xe2+3Tl2KVX1BzBg0CrcCoWBjp3i5BIHktqj0PNKLxRPeB0taSPiF4OD43+kx7T1tcD4hMODWNSxRhkUUlmgBos1oy96peI9N/S5zLsBgsABe+QvmT071DljijaC19yrWlqKmaQtliys8f3zTCwFid1TG6OXOSO13es03se3oK5WsPFD2v8Ao8Li3IGVwyOeYaD0Zb1r6rKN3KyyW5oZs34kuBsOwN71X8YOvXVF/wBpb/pCmyTvFKCdyqmnooTib2gaNF7eJsuOpNxbeDvBzHvCuerTRTJJJHyNDjGG7AIuAXbVz281MWo0bG8bMkbHDgWgrhT0JlZnzKVW40ymmMOS4CounJ3v0NE6W5eXR3J3kbRsT2iyoTN6amshoFFYZDlI0q2bwta8WkA8AumCPz0z3WtdxTy0vMWU0rm5FsTyDwIaSEjHEkkuNyd5OZJ43Tw099km+5k+QpHKRibiC2yh+zbRlkPiE6MFm9DBfPmf3FVXHGNXB5gpnbOzlJIN9/UaejrKsWGJ9jRkbvVic74Fx/olBJISS4m5JuTxJNye8rerndHC1o5hcMMomT1cr3i4a46eNyhzrm5OfSbqCUx9XmGozCKiRoc9xOxcXDQDbIcTYqw6fwxDUROaWNa8A7DwAC09GY6L9CjMoHvj4l9VYS47FFPwcugNiUtsMYukpXgOcXQk85hudnrbfd2Jvwzh7Q5puHAEHiDmPFIHcm7q/qi+hZf0C5nuDjZSMPmcSY3KDj9GxrWzsFrmxSpr/Oye2/5ivEvNrEmwzAvkCem24L2rvOye2/5ir1q10HG9j5ntDnbWy3aFw0AC5APSSe5V0UJmlyjTdX9VVtpaYSOF9tEvrrt4WxG+lmbmTE4gSMztY+kB0EdW9XrH+hIjSPkDGtfHslrgADa4BB4jNKkreWN1LILFcaaePE6c5m+BT20ub00tv2UnyFIlOxz76PJO80pP/aSUUrEzfKfBVns4MolHiPVRZWPAErhXRhlwDtbY6CA07x8Fc8H4fp5KOF8kMb3OabktBJ5x3n3KwUeg4InbUUTGOta7WgG3C63p6FwLZM2m651+NRubJBk11C6CgqVBV0vIpb61vOQezJ4tVFiiLiGtBcSbAAXJ7Ar1rWP1kHsyeLVWcJW+nU/3g8CvOVTc1QR32Xv8Ml4eHB3MAn5rWGgqj9hL+B35IGgqj9hL+Bye1kWU36Mb+JVH8SS/gHxK+fpIy0kOBBBsQciD1hX7VTvn/l/3qpYnP6ZP965W3VQc5/5f96hUjMtTbqrfFZeJh5d3hp+Sw1r+XT+zL4xqv4I+3we0flcrFrUhcXwbLSebJuBPTHwXAwVTuFdAS1wG0cy0j0XdS3mB7X5hcKNzfooi/wB13qnHZITSPnpPvJPncn2UidIUz+Vk5jvOSei713dSk4mLtaoHs24CSS/cPVMTVcP0V/3p+Vq9dZv2L+bH4lYasWEUr7gj607wR6LeK9NZTCaOwBJ5RmQBPHgu4H9J5KG8j6Uv/mEraTzjPbb8wTexxSGShlAzLQHj+EgnuulNS0z+UZzHeW30XesOpPctuLHp39ai4czNG9p5qyx6bJNDI3W1z8LL59KbuHsawSxN5SRscgFntcdm5HSCciCqjijAckLjJTNL4jc7Izczqt0t4KpPbY55HpBy7io0b5aRxBCsZ4qbFomkOtb4jwIV/wAe4viki5CBwfcgvcPJABvYHpN7Kgwwl7mtaLucQGjiSbDvWVPTukNo2l5O4NG0e5MXBWB3QuE9SOePNs37P7x6/BA2SskuRosF1PhNMWtdc93Mle+O9FkaPaG58hyZPYG7BPelen/UU4e0tcLtcCCOIKU2JcDS07i6JpkhvzSBdzRwcN/vUmvpySJGjTmq7AsQY1phkNje48+S2dEYJgqGBzKsZjNpaA5p4EErpjBVDT86pqNq3QXtYPg3NL05HPI96yigc82aC4/uguPcojZmNH2eqtZKOdx/uCG+XzT00VHEImfRwBGQC3ZFgQRv7UoMXfbqj7w+ATC1f008dOWVDC0B31d9+yd4I6AD4qg4sp3fTaizXEcocw0kbh1KbXHPA02trsqfBgIqyRua9gdfMKzaqP1/8r+9MKyX+quIjl9oEeb3gj1+KYBUyi0gaqnGCDWPt+9FVNZf2I/eR+JSpZvCbGslhNGQAT9ZHuBPSeCVbKZ9/Id+F35KrxEEzC3cvR4C5opHXPMp16e+yTfcyfIUjk8tOC9JNbP6mT5Ckl9Gf6jvwu/JdMTBJbbxXD2ccA2S55j1TdwpBt6NiadzonN+JcEoJ4CxzmPFnNJBHYbFOXBrSKGAEWOxu3ek5cbF+BPpDjLAQJD5TTk19txv0OXappnSxNLdwFEw+vZTVcrZDYOJ17rErkYIxrHBFyNQS0Aksfa45xvsm2Yzuuzp7WJAyNwp3cpIQQ2wIa2/SSeHAKg1OGaphs6CT3NLh8W3W1o7BlTLm6MxsG97+bYdNhvPwUZlRUBvDsrGagw90naHP0Jva4sfVcJNbVqP0EfeSeKVKbOrllqFvW+Qjs2v/S1w6/GPRb+0BHZW/mHqlbXedk9t/wAxTM1YD9Ed967walvX0z+Vk5jvOP8ARd6x6kytWcZFI64I+tdvBHQ3is0APHPmtcacDQgA8wuhjr7BN7I+ZqTRTmxy0mhmABJ2RkM/Sak6aV/qO/C78ltiYJlb0Wvs65rad9z970CcwH/L8uml/wDCkonropv6NECP1UYI/gGSVWKMJyUshLWl0JN2OAvYeq624jvXWvic5jXAbKLgNRGyWSNxsSbjyurpgbEEP0RkbpGNdHcODnBp3k3z3jNWCi09BM9zIpGvc0XIGdh27j7kizbqVhwdRVIqGSQRuIB55N2sLT5QJO/JYp655ysyreuwaIB83E31ANk5VBUoV0vILxmp2u8poPaAfFYsomDMNaD2Be5CAFjKFnMdroQVKFlYWuaJhzLGm/7oWTIGt8loHYAF6ossZQNQs5idFjsIEayUrKwossdhZoRFiGoLVKlEWGwsgpQsWRYla8tAxxu5jXdrQVs2RZCAd1kEjZeMVM1vkta3sAHgvYIspWVgknUoWLgslFkRaztHxuN3MYe1oKzjpmt8lob2ADwXtZFlrlHctsziLXRZYlizQtlrssAxZoQiLEtUbCzUWSyKLKOTWVkWSyLG1lUsZYydSPjZE1rnOu54dfydwGW7O/wVuIVXxHgOOqeZOUex5ABPlNy3c07vdZR6jiZP5e6mUJgEwNR7q5MGtZtufA6/7r2kd65WINYj543Rws5NrsnOLtpxB3gWFhcL1m1WTA8yWNw6w9vdmsqbVZKT9ZMxo/da5x77BVbu2uGU+i9IwYPG7iA/P5Km0VI6WRrIxd7iA0f17AnhoXRoggjiHoNAvxPSfebrS0BhKGkF4wXPPlPdmT1D1R2LuAKbR0vBBLtyqrFsTFY4NZo0LHYUhqmyLKfZUighRsLNCxZFDQsXNWaiyyi1f+Gx3vybL8dlv5LYYy27csrIssAAbBZLidypQhCysIQhCIhCEIiEIQiIQhCIhCEIiEIQiIQhCIhCEIiEIQiIQhCIhCEIiEIQiIQhCIhCEIiEIQiIUOQhEUBShCIhShCIhCEIiEIQiIQhCIhCEIi//9k="/>
        <xdr:cNvSpPr>
          <a:spLocks noChangeAspect="1" noChangeArrowheads="1"/>
        </xdr:cNvSpPr>
      </xdr:nvSpPr>
      <xdr:spPr bwMode="auto">
        <a:xfrm>
          <a:off x="2880360" y="666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304800</xdr:colOff>
      <xdr:row>2</xdr:row>
      <xdr:rowOff>304800</xdr:rowOff>
    </xdr:to>
    <xdr:sp macro="" textlink="">
      <xdr:nvSpPr>
        <xdr:cNvPr id="6146" name="AutoShape 2" descr="data:image/jpeg;base64,/9j/4AAQSkZJRgABAQAAAQABAAD/2wCEAAkGBhQSERUUEBQVFBQUFRQXEhQXFBQUFhQXFRUVGBYVFxUXGyYeGBkjGhQUHy8gIycpLCwsFR4xNTAqNSYrLCkBCQoKDgwOGg8PGiwkHyQpLC0qLy0qLCwuMC4pNCopLyksKiwsLC8sLCksLSw1LCksLCksKSwsLCksLCwsLCwsLP/AABEIAFgBcAMBIgACEQEDEQH/xAAcAAACAgMBAQAAAAAAAAAAAAAABwEGAgQFAwj/xABHEAABAwICBQcIBgkCBwAAAAABAAIDBBEGIQUHEjFREyJBYXGhsTIzQlJygZGyFCM0c5LRJENTYoKDwcLwF9IVJaKjw+Hx/8QAGgEBAAIDAQAAAAAAAAAAAAAAAAQFAQIDBv/EADgRAAEDAgQDBQQIBwAAAAAAAAEAAgMEEQUSITETQXEUUWGBwQYykbEVIjNCUnKh8BYjJDRi4fH/2gAMAwEAAhEDEQA/AHihCERCEKLoilCi6LoilCi6LoilCEIiEIQiIQhCIhCFG0iKUKNpAKIpQhCIhCEIiEIQiIQhCIhCFF0RShRdRtoiyQoDlBciLJCjaUoiEIQiIQhQXIilCjaRtIilCEIiEKLo2kRShCERCi6lQURF1zdL6ehpm3meG33De49jRmVjiPTQpad0pzIyaOLjkB/nBJaurnzPMkri5zt5PR1DgOpQKus4FgBcq6wvCjWHM42aP1TFm1pwg8yKRw481vddFPrThJs+KRo4jZd3Aqg0Gg55heGJ7xxAy/ETZY1+hZ4M5onsHEjL4jJV3ban3radFfDCMO+zDvrfm1+Cc+itOw1DbwPDrbxucO1pzC6AKQlBpB8Egkidsubu4HiCOHUnToDS4qYGSty2vKHBwyI+KsqSrE2h3VBimFmjIc03aV1ELFalZpWKLzsjGe04BTSQBcqnALjYLdQuPFiylcbNqIieG2B4rqMlBFwbg9IN1hr2u2N1s6N7PeBC9ELRrdMww+dlYzqc4A/Ba9PiimebMniJ6BtgHvKxxGjQlZEUhGYNNui6q4OM9Kvp6V8keT7taDvttEC9l3Q5VbWT9id7cfzLSdxETiO5dqNgfUMa4XBcEvIcV1YcD9IkOe4m4+BTrjXz83eE9KvTEMIHKysZ7TgL+5VuHSE5i493Neg9oKdrXRiNupvsOi6CFy6TEdPIbRzxuPQNoX+C6QKtg4O2K8u5jmGzhbqpUqFi99hcmwHStlqs0LjzYqpWGzqiMEbxtAnuutqi0xDN5qVj/ZcD4FaCRpNrroYpAMxabdFvIUXQSt1zUqFzazEdPEbSTRtPAuF/gijxDTym0czHHgHC/wAFpxG3tcLpwZLZspt0WljXSz6elc+LJ92tad9to77JYwYtqw6/0iS9+k3HwOSYGsr7F/Mj8Uqmb1S18rmygAr1+B08UlK5z2gm51ITz0pX8jBJLa+wwutxNsh8Uo34yqy/b5Zwzvsg83s2d1k4amkbLGY3i7Xt2XdhCXU2ra0lhUxBl8g7y7dl8ypVayY5chVZg8tJGHioAvyuL6K84Z0sammjlcLFwIcBxabG3UusFpaJ0eyCFkUfksFgePErcVhGCGjNuqOYsMjiza5t0WSFz63TkERtLNGw8C4A/BeFPimmebMnjJ4bYBPxTiMva4QRSEZg026LrrB25DXXG9DltyXNJ3TGL6p8z7TPY0OcA1p2QACQO3cr5gDSck9MXTPL3B7mgm17AD80qq/zsntv+Ypi6u6xkVE50j2sHKuzcQBub0lUdHM4znMV7PF6aNlG3htF9NhqryoK4rcX0hNvpEf4hb4ldaKcOALSHA7iDcdyu2va7YryD4ns95pHULJzlxJ8a0bHFrpm3BsbBxA94Fl0NMOtBKR0RSEH+ApEKDWVToLWG6uMJwxlbmLyRa23in9SVTZGh8bg5rvJcDcH3r3VXwTXRtoYQ57AQ03BcB6R4lWKGoa7yXNd2EFTI35mgkqpmiMb3N5A2XsoKlQV0XFL7WtUHZgj6CXuPuAA+Yqi6Lo+Wmjj9d7WnsJz7rq561vOQezJ4tVQ0HXNhqIpX32WPDnWFzlfcF5yr1qdfBe+wsFuHfU3s746p4UtK2NoawBrWiwA6AoraNsjHMeAWuFiD0qrf6n03qy/gb/uR/qfTerL+Bv+5XPaYbWzBeR7BV5s2R1+iWdfS8nLJH6j3N/CSP6JgaqqkmOaPoa5rh/ECD8neqJperEs8sjbhr3ucL5HNXTVTvn/AJf96pqM2qdPFeuxYF2H3fv9X4qwY0xEaSC7POSHZZfO2Vy73DvSinqHPcXPcXOO8k3J/wA6leta558Hsy+Maq2GKFs1XDG8Xa5/OHEAE27lvWufJPw7936rlg8ccFGagjXUny5Llf52rq6LxLPTtc2KQhrhaxz2T6zb7im/W6EhkjMbo27JFrBoFst44JHzxbLnN9Vzh+EkX7lyngfS2IdupFFWxYmHNezbv1WL5S4lziS47ySST7yoITB1ZaGjcx8z2hzg/ZbcXsAATbrN+5e+szRLBA2VrQHh4aSBa4cDvtvzss9jcYuLdY+lo21fZA3S9r/6XDwPip8UrYZHF0TyGi5vsE7iOrot2K26x/sJ9uP5kq6PzjLeuz5gmprH+wu9uP5lJppHOp3g8gq7EadkdfC9gtmIv5EJTLOedz3FzyXOJzJJJ/8An5LzKdGHcNRU0TQGtLyBtvIBJPTmoVLTunJANgrjE8QjogHFt3Hb/qS4V4wLjFzZG087i5jjaNxzLT0NJ4Hr3Lp6xMOR8iZ2NDXsI2rC200kDMDtS1Y6xuMiDcdRGYPxt8Fu4Po5bXXJrocWpSS2x/UHqn7V1bY2Oe82a0EuPUEn8SYtlq3kXLYr81gNrji628q4Y60kTo6Mj9cYtrsLdsjwSzZa4ve1xe2+3Tl2KVX1BzBg0CrcCoWBjp3i5BIHktqj0PNKLxRPeB0taSPiF4OD43+kx7T1tcD4hMODWNSxRhkUUlmgBos1oy96peI9N/S5zLsBgsABe+QvmT071DljijaC19yrWlqKmaQtliys8f3zTCwFid1TG6OXOSO13es03se3oK5WsPFD2v8Ao8Li3IGVwyOeYaD0Zb1r6rKN3KyyW5oZs34kuBsOwN71X8YOvXVF/wBpb/pCmyTvFKCdyqmnooTib2gaNF7eJsuOpNxbeDvBzHvCuerTRTJJJHyNDjGG7AIuAXbVz281MWo0bG8bMkbHDgWgrhT0JlZnzKVW40ymmMOS4CounJ3v0NE6W5eXR3J3kbRsT2iyoTN6amshoFFYZDlI0q2bwta8WkA8AumCPz0z3WtdxTy0vMWU0rm5FsTyDwIaSEjHEkkuNyd5OZJ43Tw099km+5k+QpHKRibiC2yh+zbRlkPiE6MFm9DBfPmf3FVXHGNXB5gpnbOzlJIN9/UaejrKsWGJ9jRkbvVic74Fx/olBJISS4m5JuTxJNye8rerndHC1o5hcMMomT1cr3i4a46eNyhzrm5OfSbqCUx9XmGozCKiRoc9xOxcXDQDbIcTYqw6fwxDUROaWNa8A7DwAC09GY6L9CjMoHvj4l9VYS47FFPwcugNiUtsMYukpXgOcXQk85hudnrbfd2Jvwzh7Q5puHAEHiDmPFIHcm7q/qi+hZf0C5nuDjZSMPmcSY3KDj9GxrWzsFrmxSpr/Oye2/5ivEvNrEmwzAvkCem24L2rvOye2/5ir1q10HG9j5ntDnbWy3aFw0AC5APSSe5V0UJmlyjTdX9VVtpaYSOF9tEvrrt4WxG+lmbmTE4gSMztY+kB0EdW9XrH+hIjSPkDGtfHslrgADa4BB4jNKkreWN1LILFcaaePE6c5m+BT20ub00tv2UnyFIlOxz76PJO80pP/aSUUrEzfKfBVns4MolHiPVRZWPAErhXRhlwDtbY6CA07x8Fc8H4fp5KOF8kMb3OabktBJ5x3n3KwUeg4InbUUTGOta7WgG3C63p6FwLZM2m651+NRubJBk11C6CgqVBV0vIpb61vOQezJ4tVFiiLiGtBcSbAAXJ7Ar1rWP1kHsyeLVWcJW+nU/3g8CvOVTc1QR32Xv8Ml4eHB3MAn5rWGgqj9hL+B35IGgqj9hL+Bye1kWU36Mb+JVH8SS/gHxK+fpIy0kOBBBsQciD1hX7VTvn/l/3qpYnP6ZP965W3VQc5/5f96hUjMtTbqrfFZeJh5d3hp+Sw1r+XT+zL4xqv4I+3we0flcrFrUhcXwbLSebJuBPTHwXAwVTuFdAS1wG0cy0j0XdS3mB7X5hcKNzfooi/wB13qnHZITSPnpPvJPncn2UidIUz+Vk5jvOSei713dSk4mLtaoHs24CSS/cPVMTVcP0V/3p+Vq9dZv2L+bH4lYasWEUr7gj607wR6LeK9NZTCaOwBJ5RmQBPHgu4H9J5KG8j6Uv/mEraTzjPbb8wTexxSGShlAzLQHj+EgnuulNS0z+UZzHeW30XesOpPctuLHp39ai4czNG9p5qyx6bJNDI3W1z8LL59KbuHsawSxN5SRscgFntcdm5HSCciCqjijAckLjJTNL4jc7Izczqt0t4KpPbY55HpBy7io0b5aRxBCsZ4qbFomkOtb4jwIV/wAe4viki5CBwfcgvcPJABvYHpN7Kgwwl7mtaLucQGjiSbDvWVPTukNo2l5O4NG0e5MXBWB3QuE9SOePNs37P7x6/BA2SskuRosF1PhNMWtdc93Mle+O9FkaPaG58hyZPYG7BPelen/UU4e0tcLtcCCOIKU2JcDS07i6JpkhvzSBdzRwcN/vUmvpySJGjTmq7AsQY1phkNje48+S2dEYJgqGBzKsZjNpaA5p4EErpjBVDT86pqNq3QXtYPg3NL05HPI96yigc82aC4/uguPcojZmNH2eqtZKOdx/uCG+XzT00VHEImfRwBGQC3ZFgQRv7UoMXfbqj7w+ATC1f008dOWVDC0B31d9+yd4I6AD4qg4sp3fTaizXEcocw0kbh1KbXHPA02trsqfBgIqyRua9gdfMKzaqP1/8r+9MKyX+quIjl9oEeb3gj1+KYBUyi0gaqnGCDWPt+9FVNZf2I/eR+JSpZvCbGslhNGQAT9ZHuBPSeCVbKZ9/Id+F35KrxEEzC3cvR4C5opHXPMp16e+yTfcyfIUjk8tOC9JNbP6mT5Ckl9Gf6jvwu/JdMTBJbbxXD2ccA2S55j1TdwpBt6NiadzonN+JcEoJ4CxzmPFnNJBHYbFOXBrSKGAEWOxu3ek5cbF+BPpDjLAQJD5TTk19txv0OXappnSxNLdwFEw+vZTVcrZDYOJ17rErkYIxrHBFyNQS0Aksfa45xvsm2Yzuuzp7WJAyNwp3cpIQQ2wIa2/SSeHAKg1OGaphs6CT3NLh8W3W1o7BlTLm6MxsG97+bYdNhvPwUZlRUBvDsrGagw90naHP0Jva4sfVcJNbVqP0EfeSeKVKbOrllqFvW+Qjs2v/S1w6/GPRb+0BHZW/mHqlbXedk9t/wAxTM1YD9Ed967walvX0z+Vk5jvOP8ARd6x6kytWcZFI64I+tdvBHQ3is0APHPmtcacDQgA8wuhjr7BN7I+ZqTRTmxy0mhmABJ2RkM/Sak6aV/qO/C78ltiYJlb0Wvs65rad9z970CcwH/L8uml/wDCkonropv6NECP1UYI/gGSVWKMJyUshLWl0JN2OAvYeq624jvXWvic5jXAbKLgNRGyWSNxsSbjyurpgbEEP0RkbpGNdHcODnBp3k3z3jNWCi09BM9zIpGvc0XIGdh27j7kizbqVhwdRVIqGSQRuIB55N2sLT5QJO/JYp655ysyreuwaIB83E31ANk5VBUoV0vILxmp2u8poPaAfFYsomDMNaD2Be5CAFjKFnMdroQVKFlYWuaJhzLGm/7oWTIGt8loHYAF6ossZQNQs5idFjsIEayUrKwossdhZoRFiGoLVKlEWGwsgpQsWRYla8tAxxu5jXdrQVs2RZCAd1kEjZeMVM1vkta3sAHgvYIspWVgknUoWLgslFkRaztHxuN3MYe1oKzjpmt8lob2ADwXtZFlrlHctsziLXRZYlizQtlrssAxZoQiLEtUbCzUWSyKLKOTWVkWSyLG1lUsZYydSPjZE1rnOu54dfydwGW7O/wVuIVXxHgOOqeZOUex5ABPlNy3c07vdZR6jiZP5e6mUJgEwNR7q5MGtZtufA6/7r2kd65WINYj543Rws5NrsnOLtpxB3gWFhcL1m1WTA8yWNw6w9vdmsqbVZKT9ZMxo/da5x77BVbu2uGU+i9IwYPG7iA/P5Km0VI6WRrIxd7iA0f17AnhoXRoggjiHoNAvxPSfebrS0BhKGkF4wXPPlPdmT1D1R2LuAKbR0vBBLtyqrFsTFY4NZo0LHYUhqmyLKfZUighRsLNCxZFDQsXNWaiyyi1f+Gx3vybL8dlv5LYYy27csrIssAAbBZLidypQhCysIQhCIhCEIiEIQiIQhCIhCEIiEIQiIQhCIhCEIiEIQiIQhCIhCEIiEIQiIQhCIhCEIiEIQiIUOQhEUBShCIhShCIhCEIiEIQiIQhCIhCEIi//9k="/>
        <xdr:cNvSpPr>
          <a:spLocks noChangeAspect="1" noChangeArrowheads="1"/>
        </xdr:cNvSpPr>
      </xdr:nvSpPr>
      <xdr:spPr bwMode="auto">
        <a:xfrm>
          <a:off x="2880360" y="5486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2923453</xdr:colOff>
      <xdr:row>1</xdr:row>
      <xdr:rowOff>104775</xdr:rowOff>
    </xdr:from>
    <xdr:to>
      <xdr:col>4</xdr:col>
      <xdr:colOff>676276</xdr:colOff>
      <xdr:row>1</xdr:row>
      <xdr:rowOff>733425</xdr:rowOff>
    </xdr:to>
    <xdr:pic>
      <xdr:nvPicPr>
        <xdr:cNvPr id="8" name="Picture 7" descr="http://www.amber-light.co.uk/images/logo_amberlight.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3803" y="295275"/>
          <a:ext cx="1839048"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581026</xdr:colOff>
      <xdr:row>0</xdr:row>
      <xdr:rowOff>57151</xdr:rowOff>
    </xdr:from>
    <xdr:to>
      <xdr:col>2</xdr:col>
      <xdr:colOff>1400176</xdr:colOff>
      <xdr:row>1</xdr:row>
      <xdr:rowOff>799541</xdr:rowOff>
    </xdr:to>
    <xdr:pic>
      <xdr:nvPicPr>
        <xdr:cNvPr id="10" name="Picture 9" descr="http://deccintranet/services/communications/branding/PublishingImages/DECC_CYAN_AW.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1576" y="57151"/>
          <a:ext cx="1409700" cy="932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584200</xdr:colOff>
      <xdr:row>1</xdr:row>
      <xdr:rowOff>0</xdr:rowOff>
    </xdr:from>
    <xdr:to>
      <xdr:col>8</xdr:col>
      <xdr:colOff>590549</xdr:colOff>
      <xdr:row>16</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596900</xdr:colOff>
      <xdr:row>18</xdr:row>
      <xdr:rowOff>25400</xdr:rowOff>
    </xdr:from>
    <xdr:to>
      <xdr:col>8</xdr:col>
      <xdr:colOff>603249</xdr:colOff>
      <xdr:row>34</xdr:row>
      <xdr:rowOff>15875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558800</xdr:colOff>
      <xdr:row>35</xdr:row>
      <xdr:rowOff>12700</xdr:rowOff>
    </xdr:from>
    <xdr:to>
      <xdr:col>8</xdr:col>
      <xdr:colOff>565149</xdr:colOff>
      <xdr:row>51</xdr:row>
      <xdr:rowOff>3175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596900</xdr:colOff>
      <xdr:row>52</xdr:row>
      <xdr:rowOff>63500</xdr:rowOff>
    </xdr:from>
    <xdr:to>
      <xdr:col>8</xdr:col>
      <xdr:colOff>603249</xdr:colOff>
      <xdr:row>68</xdr:row>
      <xdr:rowOff>53975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1</xdr:row>
      <xdr:rowOff>25400</xdr:rowOff>
    </xdr:from>
    <xdr:to>
      <xdr:col>18</xdr:col>
      <xdr:colOff>6349</xdr:colOff>
      <xdr:row>17</xdr:row>
      <xdr:rowOff>15875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50800</xdr:colOff>
      <xdr:row>18</xdr:row>
      <xdr:rowOff>38100</xdr:rowOff>
    </xdr:from>
    <xdr:to>
      <xdr:col>18</xdr:col>
      <xdr:colOff>57149</xdr:colOff>
      <xdr:row>34</xdr:row>
      <xdr:rowOff>28575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50800</xdr:colOff>
      <xdr:row>35</xdr:row>
      <xdr:rowOff>38100</xdr:rowOff>
    </xdr:from>
    <xdr:to>
      <xdr:col>18</xdr:col>
      <xdr:colOff>57149</xdr:colOff>
      <xdr:row>51</xdr:row>
      <xdr:rowOff>28575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38100</xdr:colOff>
      <xdr:row>52</xdr:row>
      <xdr:rowOff>63500</xdr:rowOff>
    </xdr:from>
    <xdr:to>
      <xdr:col>18</xdr:col>
      <xdr:colOff>44449</xdr:colOff>
      <xdr:row>68</xdr:row>
      <xdr:rowOff>53975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12700</xdr:colOff>
      <xdr:row>1</xdr:row>
      <xdr:rowOff>0</xdr:rowOff>
    </xdr:from>
    <xdr:to>
      <xdr:col>27</xdr:col>
      <xdr:colOff>19049</xdr:colOff>
      <xdr:row>16</xdr:row>
      <xdr:rowOff>180975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12700</xdr:colOff>
      <xdr:row>18</xdr:row>
      <xdr:rowOff>25400</xdr:rowOff>
    </xdr:from>
    <xdr:to>
      <xdr:col>27</xdr:col>
      <xdr:colOff>19049</xdr:colOff>
      <xdr:row>34</xdr:row>
      <xdr:rowOff>15875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25400</xdr:colOff>
      <xdr:row>35</xdr:row>
      <xdr:rowOff>38100</xdr:rowOff>
    </xdr:from>
    <xdr:to>
      <xdr:col>27</xdr:col>
      <xdr:colOff>31749</xdr:colOff>
      <xdr:row>51</xdr:row>
      <xdr:rowOff>28575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38100</xdr:colOff>
      <xdr:row>52</xdr:row>
      <xdr:rowOff>25400</xdr:rowOff>
    </xdr:from>
    <xdr:to>
      <xdr:col>27</xdr:col>
      <xdr:colOff>44449</xdr:colOff>
      <xdr:row>68</xdr:row>
      <xdr:rowOff>15875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76200</xdr:colOff>
      <xdr:row>1</xdr:row>
      <xdr:rowOff>12700</xdr:rowOff>
    </xdr:from>
    <xdr:to>
      <xdr:col>36</xdr:col>
      <xdr:colOff>82549</xdr:colOff>
      <xdr:row>17</xdr:row>
      <xdr:rowOff>3175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28</xdr:col>
      <xdr:colOff>76200</xdr:colOff>
      <xdr:row>18</xdr:row>
      <xdr:rowOff>50800</xdr:rowOff>
    </xdr:from>
    <xdr:to>
      <xdr:col>36</xdr:col>
      <xdr:colOff>82549</xdr:colOff>
      <xdr:row>34</xdr:row>
      <xdr:rowOff>41275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63500</xdr:colOff>
      <xdr:row>35</xdr:row>
      <xdr:rowOff>63500</xdr:rowOff>
    </xdr:from>
    <xdr:to>
      <xdr:col>36</xdr:col>
      <xdr:colOff>69849</xdr:colOff>
      <xdr:row>51</xdr:row>
      <xdr:rowOff>53975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50800</xdr:colOff>
      <xdr:row>52</xdr:row>
      <xdr:rowOff>38100</xdr:rowOff>
    </xdr:from>
    <xdr:to>
      <xdr:col>36</xdr:col>
      <xdr:colOff>57149</xdr:colOff>
      <xdr:row>68</xdr:row>
      <xdr:rowOff>28575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485775</xdr:colOff>
      <xdr:row>2</xdr:row>
      <xdr:rowOff>19050</xdr:rowOff>
    </xdr:from>
    <xdr:to>
      <xdr:col>18</xdr:col>
      <xdr:colOff>180975</xdr:colOff>
      <xdr:row>17</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342900</xdr:colOff>
      <xdr:row>0</xdr:row>
      <xdr:rowOff>161925</xdr:rowOff>
    </xdr:from>
    <xdr:to>
      <xdr:col>18</xdr:col>
      <xdr:colOff>38100</xdr:colOff>
      <xdr:row>16</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17</xdr:row>
      <xdr:rowOff>152400</xdr:rowOff>
    </xdr:from>
    <xdr:to>
      <xdr:col>8</xdr:col>
      <xdr:colOff>285749</xdr:colOff>
      <xdr:row>33</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34</xdr:row>
      <xdr:rowOff>66675</xdr:rowOff>
    </xdr:from>
    <xdr:to>
      <xdr:col>8</xdr:col>
      <xdr:colOff>295274</xdr:colOff>
      <xdr:row>50</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238125</xdr:colOff>
      <xdr:row>1</xdr:row>
      <xdr:rowOff>38100</xdr:rowOff>
    </xdr:from>
    <xdr:to>
      <xdr:col>8</xdr:col>
      <xdr:colOff>295274</xdr:colOff>
      <xdr:row>17</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447675</xdr:colOff>
      <xdr:row>1</xdr:row>
      <xdr:rowOff>47625</xdr:rowOff>
    </xdr:from>
    <xdr:to>
      <xdr:col>16</xdr:col>
      <xdr:colOff>504824</xdr:colOff>
      <xdr:row>17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9525</xdr:colOff>
      <xdr:row>1</xdr:row>
      <xdr:rowOff>57150</xdr:rowOff>
    </xdr:from>
    <xdr:to>
      <xdr:col>25</xdr:col>
      <xdr:colOff>66674</xdr:colOff>
      <xdr:row>17</xdr:row>
      <xdr:rowOff>47625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209550</xdr:colOff>
      <xdr:row>1</xdr:row>
      <xdr:rowOff>66675</xdr:rowOff>
    </xdr:from>
    <xdr:to>
      <xdr:col>33</xdr:col>
      <xdr:colOff>266699</xdr:colOff>
      <xdr:row>17</xdr:row>
      <xdr:rowOff>57150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457200</xdr:colOff>
      <xdr:row>17</xdr:row>
      <xdr:rowOff>161925</xdr:rowOff>
    </xdr:from>
    <xdr:to>
      <xdr:col>16</xdr:col>
      <xdr:colOff>514349</xdr:colOff>
      <xdr:row>33</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38100</xdr:colOff>
      <xdr:row>17</xdr:row>
      <xdr:rowOff>177800</xdr:rowOff>
    </xdr:from>
    <xdr:to>
      <xdr:col>25</xdr:col>
      <xdr:colOff>95249</xdr:colOff>
      <xdr:row>33</xdr:row>
      <xdr:rowOff>168275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457200</xdr:colOff>
      <xdr:row>34</xdr:row>
      <xdr:rowOff>76200</xdr:rowOff>
    </xdr:from>
    <xdr:to>
      <xdr:col>16</xdr:col>
      <xdr:colOff>514349</xdr:colOff>
      <xdr:row>50</xdr:row>
      <xdr:rowOff>66675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50800</xdr:colOff>
      <xdr:row>34</xdr:row>
      <xdr:rowOff>76200</xdr:rowOff>
    </xdr:from>
    <xdr:to>
      <xdr:col>25</xdr:col>
      <xdr:colOff>107949</xdr:colOff>
      <xdr:row>50</xdr:row>
      <xdr:rowOff>66675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241300</xdr:colOff>
      <xdr:row>50</xdr:row>
      <xdr:rowOff>165100</xdr:rowOff>
    </xdr:from>
    <xdr:to>
      <xdr:col>8</xdr:col>
      <xdr:colOff>298449</xdr:colOff>
      <xdr:row>66</xdr:row>
      <xdr:rowOff>155575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469900</xdr:colOff>
      <xdr:row>50</xdr:row>
      <xdr:rowOff>177800</xdr:rowOff>
    </xdr:from>
    <xdr:to>
      <xdr:col>16</xdr:col>
      <xdr:colOff>527049</xdr:colOff>
      <xdr:row>66</xdr:row>
      <xdr:rowOff>168275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63500</xdr:colOff>
      <xdr:row>50</xdr:row>
      <xdr:rowOff>177800</xdr:rowOff>
    </xdr:from>
    <xdr:to>
      <xdr:col>25</xdr:col>
      <xdr:colOff>120649</xdr:colOff>
      <xdr:row>66</xdr:row>
      <xdr:rowOff>168275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254000</xdr:colOff>
      <xdr:row>67</xdr:row>
      <xdr:rowOff>88900</xdr:rowOff>
    </xdr:from>
    <xdr:to>
      <xdr:col>8</xdr:col>
      <xdr:colOff>311149</xdr:colOff>
      <xdr:row>83</xdr:row>
      <xdr:rowOff>79375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469900</xdr:colOff>
      <xdr:row>67</xdr:row>
      <xdr:rowOff>88900</xdr:rowOff>
    </xdr:from>
    <xdr:to>
      <xdr:col>16</xdr:col>
      <xdr:colOff>527049</xdr:colOff>
      <xdr:row>83</xdr:row>
      <xdr:rowOff>79375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88900</xdr:colOff>
      <xdr:row>67</xdr:row>
      <xdr:rowOff>76200</xdr:rowOff>
    </xdr:from>
    <xdr:to>
      <xdr:col>25</xdr:col>
      <xdr:colOff>146049</xdr:colOff>
      <xdr:row>83</xdr:row>
      <xdr:rowOff>66675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266700</xdr:colOff>
      <xdr:row>84</xdr:row>
      <xdr:rowOff>0</xdr:rowOff>
    </xdr:from>
    <xdr:to>
      <xdr:col>8</xdr:col>
      <xdr:colOff>323849</xdr:colOff>
      <xdr:row>99</xdr:row>
      <xdr:rowOff>180975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482600</xdr:colOff>
      <xdr:row>84</xdr:row>
      <xdr:rowOff>12700</xdr:rowOff>
    </xdr:from>
    <xdr:to>
      <xdr:col>16</xdr:col>
      <xdr:colOff>539749</xdr:colOff>
      <xdr:row>100</xdr:row>
      <xdr:rowOff>3175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114300</xdr:colOff>
      <xdr:row>84</xdr:row>
      <xdr:rowOff>12700</xdr:rowOff>
    </xdr:from>
    <xdr:to>
      <xdr:col>25</xdr:col>
      <xdr:colOff>171449</xdr:colOff>
      <xdr:row>100</xdr:row>
      <xdr:rowOff>3175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292100</xdr:colOff>
      <xdr:row>100</xdr:row>
      <xdr:rowOff>127000</xdr:rowOff>
    </xdr:from>
    <xdr:to>
      <xdr:col>8</xdr:col>
      <xdr:colOff>349249</xdr:colOff>
      <xdr:row>116</xdr:row>
      <xdr:rowOff>117475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482600</xdr:colOff>
      <xdr:row>100</xdr:row>
      <xdr:rowOff>139700</xdr:rowOff>
    </xdr:from>
    <xdr:to>
      <xdr:col>16</xdr:col>
      <xdr:colOff>539749</xdr:colOff>
      <xdr:row>116</xdr:row>
      <xdr:rowOff>130175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114300</xdr:colOff>
      <xdr:row>100</xdr:row>
      <xdr:rowOff>139700</xdr:rowOff>
    </xdr:from>
    <xdr:to>
      <xdr:col>25</xdr:col>
      <xdr:colOff>171449</xdr:colOff>
      <xdr:row>116</xdr:row>
      <xdr:rowOff>130175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304800</xdr:colOff>
      <xdr:row>117</xdr:row>
      <xdr:rowOff>50800</xdr:rowOff>
    </xdr:from>
    <xdr:to>
      <xdr:col>8</xdr:col>
      <xdr:colOff>361949</xdr:colOff>
      <xdr:row>133</xdr:row>
      <xdr:rowOff>41275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495300</xdr:colOff>
      <xdr:row>117</xdr:row>
      <xdr:rowOff>50800</xdr:rowOff>
    </xdr:from>
    <xdr:to>
      <xdr:col>16</xdr:col>
      <xdr:colOff>552449</xdr:colOff>
      <xdr:row>133</xdr:row>
      <xdr:rowOff>41275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17</xdr:col>
      <xdr:colOff>127000</xdr:colOff>
      <xdr:row>117</xdr:row>
      <xdr:rowOff>76200</xdr:rowOff>
    </xdr:from>
    <xdr:to>
      <xdr:col>25</xdr:col>
      <xdr:colOff>184149</xdr:colOff>
      <xdr:row>133</xdr:row>
      <xdr:rowOff>66675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304800</xdr:colOff>
      <xdr:row>133</xdr:row>
      <xdr:rowOff>165100</xdr:rowOff>
    </xdr:from>
    <xdr:to>
      <xdr:col>8</xdr:col>
      <xdr:colOff>361949</xdr:colOff>
      <xdr:row>149</xdr:row>
      <xdr:rowOff>155575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520700</xdr:colOff>
      <xdr:row>133</xdr:row>
      <xdr:rowOff>177800</xdr:rowOff>
    </xdr:from>
    <xdr:to>
      <xdr:col>16</xdr:col>
      <xdr:colOff>577849</xdr:colOff>
      <xdr:row>149</xdr:row>
      <xdr:rowOff>168275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139700</xdr:colOff>
      <xdr:row>133</xdr:row>
      <xdr:rowOff>165100</xdr:rowOff>
    </xdr:from>
    <xdr:to>
      <xdr:col>25</xdr:col>
      <xdr:colOff>196849</xdr:colOff>
      <xdr:row>149</xdr:row>
      <xdr:rowOff>155575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mb-steven/application%20data/Microsoft/Excel/Proposed%20data%20tables%20(Group%20B)%20end%201207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mb-steven/application%20data/Microsoft/Excel/Proposed%20data%20tables%20(Group%20B)%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Group B"/>
      <sheetName val="Task metrics"/>
      <sheetName val="Qualitative"/>
      <sheetName val="Task Time Calculations"/>
      <sheetName val="Averages"/>
      <sheetName val="Std Devs"/>
      <sheetName val="Confidence Intervals"/>
      <sheetName val="Proposed data tables (Group B) "/>
    </sheetNames>
    <sheetDataSet>
      <sheetData sheetId="0" refreshError="1"/>
      <sheetData sheetId="1"/>
      <sheetData sheetId="2" refreshError="1"/>
      <sheetData sheetId="3"/>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s - Group B"/>
      <sheetName val="Task metrics - Group B"/>
      <sheetName val="Qualitative - Group B"/>
      <sheetName val="Task Time Calcs - Group B"/>
      <sheetName val="Averages - Group B"/>
      <sheetName val="Std Devs - Group B"/>
      <sheetName val="Confidence Intervals - Group B"/>
      <sheetName val="Proposed data tables (Group B) "/>
    </sheetNames>
    <sheetDataSet>
      <sheetData sheetId="0"/>
      <sheetData sheetId="1"/>
      <sheetData sheetId="2"/>
      <sheetData sheetId="3"/>
      <sheetData sheetId="4"/>
      <sheetData sheetId="5"/>
      <sheetData sheetId="6"/>
      <sheetData sheetId="7" refreshError="1"/>
    </sheetDataSet>
  </externalBook>
</externalLink>
</file>

<file path=xl/tables/table1.xml><?xml version="1.0" encoding="utf-8"?>
<table xmlns="http://schemas.openxmlformats.org/spreadsheetml/2006/main" id="105" name="Table105" displayName="Table105" ref="B5:G41" totalsRowShown="0" headerRowDxfId="980" headerRowBorderDxfId="979" tableBorderDxfId="978">
  <autoFilter ref="B5:G41"/>
  <tableColumns count="6">
    <tableColumn id="1" name="User ID" dataDxfId="977"/>
    <tableColumn id="2" name="Age range" dataDxfId="976"/>
    <tableColumn id="3" name="Education level" dataDxfId="975"/>
    <tableColumn id="4" name="Category of phone" dataDxfId="974"/>
    <tableColumn id="5" name="Q9. How much is your total pre-tax household income?" dataDxfId="973"/>
    <tableColumn id="6" name="B: Accessibilty Screener" dataDxfId="972"/>
  </tableColumns>
  <tableStyleInfo name="TableStyleMedium2" showFirstColumn="0" showLastColumn="0" showRowStripes="1" showColumnStripes="0"/>
</table>
</file>

<file path=xl/tables/table10.xml><?xml version="1.0" encoding="utf-8"?>
<table xmlns="http://schemas.openxmlformats.org/spreadsheetml/2006/main" id="12" name="Table313" displayName="Table313" ref="CJ5:CR42" totalsRowCount="1" headerRowDxfId="793" dataDxfId="792" tableBorderDxfId="791">
  <autoFilter ref="CJ5:CR41"/>
  <tableColumns count="9">
    <tableColumn id="1" name="User" totalsRowLabel="Total" dataDxfId="790" totalsRowDxfId="789"/>
    <tableColumn id="2" name="Task 1a" totalsRowFunction="average" dataDxfId="788" totalsRowDxfId="787"/>
    <tableColumn id="3" name="Task 1b" totalsRowFunction="average" dataDxfId="786" totalsRowDxfId="785"/>
    <tableColumn id="4" name="Task 2" totalsRowFunction="average" dataDxfId="784" totalsRowDxfId="783"/>
    <tableColumn id="5" name="Task 3" totalsRowFunction="average" dataDxfId="782" totalsRowDxfId="781"/>
    <tableColumn id="6" name="Task 4" totalsRowFunction="average" dataDxfId="780" totalsRowDxfId="779"/>
    <tableColumn id="7" name="Task 5" totalsRowFunction="average" dataDxfId="778" totalsRowDxfId="777"/>
    <tableColumn id="8" name="Task 6" totalsRowFunction="average" dataDxfId="776" totalsRowDxfId="775"/>
    <tableColumn id="9" name="Task 7" totalsRowFunction="average" dataDxfId="774" totalsRowDxfId="773"/>
  </tableColumns>
  <tableStyleInfo name="TableStyleMedium2" showFirstColumn="0" showLastColumn="0" showRowStripes="1" showColumnStripes="0"/>
</table>
</file>

<file path=xl/tables/table11.xml><?xml version="1.0" encoding="utf-8"?>
<table xmlns="http://schemas.openxmlformats.org/spreadsheetml/2006/main" id="13" name="Table414" displayName="Table414" ref="CT5:DB42" totalsRowCount="1" headerRowDxfId="772" dataDxfId="771" tableBorderDxfId="770">
  <autoFilter ref="CT5:DB41"/>
  <tableColumns count="9">
    <tableColumn id="1" name="User" totalsRowLabel="Total" dataDxfId="769" totalsRowDxfId="768"/>
    <tableColumn id="2" name="Task 1a" totalsRowFunction="average" dataDxfId="767" totalsRowDxfId="766"/>
    <tableColumn id="3" name="Task 1b" totalsRowFunction="average" dataDxfId="765" totalsRowDxfId="764"/>
    <tableColumn id="4" name="Task 2" totalsRowFunction="average" dataDxfId="763" totalsRowDxfId="762"/>
    <tableColumn id="5" name="Task 3" totalsRowFunction="average" dataDxfId="761" totalsRowDxfId="760"/>
    <tableColumn id="6" name="Task 4" totalsRowFunction="average" dataDxfId="759" totalsRowDxfId="758"/>
    <tableColumn id="7" name="Task 5" totalsRowFunction="average" dataDxfId="757" totalsRowDxfId="756"/>
    <tableColumn id="8" name="Task 6" totalsRowFunction="average" dataDxfId="755" totalsRowDxfId="754"/>
    <tableColumn id="9" name="Task 7" totalsRowFunction="average" dataDxfId="753" totalsRowDxfId="752"/>
  </tableColumns>
  <tableStyleInfo name="TableStyleMedium2" showFirstColumn="0" showLastColumn="0" showRowStripes="1" showColumnStripes="0"/>
</table>
</file>

<file path=xl/tables/table12.xml><?xml version="1.0" encoding="utf-8"?>
<table xmlns="http://schemas.openxmlformats.org/spreadsheetml/2006/main" id="14" name="Table515" displayName="Table515" ref="DD5:DL42" totalsRowCount="1" headerRowDxfId="751" dataDxfId="750">
  <autoFilter ref="DD5:DL41"/>
  <tableColumns count="9">
    <tableColumn id="1" name="User" totalsRowLabel="Total" dataDxfId="749" totalsRowDxfId="748"/>
    <tableColumn id="2" name="Task 1a" totalsRowFunction="average" dataDxfId="747" totalsRowDxfId="746"/>
    <tableColumn id="3" name="Task 1b" totalsRowFunction="average" dataDxfId="745" totalsRowDxfId="744"/>
    <tableColumn id="4" name="Task 2" totalsRowFunction="average" dataDxfId="743" totalsRowDxfId="742"/>
    <tableColumn id="5" name="Task 3" totalsRowFunction="average" dataDxfId="741" totalsRowDxfId="740"/>
    <tableColumn id="6" name="Task 4" totalsRowFunction="average" dataDxfId="739" totalsRowDxfId="738"/>
    <tableColumn id="7" name="Task 5" totalsRowFunction="average" dataDxfId="737" totalsRowDxfId="736"/>
    <tableColumn id="8" name="Task 6" totalsRowFunction="average" dataDxfId="735" totalsRowDxfId="734"/>
    <tableColumn id="9" name="Task 7" totalsRowFunction="average" dataDxfId="733" totalsRowDxfId="732"/>
  </tableColumns>
  <tableStyleInfo name="TableStyleMedium2" showFirstColumn="0" showLastColumn="0" showRowStripes="1" showColumnStripes="0"/>
</table>
</file>

<file path=xl/tables/table13.xml><?xml version="1.0" encoding="utf-8"?>
<table xmlns="http://schemas.openxmlformats.org/spreadsheetml/2006/main" id="15" name="Table5216" displayName="Table5216" ref="DN5:DY42" totalsRowCount="1" headerRowDxfId="731" dataDxfId="730">
  <autoFilter ref="DN5:DY41"/>
  <tableColumns count="12">
    <tableColumn id="1" name="User" totalsRowLabel="Total" dataDxfId="729" totalsRowDxfId="728"/>
    <tableColumn id="2" name="Q1" totalsRowFunction="average" dataDxfId="727" totalsRowDxfId="726"/>
    <tableColumn id="3" name="Q2" totalsRowFunction="average" dataDxfId="725" totalsRowDxfId="724"/>
    <tableColumn id="4" name="Q3" totalsRowFunction="average" dataDxfId="723" totalsRowDxfId="722"/>
    <tableColumn id="5" name="Q4" totalsRowFunction="average" dataDxfId="721" totalsRowDxfId="720"/>
    <tableColumn id="6" name="Q5" totalsRowFunction="average" dataDxfId="719" totalsRowDxfId="718"/>
    <tableColumn id="7" name="Q6" totalsRowFunction="average" dataDxfId="717" totalsRowDxfId="716"/>
    <tableColumn id="8" name="Q7" totalsRowFunction="average" dataDxfId="715" totalsRowDxfId="714"/>
    <tableColumn id="9" name="Q8" totalsRowFunction="average" dataDxfId="713" totalsRowDxfId="712"/>
    <tableColumn id="10" name="Q9" totalsRowFunction="average" dataDxfId="711" totalsRowDxfId="710"/>
    <tableColumn id="11" name="Q10" totalsRowFunction="average" dataDxfId="709" totalsRowDxfId="708"/>
    <tableColumn id="12" name="TOTAL" totalsRowFunction="average" dataDxfId="707" totalsRowDxfId="706">
      <calculatedColumnFormula>((DO6-1)+(5-DP6)+(DQ6-1)+(5-DR6)+(DS6-1)+(5-DT6)+(DU6-1)+(5-DV6)+(DW6-1)+(5-DX6))*2.5</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id="49" name="Table110" displayName="Table110" ref="A5:I41" insertRowShift="1" totalsRowShown="0" headerRowDxfId="704" dataDxfId="702" headerRowBorderDxfId="703">
  <autoFilter ref="A5:I41"/>
  <tableColumns count="9">
    <tableColumn id="4" name="User" dataDxfId="701"/>
    <tableColumn id="2" name="Session Time" dataDxfId="700"/>
    <tableColumn id="1" name="User ID" dataDxfId="699"/>
    <tableColumn id="3" name="First Name" dataDxfId="698"/>
    <tableColumn id="8" name="Age range" dataDxfId="697"/>
    <tableColumn id="9" name="Education level" dataDxfId="696"/>
    <tableColumn id="13" name="Category of phone" dataDxfId="695"/>
    <tableColumn id="16" name="Q9. How much is your total pre-tax household income?" dataDxfId="694"/>
    <tableColumn id="22" name="B: Accessibilty Screener" dataDxfId="693"/>
  </tableColumns>
  <tableStyleInfo name="TableStyleMedium9" showFirstColumn="0" showLastColumn="0" showRowStripes="1" showColumnStripes="0"/>
</table>
</file>

<file path=xl/tables/table15.xml><?xml version="1.0" encoding="utf-8"?>
<table xmlns="http://schemas.openxmlformats.org/spreadsheetml/2006/main" id="50" name="Table351" displayName="Table351" ref="B5:J42" totalsRowCount="1" headerRowDxfId="692" dataDxfId="691" tableBorderDxfId="690">
  <autoFilter ref="B5:J41"/>
  <tableColumns count="9">
    <tableColumn id="1" name="User" totalsRowLabel="Total" dataDxfId="689" totalsRowDxfId="688"/>
    <tableColumn id="2" name="Task 1a" totalsRowFunction="average" dataDxfId="687" totalsRowDxfId="686"/>
    <tableColumn id="3" name="Task 1b" totalsRowFunction="average" dataDxfId="685" totalsRowDxfId="684"/>
    <tableColumn id="4" name="Task 2" totalsRowFunction="average" dataDxfId="683" totalsRowDxfId="682"/>
    <tableColumn id="5" name="Task 3" totalsRowFunction="average" dataDxfId="681" totalsRowDxfId="680"/>
    <tableColumn id="6" name="Task 4" totalsRowFunction="average" dataDxfId="679" totalsRowDxfId="678"/>
    <tableColumn id="7" name="Task 5" totalsRowFunction="average" dataDxfId="677" totalsRowDxfId="676"/>
    <tableColumn id="8" name="Task 6" totalsRowFunction="average" dataDxfId="675" totalsRowDxfId="674"/>
    <tableColumn id="9" name="Task 7" totalsRowFunction="average" dataDxfId="673" totalsRowDxfId="672"/>
  </tableColumns>
  <tableStyleInfo name="TableStyleMedium2" showFirstColumn="0" showLastColumn="0" showRowStripes="1" showColumnStripes="0"/>
</table>
</file>

<file path=xl/tables/table16.xml><?xml version="1.0" encoding="utf-8"?>
<table xmlns="http://schemas.openxmlformats.org/spreadsheetml/2006/main" id="51" name="Table452" displayName="Table452" ref="L5:U42" totalsRowCount="1" headerRowDxfId="671" dataDxfId="670" tableBorderDxfId="669">
  <autoFilter ref="L5:U41"/>
  <tableColumns count="10">
    <tableColumn id="1" name="User" totalsRowLabel="Total" dataDxfId="668" totalsRowDxfId="667"/>
    <tableColumn id="2" name="Task 1a" totalsRowFunction="average" dataDxfId="666" totalsRowDxfId="665"/>
    <tableColumn id="3" name="Task 1b" totalsRowFunction="average" dataDxfId="664" totalsRowDxfId="663"/>
    <tableColumn id="4" name="Task 2" totalsRowFunction="average" dataDxfId="662" totalsRowDxfId="661"/>
    <tableColumn id="5" name="Task 3" totalsRowFunction="average" dataDxfId="660" totalsRowDxfId="659"/>
    <tableColumn id="6" name="Task 4" totalsRowFunction="average" dataDxfId="658" totalsRowDxfId="657"/>
    <tableColumn id="7" name="Task 5" totalsRowFunction="average" dataDxfId="656" totalsRowDxfId="655"/>
    <tableColumn id="8" name="Task 6" totalsRowFunction="average" dataDxfId="654" totalsRowDxfId="653"/>
    <tableColumn id="9" name="Task 7" totalsRowFunction="average" dataDxfId="652" totalsRowDxfId="651"/>
    <tableColumn id="10" name="x" dataDxfId="650" totalsRowDxfId="649"/>
  </tableColumns>
  <tableStyleInfo name="TableStyleMedium2" showFirstColumn="0" showLastColumn="0" showRowStripes="1" showColumnStripes="0"/>
</table>
</file>

<file path=xl/tables/table17.xml><?xml version="1.0" encoding="utf-8"?>
<table xmlns="http://schemas.openxmlformats.org/spreadsheetml/2006/main" id="52" name="Table553" displayName="Table553" ref="V5:AD42" totalsRowCount="1" headerRowDxfId="648" dataDxfId="647">
  <autoFilter ref="V5:AD41"/>
  <tableColumns count="9">
    <tableColumn id="1" name="User" totalsRowLabel="Total" dataDxfId="646" totalsRowDxfId="645"/>
    <tableColumn id="2" name="Task 1a" totalsRowFunction="average" dataDxfId="644" totalsRowDxfId="643"/>
    <tableColumn id="3" name="Task 1b" totalsRowFunction="average" dataDxfId="642" totalsRowDxfId="641"/>
    <tableColumn id="4" name="Task 2" totalsRowFunction="average" dataDxfId="640" totalsRowDxfId="639"/>
    <tableColumn id="5" name="Task 3" totalsRowFunction="average" dataDxfId="638" totalsRowDxfId="637"/>
    <tableColumn id="6" name="Task 4" totalsRowFunction="average" dataDxfId="636" totalsRowDxfId="635"/>
    <tableColumn id="7" name="Task 5" totalsRowFunction="average" dataDxfId="634" totalsRowDxfId="633"/>
    <tableColumn id="8" name="Task 6" totalsRowFunction="average" dataDxfId="632" totalsRowDxfId="631"/>
    <tableColumn id="9" name="Task 7" totalsRowFunction="average" dataDxfId="630" totalsRowDxfId="629"/>
  </tableColumns>
  <tableStyleInfo name="TableStyleMedium2" showFirstColumn="0" showLastColumn="0" showRowStripes="1" showColumnStripes="0"/>
</table>
</file>

<file path=xl/tables/table18.xml><?xml version="1.0" encoding="utf-8"?>
<table xmlns="http://schemas.openxmlformats.org/spreadsheetml/2006/main" id="53" name="Table5254" displayName="Table5254" ref="AF5:AR42" totalsRowCount="1" headerRowDxfId="628" dataDxfId="627">
  <autoFilter ref="AF5:AR41"/>
  <tableColumns count="13">
    <tableColumn id="1" name="User" totalsRowLabel="Total" dataDxfId="626" totalsRowDxfId="625"/>
    <tableColumn id="2" name="Q1" totalsRowFunction="average" dataDxfId="624" totalsRowDxfId="623"/>
    <tableColumn id="3" name="Q2" totalsRowFunction="average" dataDxfId="622" totalsRowDxfId="621"/>
    <tableColumn id="4" name="Q3" totalsRowFunction="average" dataDxfId="620" totalsRowDxfId="619"/>
    <tableColumn id="5" name="Q4" totalsRowFunction="average" dataDxfId="618" totalsRowDxfId="617"/>
    <tableColumn id="6" name="Q5" totalsRowFunction="average" dataDxfId="616" totalsRowDxfId="615"/>
    <tableColumn id="7" name="Q6" totalsRowFunction="average" dataDxfId="614" totalsRowDxfId="613"/>
    <tableColumn id="8" name="Q7" totalsRowFunction="average" dataDxfId="612" totalsRowDxfId="611"/>
    <tableColumn id="9" name="Q8" totalsRowFunction="average" dataDxfId="610" totalsRowDxfId="609"/>
    <tableColumn id="10" name="Q9" totalsRowFunction="average" dataDxfId="608" totalsRowDxfId="607"/>
    <tableColumn id="11" name="Q10" totalsRowFunction="average" dataDxfId="606" totalsRowDxfId="605"/>
    <tableColumn id="12" name="TOTAL" totalsRowFunction="average" dataDxfId="604" totalsRowDxfId="603">
      <calculatedColumnFormula>((AG6-1)+(5-AH6)+(AI6-1)+(5-AJ6)+(AK6-1)+(5-AL6)+(AM6-1)+(5-AN6)+(AO6-1)+(5-AP6))*2.5</calculatedColumnFormula>
    </tableColumn>
    <tableColumn id="13" name="Column1" dataDxfId="602" totalsRowDxfId="601"/>
  </tableColumns>
  <tableStyleInfo name="TableStyleMedium2" showFirstColumn="0" showLastColumn="0" showRowStripes="1" showColumnStripes="0"/>
</table>
</file>

<file path=xl/tables/table19.xml><?xml version="1.0" encoding="utf-8"?>
<table xmlns="http://schemas.openxmlformats.org/spreadsheetml/2006/main" id="59" name="Table3360" displayName="Table3360" ref="AS5:BA42" totalsRowCount="1" headerRowDxfId="600" dataDxfId="599" tableBorderDxfId="598">
  <autoFilter ref="AS5:BA41"/>
  <tableColumns count="9">
    <tableColumn id="1" name="User" totalsRowLabel="Total" dataDxfId="597" totalsRowDxfId="596"/>
    <tableColumn id="2" name="Task 1a" totalsRowFunction="average" dataDxfId="595" totalsRowDxfId="594"/>
    <tableColumn id="3" name="Task 1b" totalsRowFunction="average" dataDxfId="593" totalsRowDxfId="592"/>
    <tableColumn id="4" name="Task 2" totalsRowFunction="average" dataDxfId="591" totalsRowDxfId="590"/>
    <tableColumn id="5" name="Task 3" totalsRowFunction="average" dataDxfId="589" totalsRowDxfId="588"/>
    <tableColumn id="6" name="Task 4" totalsRowFunction="average" dataDxfId="587" totalsRowDxfId="586"/>
    <tableColumn id="7" name="Task 5" totalsRowFunction="average" dataDxfId="585" totalsRowDxfId="584"/>
    <tableColumn id="8" name="Task 6" totalsRowFunction="average" dataDxfId="583" totalsRowDxfId="582"/>
    <tableColumn id="9" name="Task 7" totalsRowFunction="average" dataDxfId="581" totalsRowDxfId="58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5:K42" totalsRowCount="1" headerRowDxfId="971" dataDxfId="970" tableBorderDxfId="969">
  <autoFilter ref="B5:K41"/>
  <tableColumns count="10">
    <tableColumn id="1" name="User" totalsRowLabel="Total" dataDxfId="968" totalsRowDxfId="967"/>
    <tableColumn id="2" name="Task 1a" totalsRowFunction="average" dataDxfId="966" totalsRowDxfId="965"/>
    <tableColumn id="3" name="Task 1b" dataDxfId="964" totalsRowDxfId="963"/>
    <tableColumn id="4" name="Task 2" totalsRowFunction="average" dataDxfId="962" totalsRowDxfId="961"/>
    <tableColumn id="5" name="Task 3" totalsRowFunction="average" dataDxfId="960" totalsRowDxfId="959"/>
    <tableColumn id="6" name="Task 4" totalsRowFunction="average" dataDxfId="958" totalsRowDxfId="957"/>
    <tableColumn id="7" name="Task 5" totalsRowFunction="average" dataDxfId="956" totalsRowDxfId="955"/>
    <tableColumn id="8" name="Task 6" totalsRowFunction="average" dataDxfId="954" totalsRowDxfId="953"/>
    <tableColumn id="9" name="Task 7" dataDxfId="952" totalsRowDxfId="951"/>
    <tableColumn id="10" name="Task 9" dataDxfId="950" totalsRowDxfId="949"/>
  </tableColumns>
  <tableStyleInfo name="TableStyleMedium2" showFirstColumn="0" showLastColumn="0" showRowStripes="1" showColumnStripes="0"/>
</table>
</file>

<file path=xl/tables/table20.xml><?xml version="1.0" encoding="utf-8"?>
<table xmlns="http://schemas.openxmlformats.org/spreadsheetml/2006/main" id="60" name="Table41061" displayName="Table41061" ref="BC5:BK42" totalsRowCount="1" headerRowDxfId="579" dataDxfId="578" tableBorderDxfId="577">
  <autoFilter ref="BC5:BK41"/>
  <tableColumns count="9">
    <tableColumn id="1" name="User" totalsRowLabel="Total" dataDxfId="576" totalsRowDxfId="575"/>
    <tableColumn id="2" name="Task 1a" totalsRowFunction="average" dataDxfId="574" totalsRowDxfId="573"/>
    <tableColumn id="3" name="Task 1b" totalsRowFunction="average" dataDxfId="572" totalsRowDxfId="571"/>
    <tableColumn id="4" name="Task 2" totalsRowFunction="average" dataDxfId="570" totalsRowDxfId="569"/>
    <tableColumn id="5" name="Task 3" totalsRowFunction="average" dataDxfId="568" totalsRowDxfId="567"/>
    <tableColumn id="6" name="Task 4" totalsRowFunction="average" dataDxfId="566" totalsRowDxfId="565"/>
    <tableColumn id="7" name="Task 5" totalsRowFunction="average" dataDxfId="564" totalsRowDxfId="563"/>
    <tableColumn id="8" name="Task 6" totalsRowFunction="average" dataDxfId="562" totalsRowDxfId="561"/>
    <tableColumn id="9" name="Task 7" totalsRowFunction="average" dataDxfId="560" totalsRowDxfId="559"/>
  </tableColumns>
  <tableStyleInfo name="TableStyleMedium2" showFirstColumn="0" showLastColumn="0" showRowStripes="1" showColumnStripes="0"/>
</table>
</file>

<file path=xl/tables/table21.xml><?xml version="1.0" encoding="utf-8"?>
<table xmlns="http://schemas.openxmlformats.org/spreadsheetml/2006/main" id="61" name="Table51162" displayName="Table51162" ref="BM5:BU42" totalsRowCount="1" headerRowDxfId="558" dataDxfId="557">
  <autoFilter ref="BM5:BU41"/>
  <tableColumns count="9">
    <tableColumn id="1" name="User" totalsRowLabel="Total" dataDxfId="556" totalsRowDxfId="555"/>
    <tableColumn id="2" name="Task 1a" totalsRowFunction="average" dataDxfId="554" totalsRowDxfId="553"/>
    <tableColumn id="3" name="Task 1b" totalsRowFunction="average" dataDxfId="552" totalsRowDxfId="551"/>
    <tableColumn id="4" name="Task 2" totalsRowFunction="average" dataDxfId="550" totalsRowDxfId="549"/>
    <tableColumn id="5" name="Task 3" totalsRowFunction="average" dataDxfId="548" totalsRowDxfId="547"/>
    <tableColumn id="6" name="Task 4" totalsRowFunction="average" dataDxfId="546" totalsRowDxfId="545"/>
    <tableColumn id="7" name="Task 5" totalsRowFunction="average" dataDxfId="544" totalsRowDxfId="543"/>
    <tableColumn id="8" name="Task 6" totalsRowFunction="average" dataDxfId="542" totalsRowDxfId="541"/>
    <tableColumn id="9" name="Task 7" totalsRowFunction="average" dataDxfId="540" totalsRowDxfId="539"/>
  </tableColumns>
  <tableStyleInfo name="TableStyleMedium2" showFirstColumn="0" showLastColumn="0" showRowStripes="1" showColumnStripes="0"/>
</table>
</file>

<file path=xl/tables/table22.xml><?xml version="1.0" encoding="utf-8"?>
<table xmlns="http://schemas.openxmlformats.org/spreadsheetml/2006/main" id="62" name="Table521263" displayName="Table521263" ref="BW5:CH42" totalsRowCount="1" headerRowDxfId="538" dataDxfId="537">
  <autoFilter ref="BW5:CH41"/>
  <tableColumns count="12">
    <tableColumn id="1" name="User" totalsRowLabel="Total" dataDxfId="536" totalsRowDxfId="535"/>
    <tableColumn id="2" name="Q1" totalsRowFunction="average" dataDxfId="534" totalsRowDxfId="533"/>
    <tableColumn id="3" name="Q2" totalsRowFunction="average" dataDxfId="532" totalsRowDxfId="531"/>
    <tableColumn id="4" name="Q3" totalsRowFunction="average" dataDxfId="530" totalsRowDxfId="529"/>
    <tableColumn id="5" name="Q4" totalsRowFunction="average" dataDxfId="528" totalsRowDxfId="527"/>
    <tableColumn id="6" name="Q5" totalsRowFunction="average" dataDxfId="526" totalsRowDxfId="525"/>
    <tableColumn id="7" name="Q6" totalsRowFunction="average" dataDxfId="524" totalsRowDxfId="523"/>
    <tableColumn id="8" name="Q7" totalsRowFunction="average" dataDxfId="522" totalsRowDxfId="521"/>
    <tableColumn id="9" name="Q8" totalsRowFunction="average" dataDxfId="520" totalsRowDxfId="519"/>
    <tableColumn id="10" name="Q9" totalsRowFunction="custom" dataDxfId="518" totalsRowDxfId="517">
      <totalsRowFormula>SUBTOTAL(101,Table521263[Q8])</totalsRowFormula>
    </tableColumn>
    <tableColumn id="11" name="Q10" totalsRowFunction="average" dataDxfId="516" totalsRowDxfId="515"/>
    <tableColumn id="12" name="TOTAL" totalsRowFunction="average" dataDxfId="514" totalsRowDxfId="513">
      <calculatedColumnFormula>((BX6-1)+(5-BY6)+(BZ6-1)+(5-CA6)+(CB6-1)+(5-CC6)+(CD6-1)+(5-CE6)+(CF6-1)+(5-CG6))*2.5</calculatedColumnFormula>
    </tableColumn>
  </tableColumns>
  <tableStyleInfo name="TableStyleMedium2" showFirstColumn="0" showLastColumn="0" showRowStripes="1" showColumnStripes="0"/>
</table>
</file>

<file path=xl/tables/table23.xml><?xml version="1.0" encoding="utf-8"?>
<table xmlns="http://schemas.openxmlformats.org/spreadsheetml/2006/main" id="63" name="Table31364" displayName="Table31364" ref="CJ5:CS42" totalsRowCount="1" headerRowDxfId="512" dataDxfId="511" tableBorderDxfId="510">
  <autoFilter ref="CJ5:CS41"/>
  <tableColumns count="10">
    <tableColumn id="1" name="User" totalsRowLabel="Total" dataDxfId="509" totalsRowDxfId="508"/>
    <tableColumn id="2" name="Task 1a" totalsRowFunction="average" dataDxfId="507" totalsRowDxfId="506"/>
    <tableColumn id="3" name="Task 1b" totalsRowFunction="average" dataDxfId="505" totalsRowDxfId="504"/>
    <tableColumn id="4" name="Task 2" totalsRowFunction="average" dataDxfId="503" totalsRowDxfId="502"/>
    <tableColumn id="5" name="Task 3" totalsRowFunction="average" dataDxfId="501" totalsRowDxfId="500"/>
    <tableColumn id="6" name="Task 4" totalsRowFunction="average" dataDxfId="499" totalsRowDxfId="498"/>
    <tableColumn id="7" name="Task 5" totalsRowFunction="average" dataDxfId="497" totalsRowDxfId="496"/>
    <tableColumn id="8" name="Task 6" totalsRowFunction="average" dataDxfId="495" totalsRowDxfId="494"/>
    <tableColumn id="9" name="Task 7" totalsRowFunction="average" dataDxfId="493" totalsRowDxfId="492"/>
    <tableColumn id="10" name="Task 9" dataDxfId="491" totalsRowDxfId="490"/>
  </tableColumns>
  <tableStyleInfo name="TableStyleMedium2" showFirstColumn="0" showLastColumn="0" showRowStripes="1" showColumnStripes="0"/>
</table>
</file>

<file path=xl/tables/table24.xml><?xml version="1.0" encoding="utf-8"?>
<table xmlns="http://schemas.openxmlformats.org/spreadsheetml/2006/main" id="64" name="Table41465" displayName="Table41465" ref="CT5:DB42" totalsRowCount="1" headerRowDxfId="489" dataDxfId="488" tableBorderDxfId="487">
  <autoFilter ref="CT5:DB41"/>
  <tableColumns count="9">
    <tableColumn id="1" name="User" totalsRowLabel="Total" dataDxfId="486" totalsRowDxfId="485"/>
    <tableColumn id="2" name="Task 1a" totalsRowFunction="average" dataDxfId="484" totalsRowDxfId="483"/>
    <tableColumn id="3" name="Task 1b" totalsRowFunction="average" dataDxfId="482" totalsRowDxfId="481"/>
    <tableColumn id="4" name="Task 2" totalsRowFunction="average" dataDxfId="480" totalsRowDxfId="479"/>
    <tableColumn id="5" name="Task 3" totalsRowFunction="average" dataDxfId="478" totalsRowDxfId="477"/>
    <tableColumn id="6" name="Task 4" totalsRowFunction="average" dataDxfId="476" totalsRowDxfId="475"/>
    <tableColumn id="7" name="Task 5" totalsRowFunction="average" dataDxfId="474" totalsRowDxfId="473"/>
    <tableColumn id="8" name="Task 6" totalsRowFunction="average" dataDxfId="472" totalsRowDxfId="471"/>
    <tableColumn id="9" name="Task 7" totalsRowFunction="average" dataDxfId="470" totalsRowDxfId="469"/>
  </tableColumns>
  <tableStyleInfo name="TableStyleMedium2" showFirstColumn="0" showLastColumn="0" showRowStripes="1" showColumnStripes="0"/>
</table>
</file>

<file path=xl/tables/table25.xml><?xml version="1.0" encoding="utf-8"?>
<table xmlns="http://schemas.openxmlformats.org/spreadsheetml/2006/main" id="65" name="Table51566" displayName="Table51566" ref="DD5:DL42" totalsRowCount="1" headerRowDxfId="468" dataDxfId="467">
  <autoFilter ref="DD5:DL41"/>
  <tableColumns count="9">
    <tableColumn id="1" name="User" totalsRowLabel="Total" dataDxfId="466" totalsRowDxfId="465"/>
    <tableColumn id="2" name="Task 1a" totalsRowFunction="average" dataDxfId="464" totalsRowDxfId="463"/>
    <tableColumn id="3" name="Task 1b" totalsRowFunction="average" dataDxfId="462" totalsRowDxfId="461"/>
    <tableColumn id="4" name="Task 2" totalsRowFunction="average" dataDxfId="460" totalsRowDxfId="459"/>
    <tableColumn id="5" name="Task 3" totalsRowFunction="average" dataDxfId="458" totalsRowDxfId="457"/>
    <tableColumn id="6" name="Task 4" totalsRowFunction="average" dataDxfId="456" totalsRowDxfId="455"/>
    <tableColumn id="7" name="Task 5" totalsRowFunction="average" dataDxfId="454" totalsRowDxfId="453"/>
    <tableColumn id="8" name="Task 6" totalsRowFunction="average" dataDxfId="452" totalsRowDxfId="451"/>
    <tableColumn id="9" name="Task 7" totalsRowFunction="average" dataDxfId="450" totalsRowDxfId="449"/>
  </tableColumns>
  <tableStyleInfo name="TableStyleMedium2" showFirstColumn="0" showLastColumn="0" showRowStripes="1" showColumnStripes="0"/>
</table>
</file>

<file path=xl/tables/table26.xml><?xml version="1.0" encoding="utf-8"?>
<table xmlns="http://schemas.openxmlformats.org/spreadsheetml/2006/main" id="66" name="Table521667" displayName="Table521667" ref="DN5:DZ42" totalsRowCount="1" headerRowDxfId="448" dataDxfId="447">
  <autoFilter ref="DN5:DZ41"/>
  <tableColumns count="13">
    <tableColumn id="1" name="User" totalsRowLabel="Total" dataDxfId="446" totalsRowDxfId="445"/>
    <tableColumn id="2" name="Q1" totalsRowFunction="average" dataDxfId="444" totalsRowDxfId="443"/>
    <tableColumn id="3" name="Q2" totalsRowFunction="average" dataDxfId="442" totalsRowDxfId="441"/>
    <tableColumn id="4" name="Q3" totalsRowFunction="average" dataDxfId="440" totalsRowDxfId="439"/>
    <tableColumn id="5" name="Q4" totalsRowFunction="average" dataDxfId="438" totalsRowDxfId="437"/>
    <tableColumn id="6" name="Q5" totalsRowFunction="average" dataDxfId="436" totalsRowDxfId="435"/>
    <tableColumn id="7" name="Q6" totalsRowFunction="average" dataDxfId="434" totalsRowDxfId="433"/>
    <tableColumn id="8" name="Q7" totalsRowFunction="average" dataDxfId="432" totalsRowDxfId="431"/>
    <tableColumn id="9" name="Q8" totalsRowFunction="average" dataDxfId="430" totalsRowDxfId="429"/>
    <tableColumn id="10" name="Q9" totalsRowFunction="average" dataDxfId="428" totalsRowDxfId="427"/>
    <tableColumn id="11" name="Q10" totalsRowFunction="average" dataDxfId="426" totalsRowDxfId="425"/>
    <tableColumn id="12" name="TOTAL" totalsRowFunction="average" dataDxfId="424" totalsRowDxfId="423">
      <calculatedColumnFormula>((DO6-1)+(5-DP6)+(DQ6-1)+(5-DR6)+(DS6-1)+(5-DT6)+(DU6-1)+(5-DV6)+(DW6-1)+(5-DX6))*2.5</calculatedColumnFormula>
    </tableColumn>
    <tableColumn id="13" name="Column1" dataDxfId="422" totalsRowDxfId="421"/>
  </tableColumns>
  <tableStyleInfo name="TableStyleMedium2" showFirstColumn="0" showLastColumn="0" showRowStripes="1" showColumnStripes="0"/>
</table>
</file>

<file path=xl/tables/table27.xml><?xml version="1.0" encoding="utf-8"?>
<table xmlns="http://schemas.openxmlformats.org/spreadsheetml/2006/main" id="31" name="Table32" displayName="Table32" ref="A5:I42" totalsRowCount="1" headerRowDxfId="420" dataDxfId="419">
  <autoFilter ref="A5:I41"/>
  <tableColumns count="9">
    <tableColumn id="1" name="User" totalsRowLabel="Mean" dataDxfId="418" totalsRowDxfId="417"/>
    <tableColumn id="2" name="Task 1a" totalsRowFunction="custom" dataDxfId="416" totalsRowDxfId="415">
      <calculatedColumnFormula>IF('Task metrics - Group A'!C6&gt;0, 'Task metrics - Group A'!M6)</calculatedColumnFormula>
      <totalsRowFormula>AVERAGE(Table32[Task 1a])</totalsRowFormula>
    </tableColumn>
    <tableColumn id="3" name="Task 1b" dataDxfId="414" totalsRowDxfId="413"/>
    <tableColumn id="4" name="Task 2" totalsRowFunction="custom" dataDxfId="412" totalsRowDxfId="411">
      <calculatedColumnFormula>IF('Task metrics - Group A'!E6&gt;0, 'Task metrics - Group A'!O6)</calculatedColumnFormula>
      <totalsRowFormula>AVERAGE(Table32[Task 2])</totalsRowFormula>
    </tableColumn>
    <tableColumn id="5" name="Task 3" totalsRowFunction="custom" dataDxfId="410" totalsRowDxfId="409">
      <calculatedColumnFormula>IF('Task metrics - Group A'!F6&gt;0, 'Task metrics - Group A'!P6)</calculatedColumnFormula>
      <totalsRowFormula>AVERAGE(Table32[Task 3])</totalsRowFormula>
    </tableColumn>
    <tableColumn id="6" name="Task 4" totalsRowFunction="custom" dataDxfId="408" totalsRowDxfId="407">
      <calculatedColumnFormula>IF('Task metrics - Group A'!G6&gt;0, 'Task metrics - Group A'!Q6)</calculatedColumnFormula>
      <totalsRowFormula>AVERAGE(Table32[Task 4])</totalsRowFormula>
    </tableColumn>
    <tableColumn id="7" name="Task 5" totalsRowFunction="custom" dataDxfId="406" totalsRowDxfId="405">
      <calculatedColumnFormula>IF('Task metrics - Group A'!H6&gt;0, 'Task metrics - Group A'!R6)</calculatedColumnFormula>
      <totalsRowFormula>AVERAGE(Table32[Task 5])</totalsRowFormula>
    </tableColumn>
    <tableColumn id="8" name="Task 6" totalsRowFunction="custom" dataDxfId="404" totalsRowDxfId="403">
      <calculatedColumnFormula>IF('Task metrics - Group A'!I6&gt;0, 'Task metrics - Group A'!S6)</calculatedColumnFormula>
      <totalsRowFormula>AVERAGE(Table32[Task 6])</totalsRowFormula>
    </tableColumn>
    <tableColumn id="9" name="Task 7" dataDxfId="402" totalsRowDxfId="401"/>
  </tableColumns>
  <tableStyleInfo name="TableStyleMedium2" showFirstColumn="0" showLastColumn="0" showRowStripes="1" showColumnStripes="0"/>
</table>
</file>

<file path=xl/tables/table28.xml><?xml version="1.0" encoding="utf-8"?>
<table xmlns="http://schemas.openxmlformats.org/spreadsheetml/2006/main" id="32" name="Table35" displayName="Table35" ref="K5:S42" totalsRowCount="1" headerRowDxfId="400" dataDxfId="398" headerRowBorderDxfId="399" tableBorderDxfId="397" totalsRowBorderDxfId="396">
  <autoFilter ref="K5:S41"/>
  <tableColumns count="9">
    <tableColumn id="1" name="User" totalsRowLabel="Mean" dataDxfId="395" totalsRowDxfId="394"/>
    <tableColumn id="2" name="Task 1a" totalsRowFunction="custom" dataDxfId="393" totalsRowDxfId="392">
      <calculatedColumnFormula>IF('Task metrics - Group A'!AT6&gt;0, 'Task metrics - Group A'!BD6)</calculatedColumnFormula>
      <totalsRowFormula>AVERAGE(Table35[Task 1a])</totalsRowFormula>
    </tableColumn>
    <tableColumn id="3" name="Task 1b" totalsRowFunction="custom" dataDxfId="391" totalsRowDxfId="390">
      <calculatedColumnFormula>IF('Task metrics - Group A'!AU6&gt;0, 'Task metrics - Group A'!BE6)</calculatedColumnFormula>
      <totalsRowFormula>AVERAGE(Table35[Task 1b])</totalsRowFormula>
    </tableColumn>
    <tableColumn id="4" name="Task 2" totalsRowFunction="custom" dataDxfId="389" totalsRowDxfId="388">
      <calculatedColumnFormula>IF('Task metrics - Group A'!AV6&gt;0, 'Task metrics - Group A'!BF6)</calculatedColumnFormula>
      <totalsRowFormula>AVERAGE(Table35[Task 2])</totalsRowFormula>
    </tableColumn>
    <tableColumn id="5" name="Task 3" totalsRowFunction="custom" dataDxfId="387" totalsRowDxfId="386">
      <calculatedColumnFormula>IF('Task metrics - Group A'!AW6&gt;0, 'Task metrics - Group A'!BG6)</calculatedColumnFormula>
      <totalsRowFormula>AVERAGE(Table35[Task 3])</totalsRowFormula>
    </tableColumn>
    <tableColumn id="6" name="Task 4" totalsRowFunction="custom" dataDxfId="385" totalsRowDxfId="384">
      <calculatedColumnFormula>IF('Task metrics - Group A'!AX6&gt;0, 'Task metrics - Group A'!BH6)</calculatedColumnFormula>
      <totalsRowFormula>AVERAGE(Table35[Task 4])</totalsRowFormula>
    </tableColumn>
    <tableColumn id="7" name="Task 5" totalsRowFunction="custom" dataDxfId="383" totalsRowDxfId="382">
      <calculatedColumnFormula>IF('Task metrics - Group A'!AY6&gt;0, 'Task metrics - Group A'!BI6)</calculatedColumnFormula>
      <totalsRowFormula>AVERAGE(Table35[Task 5])</totalsRowFormula>
    </tableColumn>
    <tableColumn id="8" name="Task 6" totalsRowFunction="custom" dataDxfId="381" totalsRowDxfId="380">
      <calculatedColumnFormula>IF('Task metrics - Group A'!AZ6&gt;0, 'Task metrics - Group A'!BJ6)</calculatedColumnFormula>
      <totalsRowFormula>AVERAGE(Table35[Task 6])</totalsRowFormula>
    </tableColumn>
    <tableColumn id="9" name="Task 7" totalsRowFunction="custom" dataDxfId="379" totalsRowDxfId="378">
      <calculatedColumnFormula>IF('Task metrics - Group A'!BA6&gt;0, 'Task metrics - Group A'!BK6)</calculatedColumnFormula>
      <totalsRowFormula>AVERAGE(Table35[Task 7])</totalsRowFormula>
    </tableColumn>
  </tableColumns>
  <tableStyleInfo name="TableStyleLight16" showFirstColumn="0" showLastColumn="0" showRowStripes="1" showColumnStripes="0"/>
</table>
</file>

<file path=xl/tables/table29.xml><?xml version="1.0" encoding="utf-8"?>
<table xmlns="http://schemas.openxmlformats.org/spreadsheetml/2006/main" id="33" name="Table3536" displayName="Table3536" ref="U5:AC42" totalsRowCount="1" headerRowDxfId="377" dataDxfId="375" headerRowBorderDxfId="376" tableBorderDxfId="374" totalsRowBorderDxfId="373">
  <autoFilter ref="U5:AC41"/>
  <tableColumns count="9">
    <tableColumn id="1" name="User" totalsRowLabel="Mean" dataDxfId="372" totalsRowDxfId="371"/>
    <tableColumn id="2" name="Task 1a" totalsRowFunction="custom" dataDxfId="370" totalsRowDxfId="369">
      <calculatedColumnFormula>IF('Task metrics - Group A'!CK6&gt;0, 'Task metrics - Group A'!CU6)</calculatedColumnFormula>
      <totalsRowFormula>AVERAGE(Table3536[Task 1a])</totalsRowFormula>
    </tableColumn>
    <tableColumn id="3" name="Task 1b" totalsRowFunction="custom" dataDxfId="368" totalsRowDxfId="367">
      <calculatedColumnFormula>IF('Task metrics - Group A'!CL6&gt;0, 'Task metrics - Group A'!CV6)</calculatedColumnFormula>
      <totalsRowFormula>AVERAGE(Table3536[Task 1b])</totalsRowFormula>
    </tableColumn>
    <tableColumn id="4" name="Task 2" totalsRowFunction="custom" dataDxfId="366" totalsRowDxfId="365">
      <calculatedColumnFormula>IF('Task metrics - Group A'!CM6&gt;0, 'Task metrics - Group A'!CW6)</calculatedColumnFormula>
      <totalsRowFormula>AVERAGE(Table3536[Task 2])</totalsRowFormula>
    </tableColumn>
    <tableColumn id="5" name="Task 3" totalsRowFunction="custom" dataDxfId="364" totalsRowDxfId="363">
      <calculatedColumnFormula>IF('Task metrics - Group A'!CN6&gt;0, 'Task metrics - Group A'!CX6)</calculatedColumnFormula>
      <totalsRowFormula>AVERAGE(Table3536[Task 3])</totalsRowFormula>
    </tableColumn>
    <tableColumn id="6" name="Task 4" totalsRowFunction="custom" dataDxfId="362" totalsRowDxfId="361">
      <calculatedColumnFormula>IF('Task metrics - Group A'!CO6&gt;0, 'Task metrics - Group A'!CY6)</calculatedColumnFormula>
      <totalsRowFormula>AVERAGE(Table3536[Task 4])</totalsRowFormula>
    </tableColumn>
    <tableColumn id="7" name="Task 5" totalsRowFunction="custom" dataDxfId="360" totalsRowDxfId="359">
      <calculatedColumnFormula>IF('Task metrics - Group A'!CP6&gt;0, 'Task metrics - Group A'!CZ6)</calculatedColumnFormula>
      <totalsRowFormula>AVERAGE(Table3536[Task 5])</totalsRowFormula>
    </tableColumn>
    <tableColumn id="8" name="Task 6" totalsRowFunction="custom" dataDxfId="358" totalsRowDxfId="357">
      <calculatedColumnFormula>IF('Task metrics - Group A'!CQ6&gt;0, 'Task metrics - Group A'!DA6)</calculatedColumnFormula>
      <totalsRowFormula>AVERAGE(Table3536[Task 6])</totalsRowFormula>
    </tableColumn>
    <tableColumn id="9" name="Task 7" totalsRowFunction="custom" dataDxfId="356" totalsRowDxfId="355">
      <calculatedColumnFormula>IF('Task metrics - Group A'!CR6&gt;0, 'Task metrics - Group A'!DB6)</calculatedColumnFormula>
      <totalsRowFormula>AVERAGE(Table3536[Task 7])</totalsRowFormula>
    </tableColumn>
  </tableColumns>
  <tableStyleInfo name="TableStyleLight16" showFirstColumn="0" showLastColumn="0" showRowStripes="1" showColumnStripes="0"/>
</table>
</file>

<file path=xl/tables/table3.xml><?xml version="1.0" encoding="utf-8"?>
<table xmlns="http://schemas.openxmlformats.org/spreadsheetml/2006/main" id="4" name="Table4" displayName="Table4" ref="L5:T42" totalsRowCount="1" headerRowDxfId="948" dataDxfId="947" tableBorderDxfId="946">
  <autoFilter ref="L5:T41"/>
  <tableColumns count="9">
    <tableColumn id="1" name="User" totalsRowLabel="Total" dataDxfId="945" totalsRowDxfId="944"/>
    <tableColumn id="2" name="Task 1a" totalsRowFunction="average" dataDxfId="943" totalsRowDxfId="942"/>
    <tableColumn id="3" name="Task 1b" dataDxfId="941" totalsRowDxfId="940"/>
    <tableColumn id="4" name="Task 2" totalsRowFunction="average" dataDxfId="939" totalsRowDxfId="938"/>
    <tableColumn id="5" name="Task 3" totalsRowFunction="average" dataDxfId="937" totalsRowDxfId="936"/>
    <tableColumn id="6" name="Task 4" totalsRowFunction="average" dataDxfId="935" totalsRowDxfId="934"/>
    <tableColumn id="7" name="Task 5" totalsRowFunction="average" dataDxfId="933" totalsRowDxfId="932"/>
    <tableColumn id="8" name="Task 6" totalsRowFunction="average" dataDxfId="931" totalsRowDxfId="930"/>
    <tableColumn id="9" name="Task 7" dataDxfId="929" totalsRowDxfId="928"/>
  </tableColumns>
  <tableStyleInfo name="TableStyleMedium2" showFirstColumn="0" showLastColumn="0" showRowStripes="1" showColumnStripes="0"/>
</table>
</file>

<file path=xl/tables/table30.xml><?xml version="1.0" encoding="utf-8"?>
<table xmlns="http://schemas.openxmlformats.org/spreadsheetml/2006/main" id="34" name="Table31" displayName="Table31" ref="A3:J6" totalsRowShown="0" headerRowDxfId="354" dataDxfId="353">
  <autoFilter ref="A3:J6"/>
  <tableColumns count="10">
    <tableColumn id="1" name="Device" dataDxfId="352"/>
    <tableColumn id="2" name="Task 1" dataDxfId="351"/>
    <tableColumn id="3" name="Task 1b" dataDxfId="350"/>
    <tableColumn id="4" name="Task 2" dataDxfId="349"/>
    <tableColumn id="5" name="Task 3" dataDxfId="348"/>
    <tableColumn id="6" name="Task 4" dataDxfId="347"/>
    <tableColumn id="7" name="Task 5" dataDxfId="346"/>
    <tableColumn id="8" name="Task 6" dataDxfId="345"/>
    <tableColumn id="9" name="Task 7" dataDxfId="344"/>
    <tableColumn id="10" name="Overall" dataDxfId="343">
      <calculatedColumnFormula>AVERAGE(B4:I4)</calculatedColumnFormula>
    </tableColumn>
  </tableColumns>
  <tableStyleInfo name="TableStyleMedium2" showFirstColumn="0" showLastColumn="0" showRowStripes="1" showColumnStripes="0"/>
</table>
</file>

<file path=xl/tables/table31.xml><?xml version="1.0" encoding="utf-8"?>
<table xmlns="http://schemas.openxmlformats.org/spreadsheetml/2006/main" id="35" name="Table34" displayName="Table34" ref="A9:J12" totalsRowShown="0">
  <autoFilter ref="A9:J12"/>
  <tableColumns count="10">
    <tableColumn id="1" name="Device" dataDxfId="342"/>
    <tableColumn id="2" name="Task 1" dataDxfId="341"/>
    <tableColumn id="3" name="Task 1b" dataDxfId="340"/>
    <tableColumn id="4" name="Task 2" dataDxfId="339"/>
    <tableColumn id="5" name="Task 3" dataDxfId="338"/>
    <tableColumn id="6" name="Task 4" dataDxfId="337"/>
    <tableColumn id="7" name="Task 5" dataDxfId="336"/>
    <tableColumn id="8" name="Task 6" dataDxfId="335"/>
    <tableColumn id="9" name="Task 7" dataDxfId="334"/>
    <tableColumn id="10" name="Overall" dataDxfId="333">
      <calculatedColumnFormula>AVERAGE(B10:I10)</calculatedColumnFormula>
    </tableColumn>
  </tableColumns>
  <tableStyleInfo name="TableStyleMedium2" showFirstColumn="0" showLastColumn="0" showRowStripes="1" showColumnStripes="0"/>
</table>
</file>

<file path=xl/tables/table32.xml><?xml version="1.0" encoding="utf-8"?>
<table xmlns="http://schemas.openxmlformats.org/spreadsheetml/2006/main" id="36" name="Table3437" displayName="Table3437" ref="A15:J18" totalsRowShown="0">
  <autoFilter ref="A15:J18"/>
  <tableColumns count="10">
    <tableColumn id="1" name="Device" dataDxfId="332"/>
    <tableColumn id="2" name="Task 1" dataDxfId="331"/>
    <tableColumn id="3" name="Task 1b" dataDxfId="330"/>
    <tableColumn id="4" name="Task 2" dataDxfId="329"/>
    <tableColumn id="5" name="Task 3" dataDxfId="328"/>
    <tableColumn id="6" name="Task 4" dataDxfId="327"/>
    <tableColumn id="7" name="Task 5" dataDxfId="326"/>
    <tableColumn id="8" name="Task 6" dataDxfId="325"/>
    <tableColumn id="9" name="Task 7" dataDxfId="324"/>
    <tableColumn id="10" name="Overall" dataDxfId="323">
      <calculatedColumnFormula>AVERAGE(B16:I16)</calculatedColumnFormula>
    </tableColumn>
  </tableColumns>
  <tableStyleInfo name="TableStyleMedium2" showFirstColumn="0" showLastColumn="0" showRowStripes="1" showColumnStripes="0"/>
</table>
</file>

<file path=xl/tables/table33.xml><?xml version="1.0" encoding="utf-8"?>
<table xmlns="http://schemas.openxmlformats.org/spreadsheetml/2006/main" id="37" name="Table38" displayName="Table38" ref="A21:B24" totalsRowShown="0" tableBorderDxfId="322">
  <autoFilter ref="A21:B24"/>
  <tableColumns count="2">
    <tableColumn id="1" name="Device"/>
    <tableColumn id="2" name="Overall" dataDxfId="321">
      <calculatedColumnFormula>AVERAGE([1]!Table52[TOTAL])</calculatedColumnFormula>
    </tableColumn>
  </tableColumns>
  <tableStyleInfo name="TableStyleMedium2" showFirstColumn="0" showLastColumn="0" showRowStripes="1" showColumnStripes="0"/>
</table>
</file>

<file path=xl/tables/table34.xml><?xml version="1.0" encoding="utf-8"?>
<table xmlns="http://schemas.openxmlformats.org/spreadsheetml/2006/main" id="85" name="Table3286" displayName="Table3286" ref="A5:I42" totalsRowCount="1" headerRowDxfId="320" dataDxfId="319">
  <autoFilter ref="A5:I41"/>
  <tableColumns count="9">
    <tableColumn id="1" name="User" totalsRowLabel="Mean" dataDxfId="318" totalsRowDxfId="317"/>
    <tableColumn id="2" name="Task 1a" totalsRowFunction="custom" dataDxfId="316" totalsRowDxfId="315">
      <calculatedColumnFormula>IF('Task metrics - Group B'!C6&gt;0, 'Task metrics - Group B'!M6)</calculatedColumnFormula>
      <totalsRowFormula>AVERAGE(Table3286[Task 1a])</totalsRowFormula>
    </tableColumn>
    <tableColumn id="3" name="Task 1b" totalsRowFunction="custom" dataDxfId="314" totalsRowDxfId="313">
      <calculatedColumnFormula>IF('Task metrics - Group B'!D6&gt;0, 'Task metrics - Group B'!N6)</calculatedColumnFormula>
      <totalsRowFormula>AVERAGE(Table3286[Task 1b])</totalsRowFormula>
    </tableColumn>
    <tableColumn id="4" name="Task 2" totalsRowFunction="custom" dataDxfId="312" totalsRowDxfId="311">
      <calculatedColumnFormula>IF('Task metrics - Group B'!E6&gt;0, 'Task metrics - Group B'!O6)</calculatedColumnFormula>
      <totalsRowFormula>AVERAGE(Table3286[Task 2])</totalsRowFormula>
    </tableColumn>
    <tableColumn id="5" name="Task 3" totalsRowFunction="custom" dataDxfId="310" totalsRowDxfId="309">
      <calculatedColumnFormula>IF('Task metrics - Group B'!F6&gt;0, 'Task metrics - Group B'!P6)</calculatedColumnFormula>
      <totalsRowFormula>AVERAGE(Table3286[Task 3])</totalsRowFormula>
    </tableColumn>
    <tableColumn id="6" name="Task 4" totalsRowFunction="custom" dataDxfId="308" totalsRowDxfId="307">
      <calculatedColumnFormula>IF('Task metrics - Group B'!G6&gt;0, 'Task metrics - Group B'!Q6)</calculatedColumnFormula>
      <totalsRowFormula>AVERAGE(Table3286[Task 4])</totalsRowFormula>
    </tableColumn>
    <tableColumn id="7" name="Task 5" totalsRowFunction="custom" dataDxfId="306" totalsRowDxfId="305">
      <calculatedColumnFormula>IF('Task metrics - Group B'!H6&gt;0, 'Task metrics - Group B'!R6)</calculatedColumnFormula>
      <totalsRowFormula>AVERAGE(Table3286[Task 5])</totalsRowFormula>
    </tableColumn>
    <tableColumn id="8" name="Task 6" totalsRowFunction="custom" dataDxfId="304" totalsRowDxfId="303">
      <calculatedColumnFormula>IF('Task metrics - Group B'!I6&gt;0, 'Task metrics - Group B'!S6)</calculatedColumnFormula>
      <totalsRowFormula>AVERAGE(Table3286[Task 6])</totalsRowFormula>
    </tableColumn>
    <tableColumn id="9" name="Task 7" totalsRowFunction="custom" dataDxfId="302" totalsRowDxfId="301">
      <calculatedColumnFormula>IF('Task metrics - Group B'!J6&gt;0, 'Task metrics - Group B'!T6)</calculatedColumnFormula>
      <totalsRowFormula>AVERAGE(Table3286[Task 7])</totalsRowFormula>
    </tableColumn>
  </tableColumns>
  <tableStyleInfo name="TableStyleMedium2" showFirstColumn="0" showLastColumn="0" showRowStripes="1" showColumnStripes="0"/>
</table>
</file>

<file path=xl/tables/table35.xml><?xml version="1.0" encoding="utf-8"?>
<table xmlns="http://schemas.openxmlformats.org/spreadsheetml/2006/main" id="86" name="Table3587" displayName="Table3587" ref="K5:S42" totalsRowCount="1" headerRowDxfId="300" dataDxfId="298" headerRowBorderDxfId="299" tableBorderDxfId="297" totalsRowBorderDxfId="296">
  <autoFilter ref="K5:S41"/>
  <tableColumns count="9">
    <tableColumn id="1" name="User" totalsRowLabel="Mean" dataDxfId="295" totalsRowDxfId="294"/>
    <tableColumn id="2" name="Task 1a" totalsRowFunction="custom" dataDxfId="293" totalsRowDxfId="292">
      <calculatedColumnFormula>IF('Task metrics - Group B'!AT6&gt;0, 'Task metrics - Group B'!BD6)</calculatedColumnFormula>
      <totalsRowFormula>AVERAGE(Table3587[Task 1a])</totalsRowFormula>
    </tableColumn>
    <tableColumn id="3" name="Task 1b" totalsRowFunction="custom" dataDxfId="291" totalsRowDxfId="290">
      <calculatedColumnFormula>IF('Task metrics - Group B'!AU6&gt;0, 'Task metrics - Group B'!BE6)</calculatedColumnFormula>
      <totalsRowFormula>AVERAGE(Table3587[Task 1b])</totalsRowFormula>
    </tableColumn>
    <tableColumn id="4" name="Task 2" totalsRowFunction="custom" dataDxfId="289" totalsRowDxfId="288">
      <calculatedColumnFormula>IF('Task metrics - Group B'!AV6&gt;0, 'Task metrics - Group B'!BF6)</calculatedColumnFormula>
      <totalsRowFormula>AVERAGE(Table3587[Task 2])</totalsRowFormula>
    </tableColumn>
    <tableColumn id="5" name="Task 3" totalsRowFunction="custom" dataDxfId="287" totalsRowDxfId="286">
      <calculatedColumnFormula>IF('Task metrics - Group B'!AW6&gt;0, 'Task metrics - Group B'!BG6)</calculatedColumnFormula>
      <totalsRowFormula>AVERAGE(Table3587[Task 3])</totalsRowFormula>
    </tableColumn>
    <tableColumn id="6" name="Task 4" totalsRowFunction="custom" dataDxfId="285" totalsRowDxfId="284">
      <calculatedColumnFormula>IF('Task metrics - Group B'!AX6&gt;0, 'Task metrics - Group B'!BH6)</calculatedColumnFormula>
      <totalsRowFormula>AVERAGE(Table3587[Task 4])</totalsRowFormula>
    </tableColumn>
    <tableColumn id="7" name="Task 5" totalsRowFunction="custom" dataDxfId="283" totalsRowDxfId="282">
      <calculatedColumnFormula>IF('Task metrics - Group B'!AY6&gt;0, 'Task metrics - Group B'!BI6)</calculatedColumnFormula>
      <totalsRowFormula>AVERAGE(Table3587[Task 5])</totalsRowFormula>
    </tableColumn>
    <tableColumn id="8" name="Task 6" totalsRowFunction="custom" dataDxfId="281" totalsRowDxfId="280">
      <calculatedColumnFormula>IF('Task metrics - Group B'!AZ6&gt;0, 'Task metrics - Group B'!BJ6)</calculatedColumnFormula>
      <totalsRowFormula>AVERAGE(Table3587[Task 6])</totalsRowFormula>
    </tableColumn>
    <tableColumn id="9" name="Task 7" totalsRowFunction="custom" dataDxfId="279" totalsRowDxfId="278">
      <calculatedColumnFormula>IF('Task metrics - Group B'!BA6&gt;0, 'Task metrics - Group B'!BK6)</calculatedColumnFormula>
      <totalsRowFormula>AVERAGE(Table3587[Task 7])</totalsRowFormula>
    </tableColumn>
  </tableColumns>
  <tableStyleInfo name="TableStyleLight16" showFirstColumn="0" showLastColumn="0" showRowStripes="1" showColumnStripes="0"/>
</table>
</file>

<file path=xl/tables/table36.xml><?xml version="1.0" encoding="utf-8"?>
<table xmlns="http://schemas.openxmlformats.org/spreadsheetml/2006/main" id="87" name="Table353688" displayName="Table353688" ref="U5:AC42" totalsRowCount="1" headerRowDxfId="277" dataDxfId="275" headerRowBorderDxfId="276" tableBorderDxfId="274" totalsRowBorderDxfId="273">
  <autoFilter ref="U5:AC41"/>
  <tableColumns count="9">
    <tableColumn id="1" name="User" totalsRowLabel="Mean" dataDxfId="272" totalsRowDxfId="271"/>
    <tableColumn id="2" name="Task 1a" totalsRowFunction="custom" dataDxfId="270" totalsRowDxfId="269">
      <calculatedColumnFormula>IF('Task metrics - Group B'!CK6&gt;0, 'Task metrics - Group B'!CU6)</calculatedColumnFormula>
      <totalsRowFormula>AVERAGE(Table353688[Task 1a])</totalsRowFormula>
    </tableColumn>
    <tableColumn id="3" name="Task 1b" totalsRowFunction="custom" dataDxfId="268" totalsRowDxfId="267">
      <calculatedColumnFormula>IF('Task metrics - Group B'!CL6&gt;0, 'Task metrics - Group B'!CV6)</calculatedColumnFormula>
      <totalsRowFormula>AVERAGE(Table353688[Task 1b])</totalsRowFormula>
    </tableColumn>
    <tableColumn id="4" name="Task 2" totalsRowFunction="custom" dataDxfId="266" totalsRowDxfId="265">
      <calculatedColumnFormula>IF('Task metrics - Group B'!CM6&gt;0, 'Task metrics - Group B'!CW6)</calculatedColumnFormula>
      <totalsRowFormula>AVERAGE(Table353688[Task 2])</totalsRowFormula>
    </tableColumn>
    <tableColumn id="5" name="Task 3" totalsRowFunction="custom" dataDxfId="264" totalsRowDxfId="263">
      <calculatedColumnFormula>IF('Task metrics - Group B'!CN6&gt;0, 'Task metrics - Group B'!CX6)</calculatedColumnFormula>
      <totalsRowFormula>AVERAGE(Table353688[Task 3])</totalsRowFormula>
    </tableColumn>
    <tableColumn id="6" name="Task 4" totalsRowFunction="custom" dataDxfId="262" totalsRowDxfId="261">
      <calculatedColumnFormula>IF('Task metrics - Group B'!CO6&gt;0, 'Task metrics - Group B'!CY6)</calculatedColumnFormula>
      <totalsRowFormula>AVERAGE(Table353688[Task 4])</totalsRowFormula>
    </tableColumn>
    <tableColumn id="7" name="Task 5" totalsRowFunction="custom" dataDxfId="260" totalsRowDxfId="259">
      <calculatedColumnFormula>IF('Task metrics - Group B'!CP6&gt;0, 'Task metrics - Group B'!CZ6)</calculatedColumnFormula>
      <totalsRowFormula>AVERAGE(Table353688[Task 5])</totalsRowFormula>
    </tableColumn>
    <tableColumn id="8" name="Task 6" totalsRowFunction="custom" dataDxfId="258" totalsRowDxfId="257">
      <calculatedColumnFormula>IF('Task metrics - Group B'!CQ6&gt;0, 'Task metrics - Group B'!DA6)</calculatedColumnFormula>
      <totalsRowFormula>AVERAGE(Table353688[Task 6])</totalsRowFormula>
    </tableColumn>
    <tableColumn id="9" name="Task 7" totalsRowFunction="custom" dataDxfId="256" totalsRowDxfId="255">
      <calculatedColumnFormula>IF('Task metrics - Group B'!CR6&gt;0, 'Task metrics - Group B'!DB6)</calculatedColumnFormula>
      <totalsRowFormula>AVERAGE(Table353688[Task 7])</totalsRowFormula>
    </tableColumn>
  </tableColumns>
  <tableStyleInfo name="TableStyleLight16" showFirstColumn="0" showLastColumn="0" showRowStripes="1" showColumnStripes="0"/>
</table>
</file>

<file path=xl/tables/table37.xml><?xml version="1.0" encoding="utf-8"?>
<table xmlns="http://schemas.openxmlformats.org/spreadsheetml/2006/main" id="88" name="Table3189" displayName="Table3189" ref="A3:J6" totalsRowShown="0" headerRowDxfId="254" dataDxfId="253">
  <autoFilter ref="A3:J6"/>
  <tableColumns count="10">
    <tableColumn id="1" name="Device" dataDxfId="252"/>
    <tableColumn id="2" name="Task 1" dataDxfId="251"/>
    <tableColumn id="3" name="Task 1b" dataDxfId="250"/>
    <tableColumn id="4" name="Task 2" dataDxfId="249"/>
    <tableColumn id="5" name="Task 3" dataDxfId="248"/>
    <tableColumn id="6" name="Task 4" dataDxfId="247"/>
    <tableColumn id="7" name="Task 5" dataDxfId="246"/>
    <tableColumn id="8" name="Task 6" dataDxfId="245"/>
    <tableColumn id="9" name="Task 7" dataDxfId="244"/>
    <tableColumn id="10" name="Overall" dataDxfId="243">
      <calculatedColumnFormula>AVERAGE(B4:I4)</calculatedColumnFormula>
    </tableColumn>
  </tableColumns>
  <tableStyleInfo name="TableStyleMedium2" showFirstColumn="0" showLastColumn="0" showRowStripes="1" showColumnStripes="0"/>
</table>
</file>

<file path=xl/tables/table38.xml><?xml version="1.0" encoding="utf-8"?>
<table xmlns="http://schemas.openxmlformats.org/spreadsheetml/2006/main" id="89" name="Table3490" displayName="Table3490" ref="A9:J12" totalsRowShown="0">
  <autoFilter ref="A9:J12"/>
  <tableColumns count="10">
    <tableColumn id="1" name="Device" dataDxfId="242"/>
    <tableColumn id="2" name="Task 1" dataDxfId="241"/>
    <tableColumn id="3" name="Task 1b" dataDxfId="240"/>
    <tableColumn id="4" name="Task 2" dataDxfId="239"/>
    <tableColumn id="5" name="Task 3" dataDxfId="238"/>
    <tableColumn id="6" name="Task 4" dataDxfId="237"/>
    <tableColumn id="7" name="Task 5" dataDxfId="236"/>
    <tableColumn id="8" name="Task 6" dataDxfId="235"/>
    <tableColumn id="9" name="Task 7" dataDxfId="234"/>
    <tableColumn id="10" name="Overall" dataDxfId="233">
      <calculatedColumnFormula>AVERAGE(B10:I10)</calculatedColumnFormula>
    </tableColumn>
  </tableColumns>
  <tableStyleInfo name="TableStyleMedium2" showFirstColumn="0" showLastColumn="0" showRowStripes="1" showColumnStripes="0"/>
</table>
</file>

<file path=xl/tables/table39.xml><?xml version="1.0" encoding="utf-8"?>
<table xmlns="http://schemas.openxmlformats.org/spreadsheetml/2006/main" id="90" name="Table343791" displayName="Table343791" ref="A15:J18" totalsRowShown="0">
  <autoFilter ref="A15:J18"/>
  <tableColumns count="10">
    <tableColumn id="1" name="Device" dataDxfId="232"/>
    <tableColumn id="2" name="Task 1" dataDxfId="231"/>
    <tableColumn id="3" name="Task 1b" dataDxfId="230"/>
    <tableColumn id="4" name="Task 2" dataDxfId="229"/>
    <tableColumn id="5" name="Task 3" dataDxfId="228"/>
    <tableColumn id="6" name="Task 4" dataDxfId="227"/>
    <tableColumn id="7" name="Task 5" dataDxfId="226"/>
    <tableColumn id="8" name="Task 6" dataDxfId="225"/>
    <tableColumn id="9" name="Task 7" dataDxfId="224"/>
    <tableColumn id="10" name="Overall" dataDxfId="223">
      <calculatedColumnFormula>AVERAGE(B16:I16)</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V5:AD42" totalsRowCount="1" headerRowDxfId="927" dataDxfId="926">
  <autoFilter ref="V5:AD41"/>
  <tableColumns count="9">
    <tableColumn id="1" name="User" totalsRowLabel="Total" dataDxfId="925" totalsRowDxfId="924"/>
    <tableColumn id="2" name="Task 1a" totalsRowFunction="average" dataDxfId="923" totalsRowDxfId="922"/>
    <tableColumn id="3" name="Task 1b" dataDxfId="921" totalsRowDxfId="920"/>
    <tableColumn id="4" name="Task 2" totalsRowFunction="average" dataDxfId="919" totalsRowDxfId="918"/>
    <tableColumn id="5" name="Task 3" totalsRowFunction="average" dataDxfId="917" totalsRowDxfId="916"/>
    <tableColumn id="6" name="Task 4" totalsRowFunction="average" dataDxfId="915" totalsRowDxfId="914"/>
    <tableColumn id="7" name="Task 5" totalsRowFunction="average" dataDxfId="913" totalsRowDxfId="912"/>
    <tableColumn id="8" name="Task 6" totalsRowFunction="average" dataDxfId="911" totalsRowDxfId="910"/>
    <tableColumn id="9" name="Task 7" dataDxfId="909" totalsRowDxfId="908"/>
  </tableColumns>
  <tableStyleInfo name="TableStyleMedium2" showFirstColumn="0" showLastColumn="0" showRowStripes="1" showColumnStripes="0"/>
</table>
</file>

<file path=xl/tables/table40.xml><?xml version="1.0" encoding="utf-8"?>
<table xmlns="http://schemas.openxmlformats.org/spreadsheetml/2006/main" id="91" name="Table3892" displayName="Table3892" ref="A21:B24" totalsRowShown="0" tableBorderDxfId="222">
  <autoFilter ref="A21:B24"/>
  <tableColumns count="2">
    <tableColumn id="1" name="Device"/>
    <tableColumn id="2" name="Overall" dataDxfId="221">
      <calculatedColumnFormula>AVERAGE([2]!Table52[TOTAL])</calculatedColumnFormula>
    </tableColumn>
  </tableColumns>
  <tableStyleInfo name="TableStyleMedium2" showFirstColumn="0" showLastColumn="0" showRowStripes="1" showColumnStripes="0"/>
</table>
</file>

<file path=xl/tables/table41.xml><?xml version="1.0" encoding="utf-8"?>
<table xmlns="http://schemas.openxmlformats.org/spreadsheetml/2006/main" id="38" name="Table3139" displayName="Table3139" ref="A3:K9" totalsRowShown="0" headerRowDxfId="220" dataDxfId="219">
  <autoFilter ref="A3:K9"/>
  <sortState ref="A3:L8">
    <sortCondition ref="A2:A8"/>
  </sortState>
  <tableColumns count="11">
    <tableColumn id="1" name="Device" dataDxfId="218"/>
    <tableColumn id="2" name="Task 1a" dataDxfId="217"/>
    <tableColumn id="3" name="Task 1b" dataDxfId="216"/>
    <tableColumn id="4" name="Task 2" dataDxfId="215"/>
    <tableColumn id="5" name="Task 3" dataDxfId="214"/>
    <tableColumn id="6" name="Task 4" dataDxfId="213"/>
    <tableColumn id="7" name="Task 5" dataDxfId="212"/>
    <tableColumn id="8" name="Task 6" dataDxfId="211"/>
    <tableColumn id="9" name="Task 7" dataDxfId="210"/>
    <tableColumn id="10" name="Overall" dataDxfId="209">
      <calculatedColumnFormula>AVERAGE(B4:I4)</calculatedColumnFormula>
    </tableColumn>
    <tableColumn id="11" name="Overall (Percentage)" dataDxfId="208"/>
  </tableColumns>
  <tableStyleInfo name="TableStyleMedium2" showFirstColumn="0" showLastColumn="0" showRowStripes="1" showColumnStripes="0"/>
</table>
</file>

<file path=xl/tables/table42.xml><?xml version="1.0" encoding="utf-8"?>
<table xmlns="http://schemas.openxmlformats.org/spreadsheetml/2006/main" id="40" name="Table3441" displayName="Table3441" ref="A12:K18" totalsRowShown="0">
  <autoFilter ref="A12:K18"/>
  <sortState ref="A12:J17">
    <sortCondition ref="A11:A17"/>
  </sortState>
  <tableColumns count="11">
    <tableColumn id="1" name="Device" dataDxfId="207"/>
    <tableColumn id="2" name="Task 1a" dataDxfId="206"/>
    <tableColumn id="3" name="Task 1b" dataDxfId="205"/>
    <tableColumn id="4" name="Task 2" dataDxfId="204"/>
    <tableColumn id="5" name="Task 3" dataDxfId="203"/>
    <tableColumn id="6" name="Task 4" dataDxfId="202"/>
    <tableColumn id="7" name="Task 5" dataDxfId="201"/>
    <tableColumn id="8" name="Task 6" dataDxfId="200"/>
    <tableColumn id="9" name="Task 7" dataDxfId="199"/>
    <tableColumn id="10" name="Overall" dataDxfId="198">
      <calculatedColumnFormula>AVERAGE(B13:I13)</calculatedColumnFormula>
    </tableColumn>
    <tableColumn id="11" name="Total time on task" dataDxfId="197"/>
  </tableColumns>
  <tableStyleInfo name="TableStyleMedium2" showFirstColumn="0" showLastColumn="0" showRowStripes="1" showColumnStripes="0"/>
</table>
</file>

<file path=xl/tables/table43.xml><?xml version="1.0" encoding="utf-8"?>
<table xmlns="http://schemas.openxmlformats.org/spreadsheetml/2006/main" id="41" name="Table343742" displayName="Table343742" ref="A21:J27" totalsRowShown="0">
  <autoFilter ref="A21:J27"/>
  <sortState ref="A21:J26">
    <sortCondition ref="A20:A26"/>
  </sortState>
  <tableColumns count="10">
    <tableColumn id="1" name="Device" dataDxfId="196"/>
    <tableColumn id="2" name="Task 1a" dataDxfId="195"/>
    <tableColumn id="3" name="Task 1b" dataDxfId="194"/>
    <tableColumn id="4" name="Task 2" dataDxfId="193"/>
    <tableColumn id="5" name="Task 3" dataDxfId="192"/>
    <tableColumn id="6" name="Task 4" dataDxfId="191"/>
    <tableColumn id="7" name="Task 5" dataDxfId="190"/>
    <tableColumn id="8" name="Task 6" dataDxfId="189"/>
    <tableColumn id="9" name="Task 7" dataDxfId="188"/>
    <tableColumn id="10" name="Overall" dataDxfId="187">
      <calculatedColumnFormula>AVERAGE(B22:I22)</calculatedColumnFormula>
    </tableColumn>
  </tableColumns>
  <tableStyleInfo name="TableStyleMedium2" showFirstColumn="0" showLastColumn="0" showRowStripes="1" showColumnStripes="0"/>
</table>
</file>

<file path=xl/tables/table44.xml><?xml version="1.0" encoding="utf-8"?>
<table xmlns="http://schemas.openxmlformats.org/spreadsheetml/2006/main" id="42" name="Table3843" displayName="Table3843" ref="A30:B36" totalsRowShown="0" tableBorderDxfId="186">
  <autoFilter ref="A30:B36"/>
  <sortState ref="A30:B35">
    <sortCondition ref="A29:A35"/>
  </sortState>
  <tableColumns count="2">
    <tableColumn id="1" name="Device" dataDxfId="185"/>
    <tableColumn id="2" name="Overall" dataDxfId="184"/>
  </tableColumns>
  <tableStyleInfo name="TableStyleMedium2" showFirstColumn="0" showLastColumn="0" showRowStripes="1" showColumnStripes="0"/>
</table>
</file>

<file path=xl/tables/table45.xml><?xml version="1.0" encoding="utf-8"?>
<table xmlns="http://schemas.openxmlformats.org/spreadsheetml/2006/main" id="96" name="Table96" displayName="Table96" ref="A4:J30" totalsRowShown="0" headerRowDxfId="183">
  <autoFilter ref="A4:J30"/>
  <tableColumns count="10">
    <tableColumn id="1" name="Demographics"/>
    <tableColumn id="2" name="Task 1a" dataDxfId="182"/>
    <tableColumn id="3" name="Task 1b" dataDxfId="181"/>
    <tableColumn id="4" name="Task 2" dataDxfId="180"/>
    <tableColumn id="5" name="Task 3" dataDxfId="179"/>
    <tableColumn id="6" name="Task 4" dataDxfId="178"/>
    <tableColumn id="7" name="Task 5" dataDxfId="177"/>
    <tableColumn id="8" name="Task 6" dataDxfId="176"/>
    <tableColumn id="9" name="Task 7" dataDxfId="175"/>
    <tableColumn id="10" name="Overall" dataDxfId="174"/>
  </tableColumns>
  <tableStyleInfo name="TableStyleMedium2" showFirstColumn="0" showLastColumn="0" showRowStripes="1" showColumnStripes="0"/>
</table>
</file>

<file path=xl/tables/table46.xml><?xml version="1.0" encoding="utf-8"?>
<table xmlns="http://schemas.openxmlformats.org/spreadsheetml/2006/main" id="97" name="Table97" displayName="Table97" ref="L4:T30" totalsRowShown="0" headerRowDxfId="173">
  <autoFilter ref="L4:T30"/>
  <tableColumns count="9">
    <tableColumn id="1" name="Task 1a" dataDxfId="172"/>
    <tableColumn id="2" name="Task 1b" dataDxfId="171"/>
    <tableColumn id="3" name="Task 2" dataDxfId="170"/>
    <tableColumn id="4" name="Task 3" dataDxfId="169"/>
    <tableColumn id="5" name="Task 4" dataDxfId="168"/>
    <tableColumn id="6" name="Task 5" dataDxfId="167"/>
    <tableColumn id="7" name="Task 6" dataDxfId="166"/>
    <tableColumn id="8" name="Task 7" dataDxfId="165"/>
    <tableColumn id="9" name="Overall" dataDxfId="164"/>
  </tableColumns>
  <tableStyleInfo name="TableStyleMedium2" showFirstColumn="0" showLastColumn="0" showRowStripes="1" showColumnStripes="0"/>
</table>
</file>

<file path=xl/tables/table47.xml><?xml version="1.0" encoding="utf-8"?>
<table xmlns="http://schemas.openxmlformats.org/spreadsheetml/2006/main" id="98" name="Table98" displayName="Table98" ref="V4:AP30" totalsRowShown="0">
  <autoFilter ref="V4:AP30"/>
  <tableColumns count="21">
    <tableColumn id="1" name="Task 1a" dataDxfId="163"/>
    <tableColumn id="2" name="Task 1b" dataDxfId="162"/>
    <tableColumn id="3" name="Task 2" dataDxfId="161"/>
    <tableColumn id="4" name="Task 3" dataDxfId="160"/>
    <tableColumn id="5" name="Task 4" dataDxfId="159"/>
    <tableColumn id="6" name="Task 5" dataDxfId="158"/>
    <tableColumn id="7" name="Task 6" dataDxfId="157"/>
    <tableColumn id="8" name="Task 7" dataDxfId="156"/>
    <tableColumn id="9" name="Overall" dataDxfId="155"/>
    <tableColumn id="10" name="Column1"/>
    <tableColumn id="11" name="Column2"/>
    <tableColumn id="12" name="Column3"/>
    <tableColumn id="13" name="Column4"/>
    <tableColumn id="14" name="Column5"/>
    <tableColumn id="15" name="Column6"/>
    <tableColumn id="16" name="Column7"/>
    <tableColumn id="17" name="Column8"/>
    <tableColumn id="18" name="Column9"/>
    <tableColumn id="19" name="Column10"/>
    <tableColumn id="20" name="Column11"/>
    <tableColumn id="21" name="SUS" dataDxfId="154"/>
  </tableColumns>
  <tableStyleInfo name="TableStyleMedium2" showFirstColumn="0" showLastColumn="0" showRowStripes="1" showColumnStripes="0"/>
</table>
</file>

<file path=xl/tables/table48.xml><?xml version="1.0" encoding="utf-8"?>
<table xmlns="http://schemas.openxmlformats.org/spreadsheetml/2006/main" id="102" name="Table102" displayName="Table102" ref="A4:J30" totalsRowShown="0" headerRowDxfId="153">
  <autoFilter ref="A4:J30"/>
  <tableColumns count="10">
    <tableColumn id="1" name="Column1"/>
    <tableColumn id="2" name="Task 1a" dataDxfId="152"/>
    <tableColumn id="3" name="Task 1b" dataDxfId="151"/>
    <tableColumn id="4" name="Task 2" dataDxfId="150"/>
    <tableColumn id="5" name="Task 3" dataDxfId="149"/>
    <tableColumn id="6" name="Task 4" dataDxfId="148"/>
    <tableColumn id="7" name="Task 5" dataDxfId="147"/>
    <tableColumn id="8" name="Task 6" dataDxfId="146"/>
    <tableColumn id="9" name="Task 7" dataDxfId="145"/>
    <tableColumn id="10" name="Overall" dataDxfId="144"/>
  </tableColumns>
  <tableStyleInfo name="TableStyleMedium2" showFirstColumn="0" showLastColumn="0" showRowStripes="1" showColumnStripes="0"/>
</table>
</file>

<file path=xl/tables/table49.xml><?xml version="1.0" encoding="utf-8"?>
<table xmlns="http://schemas.openxmlformats.org/spreadsheetml/2006/main" id="103" name="Table103" displayName="Table103" ref="L4:T30" totalsRowShown="0" headerRowDxfId="143">
  <autoFilter ref="L4:T30"/>
  <tableColumns count="9">
    <tableColumn id="1" name="Task 1a" dataDxfId="142"/>
    <tableColumn id="2" name="Task 1b" dataDxfId="141"/>
    <tableColumn id="3" name="Task 2" dataDxfId="140"/>
    <tableColumn id="4" name="Task 3" dataDxfId="139"/>
    <tableColumn id="5" name="Task 4" dataDxfId="138"/>
    <tableColumn id="6" name="Task 5" dataDxfId="137"/>
    <tableColumn id="7" name="Task 6" dataDxfId="136"/>
    <tableColumn id="8" name="Task 7" dataDxfId="135"/>
    <tableColumn id="9" name="Overall" dataDxfId="134"/>
  </tableColumns>
  <tableStyleInfo name="TableStyleMedium2" showFirstColumn="0" showLastColumn="0" showRowStripes="1" showColumnStripes="0"/>
</table>
</file>

<file path=xl/tables/table5.xml><?xml version="1.0" encoding="utf-8"?>
<table xmlns="http://schemas.openxmlformats.org/spreadsheetml/2006/main" id="1" name="Table52" displayName="Table52" ref="AF5:AQ42" totalsRowCount="1" headerRowDxfId="907" dataDxfId="906">
  <autoFilter ref="AF5:AQ41"/>
  <tableColumns count="12">
    <tableColumn id="1" name="User" totalsRowLabel="Total" dataDxfId="905" totalsRowDxfId="904"/>
    <tableColumn id="2" name="Q1" totalsRowFunction="average" dataDxfId="903" totalsRowDxfId="902"/>
    <tableColumn id="3" name="Q2" totalsRowFunction="average" dataDxfId="901" totalsRowDxfId="900"/>
    <tableColumn id="4" name="Q3" totalsRowFunction="average" dataDxfId="899" totalsRowDxfId="898"/>
    <tableColumn id="5" name="Q4" totalsRowFunction="average" dataDxfId="897" totalsRowDxfId="896"/>
    <tableColumn id="6" name="Q5" totalsRowFunction="average" dataDxfId="895" totalsRowDxfId="894"/>
    <tableColumn id="7" name="Q6" totalsRowFunction="average" dataDxfId="893" totalsRowDxfId="892"/>
    <tableColumn id="8" name="Q7" totalsRowFunction="average" dataDxfId="891" totalsRowDxfId="890"/>
    <tableColumn id="9" name="Q8" totalsRowFunction="average" dataDxfId="889" totalsRowDxfId="888"/>
    <tableColumn id="10" name="Q9" totalsRowFunction="average" dataDxfId="887" totalsRowDxfId="886"/>
    <tableColumn id="11" name="Q10" totalsRowFunction="average" dataDxfId="885" totalsRowDxfId="884"/>
    <tableColumn id="12" name="TOTAL" totalsRowFunction="average" dataDxfId="883" totalsRowDxfId="882">
      <calculatedColumnFormula>((AG6-1)+(5-AH6)+(AI6-1)+(5-AJ6)+(AK6-1)+(5-AL6)+(AM6-1)+(5-AN6)+(AO6-1)+(5-AP6))*2.5</calculatedColumnFormula>
    </tableColumn>
  </tableColumns>
  <tableStyleInfo name="TableStyleMedium2" showFirstColumn="0" showLastColumn="0" showRowStripes="1" showColumnStripes="0"/>
</table>
</file>

<file path=xl/tables/table50.xml><?xml version="1.0" encoding="utf-8"?>
<table xmlns="http://schemas.openxmlformats.org/spreadsheetml/2006/main" id="104" name="Table104" displayName="Table104" ref="V4:AD30" totalsRowShown="0" headerRowDxfId="133">
  <autoFilter ref="V4:AD30"/>
  <tableColumns count="9">
    <tableColumn id="1" name="Task 1a" dataDxfId="132"/>
    <tableColumn id="2" name="Task 1b" dataDxfId="131"/>
    <tableColumn id="3" name="Task 2" dataDxfId="130"/>
    <tableColumn id="4" name="Task 3" dataDxfId="129"/>
    <tableColumn id="5" name="Task 4" dataDxfId="128"/>
    <tableColumn id="6" name="Task 5" dataDxfId="127"/>
    <tableColumn id="7" name="Task 6" dataDxfId="126"/>
    <tableColumn id="8" name="Task 7" dataDxfId="125"/>
    <tableColumn id="9" name="Overall" dataDxfId="124"/>
  </tableColumns>
  <tableStyleInfo name="TableStyleMedium2" showFirstColumn="0" showLastColumn="0" showRowStripes="1" showColumnStripes="0"/>
</table>
</file>

<file path=xl/tables/table51.xml><?xml version="1.0" encoding="utf-8"?>
<table xmlns="http://schemas.openxmlformats.org/spreadsheetml/2006/main" id="106" name="Table106" displayName="Table106" ref="AP4:AP30" totalsRowShown="0" headerRowDxfId="123">
  <autoFilter ref="AP4:AP30"/>
  <tableColumns count="1">
    <tableColumn id="1" name="SUS" dataDxfId="122"/>
  </tableColumns>
  <tableStyleInfo name="TableStyleMedium2" showFirstColumn="0" showLastColumn="0" showRowStripes="1" showColumnStripes="0"/>
</table>
</file>

<file path=xl/tables/table52.xml><?xml version="1.0" encoding="utf-8"?>
<table xmlns="http://schemas.openxmlformats.org/spreadsheetml/2006/main" id="93" name="Table93" displayName="Table93" ref="A4:J30" totalsRowShown="0" headerRowDxfId="121">
  <autoFilter ref="A4:J30"/>
  <tableColumns count="10">
    <tableColumn id="1" name="Demographics"/>
    <tableColumn id="2" name="Task 1a" dataDxfId="120"/>
    <tableColumn id="3" name="Task 1b" dataDxfId="119"/>
    <tableColumn id="4" name="Task 2" dataDxfId="118"/>
    <tableColumn id="5" name="Task 3" dataDxfId="117"/>
    <tableColumn id="6" name="Task 4" dataDxfId="116"/>
    <tableColumn id="7" name="Task 5" dataDxfId="115"/>
    <tableColumn id="8" name="Task 6" dataDxfId="114"/>
    <tableColumn id="9" name="Task 7" dataDxfId="113"/>
    <tableColumn id="10" name="Overall" dataDxfId="112"/>
  </tableColumns>
  <tableStyleInfo name="TableStyleMedium2" showFirstColumn="0" showLastColumn="0" showRowStripes="1" showColumnStripes="0"/>
</table>
</file>

<file path=xl/tables/table53.xml><?xml version="1.0" encoding="utf-8"?>
<table xmlns="http://schemas.openxmlformats.org/spreadsheetml/2006/main" id="94" name="Table94" displayName="Table94" ref="L4:T30" totalsRowShown="0" headerRowDxfId="111">
  <autoFilter ref="L4:T30"/>
  <tableColumns count="9">
    <tableColumn id="1" name="Task 1a" dataDxfId="110"/>
    <tableColumn id="2" name="Task 1b" dataDxfId="109"/>
    <tableColumn id="3" name="Task 2" dataDxfId="108"/>
    <tableColumn id="4" name="Task 3" dataDxfId="107"/>
    <tableColumn id="5" name="Task 4" dataDxfId="106"/>
    <tableColumn id="6" name="Task 5" dataDxfId="105"/>
    <tableColumn id="7" name="Task 6" dataDxfId="104"/>
    <tableColumn id="8" name="Task 7" dataDxfId="103"/>
    <tableColumn id="9" name="Overall" dataDxfId="102"/>
  </tableColumns>
  <tableStyleInfo name="TableStyleMedium2" showFirstColumn="0" showLastColumn="0" showRowStripes="1" showColumnStripes="0"/>
</table>
</file>

<file path=xl/tables/table54.xml><?xml version="1.0" encoding="utf-8"?>
<table xmlns="http://schemas.openxmlformats.org/spreadsheetml/2006/main" id="95" name="Table95" displayName="Table95" ref="V4:AP30" totalsRowShown="0">
  <autoFilter ref="V4:AP30"/>
  <tableColumns count="21">
    <tableColumn id="1" name="Task 1a" dataDxfId="101"/>
    <tableColumn id="2" name="Task 1b" dataDxfId="100"/>
    <tableColumn id="3" name="Task 2" dataDxfId="99"/>
    <tableColumn id="4" name="Task 3" dataDxfId="98"/>
    <tableColumn id="5" name="Task 4" dataDxfId="97"/>
    <tableColumn id="6" name="Task 5" dataDxfId="96"/>
    <tableColumn id="7" name="Task 6" dataDxfId="95"/>
    <tableColumn id="8" name="Task 7" dataDxfId="94"/>
    <tableColumn id="9" name="Overall" dataDxfId="93"/>
    <tableColumn id="10" name="Column1"/>
    <tableColumn id="11" name="Column2"/>
    <tableColumn id="12" name="Column3"/>
    <tableColumn id="13" name="Column4"/>
    <tableColumn id="14" name="Column5"/>
    <tableColumn id="15" name="Column6"/>
    <tableColumn id="16" name="Column7"/>
    <tableColumn id="17" name="Column8"/>
    <tableColumn id="18" name="Column9"/>
    <tableColumn id="19" name="Column10"/>
    <tableColumn id="20" name="Column11"/>
    <tableColumn id="21" name="SUS" dataDxfId="92"/>
  </tableColumns>
  <tableStyleInfo name="TableStyleMedium2" showFirstColumn="0" showLastColumn="0" showRowStripes="1" showColumnStripes="0"/>
</table>
</file>

<file path=xl/tables/table55.xml><?xml version="1.0" encoding="utf-8"?>
<table xmlns="http://schemas.openxmlformats.org/spreadsheetml/2006/main" id="57" name="Table57" displayName="Table57" ref="A4:J30" totalsRowShown="0" headerRowDxfId="91">
  <autoFilter ref="A4:J30"/>
  <tableColumns count="10">
    <tableColumn id="1" name="Demographic"/>
    <tableColumn id="2" name="Task 1a" dataDxfId="90"/>
    <tableColumn id="3" name="Task 1b" dataDxfId="89"/>
    <tableColumn id="4" name="Task 2" dataDxfId="88"/>
    <tableColumn id="5" name="Task 3" dataDxfId="87"/>
    <tableColumn id="6" name="Task 4" dataDxfId="86"/>
    <tableColumn id="7" name="Task 5" dataDxfId="85"/>
    <tableColumn id="8" name="Task 6" dataDxfId="84"/>
    <tableColumn id="9" name="Task 7" dataDxfId="83"/>
    <tableColumn id="10" name="Overall" dataDxfId="82"/>
  </tableColumns>
  <tableStyleInfo name="TableStyleMedium2" showFirstColumn="0" showLastColumn="0" showRowStripes="1" showColumnStripes="0"/>
</table>
</file>

<file path=xl/tables/table56.xml><?xml version="1.0" encoding="utf-8"?>
<table xmlns="http://schemas.openxmlformats.org/spreadsheetml/2006/main" id="58" name="Table58" displayName="Table58" ref="L4:T30" totalsRowShown="0" headerRowDxfId="81">
  <autoFilter ref="L4:T30"/>
  <tableColumns count="9">
    <tableColumn id="1" name="Task 1a" dataDxfId="80"/>
    <tableColumn id="2" name="Task 1b" dataDxfId="79"/>
    <tableColumn id="3" name="Task 2" dataDxfId="78"/>
    <tableColumn id="4" name="Task 3" dataDxfId="77"/>
    <tableColumn id="5" name="Task 4" dataDxfId="76"/>
    <tableColumn id="6" name="Task 5" dataDxfId="75"/>
    <tableColumn id="7" name="Task 6" dataDxfId="74"/>
    <tableColumn id="8" name="Task 7" dataDxfId="73"/>
    <tableColumn id="9" name="Overall" dataDxfId="72"/>
  </tableColumns>
  <tableStyleInfo name="TableStyleMedium2" showFirstColumn="0" showLastColumn="0" showRowStripes="1" showColumnStripes="0"/>
</table>
</file>

<file path=xl/tables/table57.xml><?xml version="1.0" encoding="utf-8"?>
<table xmlns="http://schemas.openxmlformats.org/spreadsheetml/2006/main" id="92" name="Table92" displayName="Table92" ref="V4:AP30" totalsRowShown="0">
  <autoFilter ref="V4:AP30"/>
  <tableColumns count="21">
    <tableColumn id="1" name="Task 1a" dataDxfId="71"/>
    <tableColumn id="2" name="Task 1b" dataDxfId="70"/>
    <tableColumn id="3" name="Task 2" dataDxfId="69"/>
    <tableColumn id="4" name="Task 3" dataDxfId="68"/>
    <tableColumn id="5" name="Task 4" dataDxfId="67"/>
    <tableColumn id="6" name="Task 5" dataDxfId="66"/>
    <tableColumn id="7" name="Task 6" dataDxfId="65"/>
    <tableColumn id="8" name="Task 7" dataDxfId="64"/>
    <tableColumn id="9" name="Overall" dataDxfId="63"/>
    <tableColumn id="10" name="Column1"/>
    <tableColumn id="11" name="Column2"/>
    <tableColumn id="12" name="Column3"/>
    <tableColumn id="13" name="Column4"/>
    <tableColumn id="14" name="Column5"/>
    <tableColumn id="15" name="Column6"/>
    <tableColumn id="16" name="Column7"/>
    <tableColumn id="17" name="Column8"/>
    <tableColumn id="18" name="Column9"/>
    <tableColumn id="19" name="Column10"/>
    <tableColumn id="20" name="Column11"/>
    <tableColumn id="21" name="SUS" dataDxfId="62"/>
  </tableColumns>
  <tableStyleInfo name="TableStyleMedium2" showFirstColumn="0" showLastColumn="0" showRowStripes="1" showColumnStripes="0"/>
</table>
</file>

<file path=xl/tables/table58.xml><?xml version="1.0" encoding="utf-8"?>
<table xmlns="http://schemas.openxmlformats.org/spreadsheetml/2006/main" id="39" name="Table39" displayName="Table39" ref="A4:J30" totalsRowShown="0" headerRowDxfId="61">
  <autoFilter ref="A4:J30"/>
  <tableColumns count="10">
    <tableColumn id="1" name="Demographic"/>
    <tableColumn id="2" name="Task 1a" dataDxfId="60"/>
    <tableColumn id="3" name="Task 1b" dataDxfId="59"/>
    <tableColumn id="4" name="Task 2" dataDxfId="58"/>
    <tableColumn id="5" name="Task 3" dataDxfId="57"/>
    <tableColumn id="6" name="Task 4" dataDxfId="56"/>
    <tableColumn id="7" name="Task 5" dataDxfId="55"/>
    <tableColumn id="8" name="Task 6" dataDxfId="54"/>
    <tableColumn id="9" name="Task 7" dataDxfId="53"/>
    <tableColumn id="10" name="Overall" dataDxfId="52"/>
  </tableColumns>
  <tableStyleInfo name="TableStyleMedium2" showFirstColumn="0" showLastColumn="0" showRowStripes="1" showColumnStripes="0"/>
</table>
</file>

<file path=xl/tables/table59.xml><?xml version="1.0" encoding="utf-8"?>
<table xmlns="http://schemas.openxmlformats.org/spreadsheetml/2006/main" id="54" name="Table54" displayName="Table54" ref="L4:T30" totalsRowShown="0" headerRowDxfId="51">
  <autoFilter ref="L4:T30"/>
  <tableColumns count="9">
    <tableColumn id="1" name="Task 1a" dataDxfId="50"/>
    <tableColumn id="2" name="Task 1b" dataDxfId="49"/>
    <tableColumn id="3" name="Task 2" dataDxfId="48"/>
    <tableColumn id="4" name="Task 3" dataDxfId="47"/>
    <tableColumn id="5" name="Task 4" dataDxfId="46"/>
    <tableColumn id="6" name="Task 5" dataDxfId="45"/>
    <tableColumn id="7" name="Task 6" dataDxfId="44"/>
    <tableColumn id="8" name="Task 7" dataDxfId="43"/>
    <tableColumn id="9" name="Overall" dataDxfId="42"/>
  </tableColumns>
  <tableStyleInfo name="TableStyleMedium2" showFirstColumn="0" showLastColumn="0" showRowStripes="1" showColumnStripes="0"/>
</table>
</file>

<file path=xl/tables/table6.xml><?xml version="1.0" encoding="utf-8"?>
<table xmlns="http://schemas.openxmlformats.org/spreadsheetml/2006/main" id="2" name="Table33" displayName="Table33" ref="AS5:BA42" totalsRowCount="1" headerRowDxfId="881" dataDxfId="880" tableBorderDxfId="879">
  <autoFilter ref="AS5:BA41"/>
  <tableColumns count="9">
    <tableColumn id="1" name="User" totalsRowLabel="Total" dataDxfId="878" totalsRowDxfId="877"/>
    <tableColumn id="2" name="Task 1a" totalsRowFunction="average" dataDxfId="876" totalsRowDxfId="875"/>
    <tableColumn id="3" name="Task 1b" totalsRowFunction="average" dataDxfId="874" totalsRowDxfId="873"/>
    <tableColumn id="4" name="Task 2" totalsRowFunction="average" dataDxfId="872" totalsRowDxfId="871"/>
    <tableColumn id="5" name="Task 3" totalsRowFunction="average" dataDxfId="870" totalsRowDxfId="869"/>
    <tableColumn id="6" name="Task 4" totalsRowFunction="average" dataDxfId="868" totalsRowDxfId="867"/>
    <tableColumn id="7" name="Task 5" totalsRowFunction="average" dataDxfId="866" totalsRowDxfId="865"/>
    <tableColumn id="8" name="Task 6" totalsRowFunction="average" dataDxfId="864" totalsRowDxfId="863"/>
    <tableColumn id="9" name="Task 7" totalsRowFunction="average" dataDxfId="862" totalsRowDxfId="861"/>
  </tableColumns>
  <tableStyleInfo name="TableStyleMedium2" showFirstColumn="0" showLastColumn="0" showRowStripes="1" showColumnStripes="0"/>
</table>
</file>

<file path=xl/tables/table60.xml><?xml version="1.0" encoding="utf-8"?>
<table xmlns="http://schemas.openxmlformats.org/spreadsheetml/2006/main" id="55" name="Table55" displayName="Table55" ref="V4:AD30" totalsRowShown="0" headerRowDxfId="41">
  <autoFilter ref="V4:AD30"/>
  <tableColumns count="9">
    <tableColumn id="1" name="Task 1a" dataDxfId="40"/>
    <tableColumn id="2" name="Task 1b" dataDxfId="39"/>
    <tableColumn id="3" name="Task 2" dataDxfId="38"/>
    <tableColumn id="4" name="Task 3" dataDxfId="37"/>
    <tableColumn id="5" name="Task 4" dataDxfId="36"/>
    <tableColumn id="6" name="Task 5" dataDxfId="35"/>
    <tableColumn id="7" name="Task 6" dataDxfId="34"/>
    <tableColumn id="8" name="Task 7" dataDxfId="33"/>
    <tableColumn id="9" name="Overall" dataDxfId="32"/>
  </tableColumns>
  <tableStyleInfo name="TableStyleMedium2" showFirstColumn="0" showLastColumn="0" showRowStripes="1" showColumnStripes="0"/>
</table>
</file>

<file path=xl/tables/table61.xml><?xml version="1.0" encoding="utf-8"?>
<table xmlns="http://schemas.openxmlformats.org/spreadsheetml/2006/main" id="56" name="Table56" displayName="Table56" ref="AP4:AP30" totalsRowShown="0" headerRowDxfId="31">
  <autoFilter ref="AP4:AP30"/>
  <tableColumns count="1">
    <tableColumn id="1" name="SUS" dataDxfId="30"/>
  </tableColumns>
  <tableStyleInfo name="TableStyleMedium2" showFirstColumn="0" showLastColumn="0" showRowStripes="1" showColumnStripes="0"/>
</table>
</file>

<file path=xl/tables/table62.xml><?xml version="1.0" encoding="utf-8"?>
<table xmlns="http://schemas.openxmlformats.org/spreadsheetml/2006/main" id="99" name="Table99" displayName="Table99" ref="A4:J30" totalsRowShown="0" headerRowDxfId="29">
  <autoFilter ref="A4:J30"/>
  <tableColumns count="10">
    <tableColumn id="1" name="Column1"/>
    <tableColumn id="2" name="Task 1a" dataDxfId="28"/>
    <tableColumn id="3" name="Task 1b" dataDxfId="27"/>
    <tableColumn id="4" name="Task 2" dataDxfId="26"/>
    <tableColumn id="5" name="Task 3" dataDxfId="25"/>
    <tableColumn id="6" name="Task 4" dataDxfId="24"/>
    <tableColumn id="7" name="Task 5" dataDxfId="23"/>
    <tableColumn id="8" name="Task 6" dataDxfId="22"/>
    <tableColumn id="9" name="Task 7" dataDxfId="21"/>
    <tableColumn id="10" name="Overall" dataDxfId="20"/>
  </tableColumns>
  <tableStyleInfo name="TableStyleMedium2" showFirstColumn="0" showLastColumn="0" showRowStripes="1" showColumnStripes="0"/>
</table>
</file>

<file path=xl/tables/table63.xml><?xml version="1.0" encoding="utf-8"?>
<table xmlns="http://schemas.openxmlformats.org/spreadsheetml/2006/main" id="100" name="Table100" displayName="Table100" ref="L4:T30" totalsRowShown="0" headerRowDxfId="19">
  <autoFilter ref="L4:T30"/>
  <tableColumns count="9">
    <tableColumn id="1" name="Task 1a" dataDxfId="18"/>
    <tableColumn id="2" name="Task 1b" dataDxfId="17"/>
    <tableColumn id="3" name="Task 2" dataDxfId="16"/>
    <tableColumn id="4" name="Task 3" dataDxfId="15"/>
    <tableColumn id="5" name="Task 4" dataDxfId="14"/>
    <tableColumn id="6" name="Task 5" dataDxfId="13"/>
    <tableColumn id="7" name="Task 6" dataDxfId="12"/>
    <tableColumn id="8" name="Task 7" dataDxfId="11"/>
    <tableColumn id="9" name="Overall" dataDxfId="10"/>
  </tableColumns>
  <tableStyleInfo name="TableStyleMedium2" showFirstColumn="0" showLastColumn="0" showRowStripes="1" showColumnStripes="0"/>
</table>
</file>

<file path=xl/tables/table64.xml><?xml version="1.0" encoding="utf-8"?>
<table xmlns="http://schemas.openxmlformats.org/spreadsheetml/2006/main" id="101" name="Table101" displayName="Table101" ref="V4:AP30" totalsRowShown="0">
  <autoFilter ref="V4:AP30"/>
  <tableColumns count="21">
    <tableColumn id="1" name="Task 1a" dataDxfId="9"/>
    <tableColumn id="2" name="Task 1b" dataDxfId="8"/>
    <tableColumn id="3" name="Task 2" dataDxfId="7"/>
    <tableColumn id="4" name="Task 3" dataDxfId="6"/>
    <tableColumn id="5" name="Task 4" dataDxfId="5"/>
    <tableColumn id="6" name="Task 5" dataDxfId="4"/>
    <tableColumn id="7" name="Task 6" dataDxfId="3"/>
    <tableColumn id="8" name="Task 7" dataDxfId="2"/>
    <tableColumn id="9" name="Overall" dataDxfId="1"/>
    <tableColumn id="10" name="Column1"/>
    <tableColumn id="11" name="Column2"/>
    <tableColumn id="12" name="Column3"/>
    <tableColumn id="13" name="Column4"/>
    <tableColumn id="14" name="Column5"/>
    <tableColumn id="15" name="Column6"/>
    <tableColumn id="16" name="Column7"/>
    <tableColumn id="17" name="Column8"/>
    <tableColumn id="18" name="Column9"/>
    <tableColumn id="19" name="Column10"/>
    <tableColumn id="20" name="Column11"/>
    <tableColumn id="21" name="SUS" dataDxfId="0"/>
  </tableColumns>
  <tableStyleInfo name="TableStyleMedium2" showFirstColumn="0" showLastColumn="0" showRowStripes="1" showColumnStripes="0"/>
</table>
</file>

<file path=xl/tables/table7.xml><?xml version="1.0" encoding="utf-8"?>
<table xmlns="http://schemas.openxmlformats.org/spreadsheetml/2006/main" id="9" name="Table410" displayName="Table410" ref="BC5:BK42" totalsRowCount="1" headerRowDxfId="860" dataDxfId="859" tableBorderDxfId="858">
  <autoFilter ref="BC5:BK41"/>
  <tableColumns count="9">
    <tableColumn id="1" name="User" totalsRowLabel="Total" dataDxfId="857" totalsRowDxfId="856"/>
    <tableColumn id="2" name="Task 1a" totalsRowFunction="average" dataDxfId="855" totalsRowDxfId="854"/>
    <tableColumn id="3" name="Task 1b" totalsRowFunction="average" dataDxfId="853" totalsRowDxfId="852"/>
    <tableColumn id="4" name="Task 2" totalsRowFunction="average" dataDxfId="851" totalsRowDxfId="850"/>
    <tableColumn id="5" name="Task 3" totalsRowFunction="average" dataDxfId="849" totalsRowDxfId="848"/>
    <tableColumn id="6" name="Task 4" totalsRowFunction="average" dataDxfId="847" totalsRowDxfId="846"/>
    <tableColumn id="7" name="Task 5" totalsRowFunction="average" dataDxfId="845" totalsRowDxfId="844"/>
    <tableColumn id="8" name="Task 6" totalsRowFunction="average" dataDxfId="843" totalsRowDxfId="842"/>
    <tableColumn id="9" name="Task 7" totalsRowFunction="average" dataDxfId="841" totalsRowDxfId="840"/>
  </tableColumns>
  <tableStyleInfo name="TableStyleMedium2" showFirstColumn="0" showLastColumn="0" showRowStripes="1" showColumnStripes="0"/>
</table>
</file>

<file path=xl/tables/table8.xml><?xml version="1.0" encoding="utf-8"?>
<table xmlns="http://schemas.openxmlformats.org/spreadsheetml/2006/main" id="10" name="Table511" displayName="Table511" ref="BM5:BU42" totalsRowCount="1" headerRowDxfId="839" dataDxfId="838">
  <autoFilter ref="BM5:BU41"/>
  <tableColumns count="9">
    <tableColumn id="1" name="User" totalsRowLabel="Total" dataDxfId="837" totalsRowDxfId="836"/>
    <tableColumn id="2" name="Task 1a" totalsRowFunction="average" dataDxfId="835" totalsRowDxfId="834"/>
    <tableColumn id="3" name="Task 1b" totalsRowFunction="average" dataDxfId="833" totalsRowDxfId="832"/>
    <tableColumn id="4" name="Task 2" totalsRowFunction="average" dataDxfId="831" totalsRowDxfId="830"/>
    <tableColumn id="5" name="Task 3" totalsRowFunction="average" dataDxfId="829" totalsRowDxfId="828"/>
    <tableColumn id="6" name="Task 4" totalsRowFunction="average" dataDxfId="827" totalsRowDxfId="826"/>
    <tableColumn id="7" name="Task 5" totalsRowFunction="average" dataDxfId="825" totalsRowDxfId="824"/>
    <tableColumn id="8" name="Task 6" totalsRowFunction="average" dataDxfId="823" totalsRowDxfId="822"/>
    <tableColumn id="9" name="Task 7" totalsRowFunction="average" dataDxfId="821" totalsRowDxfId="820"/>
  </tableColumns>
  <tableStyleInfo name="TableStyleMedium2" showFirstColumn="0" showLastColumn="0" showRowStripes="1" showColumnStripes="0"/>
</table>
</file>

<file path=xl/tables/table9.xml><?xml version="1.0" encoding="utf-8"?>
<table xmlns="http://schemas.openxmlformats.org/spreadsheetml/2006/main" id="11" name="Table5212" displayName="Table5212" ref="BW5:CH42" totalsRowCount="1" headerRowDxfId="819" dataDxfId="818">
  <autoFilter ref="BW5:CH41"/>
  <tableColumns count="12">
    <tableColumn id="1" name="User" totalsRowLabel="Total" dataDxfId="817" totalsRowDxfId="816"/>
    <tableColumn id="2" name="Q1" totalsRowFunction="average" dataDxfId="815" totalsRowDxfId="814"/>
    <tableColumn id="3" name="Q2" totalsRowFunction="average" dataDxfId="813" totalsRowDxfId="812"/>
    <tableColumn id="4" name="Q3" totalsRowFunction="average" dataDxfId="811" totalsRowDxfId="810"/>
    <tableColumn id="5" name="Q4" totalsRowFunction="average" dataDxfId="809" totalsRowDxfId="808"/>
    <tableColumn id="6" name="Q5" totalsRowFunction="average" dataDxfId="807" totalsRowDxfId="806"/>
    <tableColumn id="7" name="Q6" totalsRowFunction="average" dataDxfId="805" totalsRowDxfId="804"/>
    <tableColumn id="8" name="Q7" totalsRowFunction="average" dataDxfId="803" totalsRowDxfId="802"/>
    <tableColumn id="9" name="Q8" totalsRowFunction="average" dataDxfId="801" totalsRowDxfId="800"/>
    <tableColumn id="10" name="Q9" totalsRowFunction="average" dataDxfId="799" totalsRowDxfId="798"/>
    <tableColumn id="11" name="Q10" totalsRowFunction="average" dataDxfId="797" totalsRowDxfId="796"/>
    <tableColumn id="12" name="TOTAL" totalsRowFunction="average" dataDxfId="795" totalsRowDxfId="794">
      <calculatedColumnFormula>((BX6-1)+(5-BY6)+(BZ6-1)+(5-CA6)+(CB6-1)+(5-CC6)+(CD6-1)+(5-CE6)+(CF6-1)+(5-CG6))*2.5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x.stanford@decc.gsi.gov.uk" TargetMode="External"/><Relationship Id="rId2" Type="http://schemas.openxmlformats.org/officeDocument/2006/relationships/hyperlink" Target="mailto:psi@nationalarchives.gsi.gov.uk" TargetMode="External"/><Relationship Id="rId1" Type="http://schemas.openxmlformats.org/officeDocument/2006/relationships/hyperlink" Target="http://www.nationalarchives.gov.uk/doc/open-government-licenc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usability-testing-of-smarter-heating-controls"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table" Target="../tables/table3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table" Target="../tables/table40.xml"/><Relationship Id="rId5" Type="http://schemas.openxmlformats.org/officeDocument/2006/relationships/table" Target="../tables/table39.xml"/><Relationship Id="rId4" Type="http://schemas.openxmlformats.org/officeDocument/2006/relationships/table" Target="../tables/table38.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9.bin"/><Relationship Id="rId5" Type="http://schemas.openxmlformats.org/officeDocument/2006/relationships/table" Target="../tables/table44.xml"/><Relationship Id="rId4" Type="http://schemas.openxmlformats.org/officeDocument/2006/relationships/table" Target="../tables/table4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table" Target="../tables/table46.xml"/><Relationship Id="rId1" Type="http://schemas.openxmlformats.org/officeDocument/2006/relationships/table" Target="../tables/table45.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table" Target="../tables/table48.xml"/><Relationship Id="rId4" Type="http://schemas.openxmlformats.org/officeDocument/2006/relationships/table" Target="../tables/table51.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54.xml"/><Relationship Id="rId2" Type="http://schemas.openxmlformats.org/officeDocument/2006/relationships/table" Target="../tables/table53.xml"/><Relationship Id="rId1" Type="http://schemas.openxmlformats.org/officeDocument/2006/relationships/table" Target="../tables/table52.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56.xml"/><Relationship Id="rId2" Type="http://schemas.openxmlformats.org/officeDocument/2006/relationships/table" Target="../tables/table55.xml"/><Relationship Id="rId1" Type="http://schemas.openxmlformats.org/officeDocument/2006/relationships/printerSettings" Target="../printerSettings/printerSettings10.bin"/><Relationship Id="rId4" Type="http://schemas.openxmlformats.org/officeDocument/2006/relationships/table" Target="../tables/table57.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59.xml"/><Relationship Id="rId2" Type="http://schemas.openxmlformats.org/officeDocument/2006/relationships/table" Target="../tables/table58.xml"/><Relationship Id="rId1" Type="http://schemas.openxmlformats.org/officeDocument/2006/relationships/printerSettings" Target="../printerSettings/printerSettings11.bin"/><Relationship Id="rId5" Type="http://schemas.openxmlformats.org/officeDocument/2006/relationships/table" Target="../tables/table61.xml"/><Relationship Id="rId4" Type="http://schemas.openxmlformats.org/officeDocument/2006/relationships/table" Target="../tables/table6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64.xml"/><Relationship Id="rId2" Type="http://schemas.openxmlformats.org/officeDocument/2006/relationships/table" Target="../tables/table63.xml"/><Relationship Id="rId1" Type="http://schemas.openxmlformats.org/officeDocument/2006/relationships/table" Target="../tables/table62.xml"/></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printerSettings" Target="../printerSettings/printerSettings3.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table" Target="../tables/table21.xml"/><Relationship Id="rId13" Type="http://schemas.openxmlformats.org/officeDocument/2006/relationships/table" Target="../tables/table26.xml"/><Relationship Id="rId3" Type="http://schemas.openxmlformats.org/officeDocument/2006/relationships/table" Target="../tables/table16.xml"/><Relationship Id="rId7" Type="http://schemas.openxmlformats.org/officeDocument/2006/relationships/table" Target="../tables/table20.xml"/><Relationship Id="rId12" Type="http://schemas.openxmlformats.org/officeDocument/2006/relationships/table" Target="../tables/table25.xml"/><Relationship Id="rId2" Type="http://schemas.openxmlformats.org/officeDocument/2006/relationships/table" Target="../tables/table15.xml"/><Relationship Id="rId1" Type="http://schemas.openxmlformats.org/officeDocument/2006/relationships/printerSettings" Target="../printerSettings/printerSettings5.bin"/><Relationship Id="rId6" Type="http://schemas.openxmlformats.org/officeDocument/2006/relationships/table" Target="../tables/table19.xml"/><Relationship Id="rId11" Type="http://schemas.openxmlformats.org/officeDocument/2006/relationships/table" Target="../tables/table24.xml"/><Relationship Id="rId5" Type="http://schemas.openxmlformats.org/officeDocument/2006/relationships/table" Target="../tables/table18.xml"/><Relationship Id="rId10" Type="http://schemas.openxmlformats.org/officeDocument/2006/relationships/table" Target="../tables/table23.xml"/><Relationship Id="rId4" Type="http://schemas.openxmlformats.org/officeDocument/2006/relationships/table" Target="../tables/table17.xml"/><Relationship Id="rId9" Type="http://schemas.openxmlformats.org/officeDocument/2006/relationships/table" Target="../tables/table2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vmlDrawing" Target="../drawings/vmlDrawing1.vml"/><Relationship Id="rId4" Type="http://schemas.openxmlformats.org/officeDocument/2006/relationships/table" Target="../tables/table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1"/>
  <sheetViews>
    <sheetView tabSelected="1" workbookViewId="0">
      <selection activeCell="F2" sqref="F2"/>
    </sheetView>
  </sheetViews>
  <sheetFormatPr defaultColWidth="8.85546875" defaultRowHeight="15"/>
  <cols>
    <col min="1" max="2" width="8.85546875" style="1"/>
    <col min="3" max="3" width="24.28515625" style="1" customWidth="1"/>
    <col min="4" max="4" width="61.28515625" style="115" customWidth="1"/>
    <col min="5" max="5" width="22.7109375" style="1" customWidth="1"/>
    <col min="6" max="16384" width="8.85546875" style="1"/>
  </cols>
  <sheetData>
    <row r="2" spans="3:7" ht="68.25" customHeight="1">
      <c r="C2"/>
      <c r="D2" s="116"/>
    </row>
    <row r="3" spans="3:7" ht="57" customHeight="1">
      <c r="C3" s="153" t="s">
        <v>204</v>
      </c>
      <c r="D3" s="153"/>
      <c r="E3" s="153"/>
    </row>
    <row r="5" spans="3:7" ht="261.75" customHeight="1">
      <c r="C5" s="156" t="s">
        <v>216</v>
      </c>
      <c r="D5" s="156"/>
      <c r="E5" s="156"/>
    </row>
    <row r="6" spans="3:7" ht="20.25">
      <c r="C6" s="134" t="s">
        <v>177</v>
      </c>
      <c r="D6" s="135" t="s">
        <v>178</v>
      </c>
      <c r="E6" s="134" t="s">
        <v>179</v>
      </c>
    </row>
    <row r="7" spans="3:7" ht="28.9" customHeight="1">
      <c r="C7" s="154" t="s">
        <v>164</v>
      </c>
      <c r="D7" s="154" t="s">
        <v>165</v>
      </c>
      <c r="E7" s="136" t="s">
        <v>61</v>
      </c>
    </row>
    <row r="8" spans="3:7">
      <c r="C8" s="154"/>
      <c r="D8" s="154"/>
      <c r="E8" s="137" t="s">
        <v>63</v>
      </c>
      <c r="G8"/>
    </row>
    <row r="9" spans="3:7" ht="43.15" customHeight="1">
      <c r="C9" s="154" t="s">
        <v>166</v>
      </c>
      <c r="D9" s="154" t="s">
        <v>167</v>
      </c>
      <c r="E9" s="137" t="s">
        <v>61</v>
      </c>
    </row>
    <row r="10" spans="3:7">
      <c r="C10" s="154"/>
      <c r="D10" s="154"/>
      <c r="E10" s="137" t="s">
        <v>63</v>
      </c>
    </row>
    <row r="11" spans="3:7" ht="43.15" customHeight="1">
      <c r="C11" s="154" t="s">
        <v>168</v>
      </c>
      <c r="D11" s="154" t="s">
        <v>169</v>
      </c>
      <c r="E11" s="137" t="s">
        <v>61</v>
      </c>
    </row>
    <row r="12" spans="3:7">
      <c r="C12" s="154"/>
      <c r="D12" s="154"/>
      <c r="E12" s="137" t="s">
        <v>63</v>
      </c>
    </row>
    <row r="13" spans="3:7">
      <c r="C13" s="154"/>
      <c r="D13" s="154"/>
      <c r="E13" s="137" t="s">
        <v>180</v>
      </c>
    </row>
    <row r="14" spans="3:7" ht="28.9" customHeight="1">
      <c r="C14" s="154" t="s">
        <v>170</v>
      </c>
      <c r="D14" s="154" t="s">
        <v>171</v>
      </c>
      <c r="E14" s="137" t="s">
        <v>61</v>
      </c>
    </row>
    <row r="15" spans="3:7">
      <c r="C15" s="154"/>
      <c r="D15" s="154"/>
      <c r="E15" s="137" t="s">
        <v>63</v>
      </c>
    </row>
    <row r="16" spans="3:7" ht="28.9" customHeight="1">
      <c r="C16" s="154" t="s">
        <v>172</v>
      </c>
      <c r="D16" s="154" t="s">
        <v>173</v>
      </c>
      <c r="E16" s="137" t="s">
        <v>61</v>
      </c>
    </row>
    <row r="17" spans="3:5">
      <c r="C17" s="154"/>
      <c r="D17" s="154"/>
      <c r="E17" s="137" t="s">
        <v>63</v>
      </c>
    </row>
    <row r="18" spans="3:5">
      <c r="C18" s="154"/>
      <c r="D18" s="154"/>
      <c r="E18" s="137" t="s">
        <v>181</v>
      </c>
    </row>
    <row r="19" spans="3:5" ht="28.5">
      <c r="C19" s="138" t="s">
        <v>174</v>
      </c>
      <c r="D19" s="138" t="s">
        <v>183</v>
      </c>
      <c r="E19" s="137" t="s">
        <v>182</v>
      </c>
    </row>
    <row r="20" spans="3:5">
      <c r="C20" s="154" t="s">
        <v>175</v>
      </c>
      <c r="D20" s="154" t="s">
        <v>176</v>
      </c>
      <c r="E20" s="137" t="s">
        <v>126</v>
      </c>
    </row>
    <row r="21" spans="3:5">
      <c r="C21" s="154"/>
      <c r="D21" s="154"/>
      <c r="E21" s="137" t="s">
        <v>127</v>
      </c>
    </row>
    <row r="22" spans="3:5">
      <c r="C22" s="154"/>
      <c r="D22" s="154"/>
      <c r="E22" s="137" t="s">
        <v>128</v>
      </c>
    </row>
    <row r="23" spans="3:5">
      <c r="C23" s="154"/>
      <c r="D23" s="154"/>
      <c r="E23" s="137" t="s">
        <v>129</v>
      </c>
    </row>
    <row r="24" spans="3:5">
      <c r="C24" s="154"/>
      <c r="D24" s="154"/>
      <c r="E24" s="137" t="s">
        <v>130</v>
      </c>
    </row>
    <row r="25" spans="3:5">
      <c r="C25" s="154"/>
      <c r="D25" s="154"/>
      <c r="E25" s="139" t="s">
        <v>131</v>
      </c>
    </row>
    <row r="28" spans="3:5">
      <c r="C28" s="157" t="s">
        <v>195</v>
      </c>
      <c r="D28" s="157"/>
      <c r="E28" s="157"/>
    </row>
    <row r="29" spans="3:5">
      <c r="C29" s="157"/>
      <c r="D29" s="157"/>
      <c r="E29" s="157"/>
    </row>
    <row r="30" spans="3:5">
      <c r="C30" s="131"/>
      <c r="D30" s="132"/>
      <c r="E30" s="133"/>
    </row>
    <row r="31" spans="3:5" ht="15.75">
      <c r="C31" s="130" t="s">
        <v>196</v>
      </c>
      <c r="D31" s="132"/>
      <c r="E31" s="133"/>
    </row>
    <row r="32" spans="3:5">
      <c r="C32" s="131" t="s">
        <v>197</v>
      </c>
      <c r="D32" s="132"/>
      <c r="E32" s="133"/>
    </row>
    <row r="33" spans="3:5">
      <c r="C33" s="131" t="s">
        <v>198</v>
      </c>
      <c r="D33" s="132"/>
      <c r="E33" s="133"/>
    </row>
    <row r="34" spans="3:5">
      <c r="C34" s="158" t="s">
        <v>199</v>
      </c>
      <c r="D34" s="158"/>
      <c r="E34" s="158"/>
    </row>
    <row r="35" spans="3:5">
      <c r="C35" s="158"/>
      <c r="D35" s="158"/>
      <c r="E35" s="158"/>
    </row>
    <row r="36" spans="3:5" ht="15.75">
      <c r="C36" s="130"/>
      <c r="D36" s="132"/>
      <c r="E36" s="133"/>
    </row>
    <row r="37" spans="3:5" ht="15.75">
      <c r="C37" s="130" t="s">
        <v>200</v>
      </c>
      <c r="D37" s="132"/>
      <c r="E37" s="133"/>
    </row>
    <row r="38" spans="3:5">
      <c r="C38" s="158" t="s">
        <v>203</v>
      </c>
      <c r="D38" s="158"/>
      <c r="E38" s="158"/>
    </row>
    <row r="39" spans="3:5">
      <c r="C39" s="158"/>
      <c r="D39" s="158"/>
      <c r="E39" s="158"/>
    </row>
    <row r="40" spans="3:5">
      <c r="C40" s="158"/>
      <c r="D40" s="158"/>
      <c r="E40" s="158"/>
    </row>
    <row r="41" spans="3:5" ht="15.75">
      <c r="C41" s="130" t="s">
        <v>201</v>
      </c>
      <c r="D41" s="132"/>
      <c r="E41" s="133"/>
    </row>
    <row r="42" spans="3:5" ht="23.25" customHeight="1">
      <c r="C42" s="158" t="s">
        <v>202</v>
      </c>
      <c r="D42" s="158"/>
      <c r="E42" s="158"/>
    </row>
    <row r="43" spans="3:5">
      <c r="C43" s="158"/>
      <c r="D43" s="158"/>
      <c r="E43" s="158"/>
    </row>
    <row r="44" spans="3:5">
      <c r="C44" s="158"/>
      <c r="D44" s="158"/>
      <c r="E44" s="158"/>
    </row>
    <row r="45" spans="3:5">
      <c r="C45" s="158"/>
      <c r="D45" s="158"/>
      <c r="E45" s="158"/>
    </row>
    <row r="47" spans="3:5" ht="15.75" customHeight="1">
      <c r="C47" s="129" t="s">
        <v>205</v>
      </c>
      <c r="D47" s="140"/>
      <c r="E47" s="141"/>
    </row>
    <row r="48" spans="3:5" ht="15.75" customHeight="1">
      <c r="C48" s="129" t="s">
        <v>233</v>
      </c>
      <c r="D48" s="140"/>
      <c r="E48" s="141"/>
    </row>
    <row r="49" spans="2:5" ht="15.75" customHeight="1">
      <c r="C49" s="129"/>
      <c r="D49" s="140"/>
      <c r="E49" s="141"/>
    </row>
    <row r="50" spans="2:5" ht="16.5" customHeight="1">
      <c r="C50" s="155" t="s">
        <v>206</v>
      </c>
      <c r="D50" s="155"/>
      <c r="E50" s="155"/>
    </row>
    <row r="51" spans="2:5">
      <c r="C51" s="155"/>
      <c r="D51" s="155"/>
      <c r="E51" s="155"/>
    </row>
    <row r="52" spans="2:5">
      <c r="C52" s="143"/>
      <c r="D52" s="143"/>
      <c r="E52" s="143"/>
    </row>
    <row r="53" spans="2:5" ht="15.75" customHeight="1">
      <c r="B53" s="133"/>
      <c r="C53" s="142" t="s">
        <v>207</v>
      </c>
      <c r="D53" s="140"/>
      <c r="E53" s="141"/>
    </row>
    <row r="54" spans="2:5" ht="15.75" customHeight="1">
      <c r="C54" s="129" t="s">
        <v>208</v>
      </c>
      <c r="D54" s="140"/>
      <c r="E54" s="141"/>
    </row>
    <row r="55" spans="2:5" ht="15.75" customHeight="1">
      <c r="B55" s="133"/>
      <c r="C55" s="142" t="s">
        <v>209</v>
      </c>
      <c r="D55" s="140"/>
      <c r="E55" s="141"/>
    </row>
    <row r="56" spans="2:5" ht="15.75" customHeight="1">
      <c r="B56" s="133"/>
      <c r="C56" s="131"/>
      <c r="D56" s="140"/>
      <c r="E56" s="141"/>
    </row>
    <row r="57" spans="2:5" ht="15.75" customHeight="1">
      <c r="B57" s="133"/>
      <c r="C57" s="142" t="s">
        <v>210</v>
      </c>
      <c r="D57" s="140"/>
      <c r="E57" s="141"/>
    </row>
    <row r="58" spans="2:5" ht="15.75" customHeight="1">
      <c r="B58" s="133"/>
      <c r="C58" s="131"/>
      <c r="D58" s="140"/>
      <c r="E58" s="141"/>
    </row>
    <row r="59" spans="2:5" ht="15.75" customHeight="1">
      <c r="B59" s="133"/>
      <c r="C59" s="148" t="s">
        <v>232</v>
      </c>
      <c r="D59" s="140"/>
      <c r="E59" s="141"/>
    </row>
    <row r="60" spans="2:5">
      <c r="B60" s="133"/>
      <c r="C60" s="133"/>
    </row>
    <row r="61" spans="2:5">
      <c r="B61" s="133"/>
    </row>
  </sheetData>
  <mergeCells count="19">
    <mergeCell ref="C50:E51"/>
    <mergeCell ref="C5:E5"/>
    <mergeCell ref="C28:E29"/>
    <mergeCell ref="C38:E40"/>
    <mergeCell ref="C42:E45"/>
    <mergeCell ref="C34:E35"/>
    <mergeCell ref="D20:D25"/>
    <mergeCell ref="C20:C25"/>
    <mergeCell ref="D7:D8"/>
    <mergeCell ref="C7:C8"/>
    <mergeCell ref="D9:D10"/>
    <mergeCell ref="C9:C10"/>
    <mergeCell ref="D11:D13"/>
    <mergeCell ref="C11:C13"/>
    <mergeCell ref="C3:E3"/>
    <mergeCell ref="D14:D15"/>
    <mergeCell ref="C14:C15"/>
    <mergeCell ref="D16:D18"/>
    <mergeCell ref="C16:C18"/>
  </mergeCells>
  <hyperlinks>
    <hyperlink ref="E7" location="'Profiles - Group A '!A1" display="Group A"/>
    <hyperlink ref="E8" location="'Profiles - Group B'!A1" display="Group B"/>
    <hyperlink ref="E9" location="'Task metrics - Group A'!A1" display="Group A"/>
    <hyperlink ref="E10" location="'Task metrics - Group B'!A1" display="Group B"/>
    <hyperlink ref="E11" location="'Demographic Analysis - Group A'!A1" display="Group A"/>
    <hyperlink ref="E12" location="'Demographic Analysis - Group B'!A1" display="Group B"/>
    <hyperlink ref="E13" location="'Demog Analysis - Graphs'!A1" display="Analysis graphs"/>
    <hyperlink ref="E14" location="'Task Time Calcs - Group A'!A1" display="Group A"/>
    <hyperlink ref="E15" location="'Task Time Calcs - Group B'!A1" display="Group B"/>
    <hyperlink ref="E16" location="'Averages - Group A'!A1" display="Group A"/>
    <hyperlink ref="E17" location="'Averages - Group B'!A1" display="Group B"/>
    <hyperlink ref="E18" location="'Averages - Both groups'!A1" display="Both groups"/>
    <hyperlink ref="E19" location="Graphs!A1" display="Graphs"/>
    <hyperlink ref="E20" location="'System A - Analysis'!A1" display="System A"/>
    <hyperlink ref="E21" location="'System B - Analysis'!A1" display="System B"/>
    <hyperlink ref="E22" location="'System C - Analysis'!A1" display="System C"/>
    <hyperlink ref="E23" location="'System D - Analysis'!A1" display="System D"/>
    <hyperlink ref="E24" location="'System E - Analysis'!A1" display="System E"/>
    <hyperlink ref="E25" location="'Index page'!A1" display="System F"/>
    <hyperlink ref="C53" r:id="rId1" display="http://www.nationalarchives.gov.uk/doc/open-government-licence/"/>
    <hyperlink ref="C55" r:id="rId2" display="mailto:psi@nationalarchives.gsi.gov.uk"/>
    <hyperlink ref="C57" r:id="rId3" display="mailto:max.stanford@decc.gsi.gov.uk"/>
    <hyperlink ref="C59" r:id="rId4" display="https://www.gov.uk/government/publications/usability-testing-of-smarter-heating-controls"/>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
  <sheetViews>
    <sheetView workbookViewId="0">
      <selection activeCell="G21" sqref="G21"/>
    </sheetView>
  </sheetViews>
  <sheetFormatPr defaultRowHeight="15"/>
  <cols>
    <col min="1" max="1" width="11.140625" customWidth="1"/>
    <col min="2" max="2" width="9.5703125" customWidth="1"/>
    <col min="3" max="6" width="9.5703125" bestFit="1" customWidth="1"/>
    <col min="7" max="9" width="9.28515625" bestFit="1" customWidth="1"/>
    <col min="10" max="10" width="9.5703125" customWidth="1"/>
  </cols>
  <sheetData>
    <row r="1" spans="1:10 16384:16384" ht="34.5" customHeight="1">
      <c r="A1" s="125" t="s">
        <v>212</v>
      </c>
      <c r="B1" s="126"/>
      <c r="C1" s="126"/>
      <c r="D1" s="126"/>
      <c r="E1" s="126"/>
      <c r="F1" s="126"/>
      <c r="G1" s="126"/>
      <c r="H1" s="126"/>
      <c r="I1" s="126"/>
      <c r="J1" s="126"/>
    </row>
    <row r="2" spans="1:10 16384:16384">
      <c r="A2" s="47" t="s">
        <v>29</v>
      </c>
    </row>
    <row r="3" spans="1:10 16384:16384">
      <c r="A3" t="s">
        <v>30</v>
      </c>
      <c r="B3" s="47" t="s">
        <v>1</v>
      </c>
      <c r="C3" s="47" t="s">
        <v>28</v>
      </c>
      <c r="D3" s="47" t="s">
        <v>2</v>
      </c>
      <c r="E3" s="47" t="s">
        <v>3</v>
      </c>
      <c r="F3" s="47" t="s">
        <v>4</v>
      </c>
      <c r="G3" s="47" t="s">
        <v>5</v>
      </c>
      <c r="H3" s="47" t="s">
        <v>6</v>
      </c>
      <c r="I3" s="47" t="s">
        <v>7</v>
      </c>
      <c r="J3" s="47" t="s">
        <v>31</v>
      </c>
    </row>
    <row r="4" spans="1:10 16384:16384">
      <c r="A4" s="47" t="s">
        <v>126</v>
      </c>
      <c r="B4" s="48">
        <f>AVERAGE(Table3[Task 1a])</f>
        <v>0.54861111111111116</v>
      </c>
      <c r="C4" s="48"/>
      <c r="D4" s="48">
        <f>AVERAGE(Table3[Task 2])</f>
        <v>0.35416666666666669</v>
      </c>
      <c r="E4" s="48">
        <f>AVERAGE(Table3[Task 3])</f>
        <v>0.1388888888888889</v>
      </c>
      <c r="F4" s="48">
        <f>AVERAGE(Table3[Task 4])</f>
        <v>0.28472222222222221</v>
      </c>
      <c r="G4" s="48">
        <f>AVERAGE(Table3[Task 5])</f>
        <v>0.69444444444444442</v>
      </c>
      <c r="H4" s="48">
        <f>AVERAGE(Table3[Task 6])</f>
        <v>0.2986111111111111</v>
      </c>
      <c r="I4" s="48"/>
      <c r="J4" s="49">
        <f>AVERAGE(B4:I4)</f>
        <v>0.38657407407407401</v>
      </c>
    </row>
    <row r="5" spans="1:10 16384:16384">
      <c r="A5" s="47" t="s">
        <v>131</v>
      </c>
      <c r="B5" s="48">
        <f>AVERAGE(Table33[Task 1a])</f>
        <v>0.1736111111111111</v>
      </c>
      <c r="C5" s="48">
        <f>AVERAGE(Table33[Task 1b])</f>
        <v>0.43888888888888888</v>
      </c>
      <c r="D5" s="48">
        <f>AVERAGE(Table33[Task 2])</f>
        <v>0.34027777777777779</v>
      </c>
      <c r="E5" s="48">
        <f>AVERAGE(Table33[Task 3])</f>
        <v>0.75694444444444442</v>
      </c>
      <c r="F5" s="48">
        <f>AVERAGE(Table33[Task 4])</f>
        <v>0.3125</v>
      </c>
      <c r="G5" s="48">
        <f>AVERAGE(Table33[Task 5])</f>
        <v>0.54861111111111116</v>
      </c>
      <c r="H5" s="48">
        <f>AVERAGE(Table33[Task 6])</f>
        <v>0.30555555555555558</v>
      </c>
      <c r="I5" s="48">
        <f>AVERAGE(Table33[Task 7])</f>
        <v>0.95833333333333337</v>
      </c>
      <c r="J5" s="49">
        <f>AVERAGE(B5:I5)</f>
        <v>0.47934027777777782</v>
      </c>
    </row>
    <row r="6" spans="1:10 16384:16384">
      <c r="A6" s="47" t="s">
        <v>127</v>
      </c>
      <c r="B6" s="48">
        <f>AVERAGE(Table313[Task 1a])</f>
        <v>6.25E-2</v>
      </c>
      <c r="C6" s="48">
        <f>AVERAGE(Table313[Task 1b])</f>
        <v>8.3333333333333329E-2</v>
      </c>
      <c r="D6" s="48">
        <f>AVERAGE(Table313[Task 2])</f>
        <v>0.16666666666666666</v>
      </c>
      <c r="E6" s="48">
        <f>AVERAGE(Table313[Task 3])</f>
        <v>0.36805555555555558</v>
      </c>
      <c r="F6" s="48">
        <f>AVERAGE(Table313[Task 4])</f>
        <v>0.16666666666666666</v>
      </c>
      <c r="G6" s="48">
        <f>AVERAGE(Table313[Task 5])</f>
        <v>0.18055555555555555</v>
      </c>
      <c r="H6" s="48">
        <f>AVERAGE(Table313[Task 6])</f>
        <v>0.29166666666666669</v>
      </c>
      <c r="I6" s="48">
        <f>AVERAGE(Table313[Task 7])</f>
        <v>0.67361111111111116</v>
      </c>
      <c r="J6" s="49">
        <f>AVERAGE(B6:I6)</f>
        <v>0.24913194444444445</v>
      </c>
      <c r="XFD6" s="48"/>
    </row>
    <row r="8" spans="1:10 16384:16384">
      <c r="A8" s="47" t="s">
        <v>32</v>
      </c>
    </row>
    <row r="9" spans="1:10 16384:16384">
      <c r="A9" t="s">
        <v>30</v>
      </c>
      <c r="B9" s="47" t="s">
        <v>1</v>
      </c>
      <c r="C9" s="47" t="s">
        <v>28</v>
      </c>
      <c r="D9" s="47" t="s">
        <v>2</v>
      </c>
      <c r="E9" s="47" t="s">
        <v>3</v>
      </c>
      <c r="F9" s="47" t="s">
        <v>4</v>
      </c>
      <c r="G9" s="47" t="s">
        <v>5</v>
      </c>
      <c r="H9" s="47" t="s">
        <v>6</v>
      </c>
      <c r="I9" s="47" t="s">
        <v>7</v>
      </c>
      <c r="J9" t="s">
        <v>31</v>
      </c>
    </row>
    <row r="10" spans="1:10 16384:16384">
      <c r="A10" s="47" t="s">
        <v>126</v>
      </c>
      <c r="B10" s="48">
        <f>Table32[[#Totals],[Task 1a]]</f>
        <v>150.48387096774192</v>
      </c>
      <c r="C10" s="48"/>
      <c r="D10" s="48">
        <f>Table32[[#Totals],[Task 2]]</f>
        <v>126.14285714285714</v>
      </c>
      <c r="E10" s="48">
        <f>Table32[[#Totals],[Task 3]]</f>
        <v>82.75</v>
      </c>
      <c r="F10" s="48">
        <f>Table32[[#Totals],[Task 4]]</f>
        <v>77.090909090909093</v>
      </c>
      <c r="G10" s="48">
        <f>Table32[[#Totals],[Task 5]]</f>
        <v>60.36</v>
      </c>
      <c r="H10" s="48">
        <f>Table32[[#Totals],[Task 6]]</f>
        <v>43.46153846153846</v>
      </c>
      <c r="I10" s="48"/>
      <c r="J10" s="50">
        <f>AVERAGE(B10:I10)</f>
        <v>90.048195943841108</v>
      </c>
    </row>
    <row r="11" spans="1:10 16384:16384">
      <c r="A11" s="47" t="s">
        <v>131</v>
      </c>
      <c r="B11" s="48">
        <f>Table35[[#Totals],[Task 1a]]</f>
        <v>210.95454545454547</v>
      </c>
      <c r="C11" s="48">
        <f>Table35[[#Totals],[Task 1b]]</f>
        <v>114.44444444444444</v>
      </c>
      <c r="D11" s="48">
        <f>Table35[[#Totals],[Task 2]]</f>
        <v>115.22727272727273</v>
      </c>
      <c r="E11" s="48">
        <f>Table35[[#Totals],[Task 3]]</f>
        <v>54</v>
      </c>
      <c r="F11" s="48">
        <f>Table35[[#Totals],[Task 4]]</f>
        <v>112.4</v>
      </c>
      <c r="G11" s="48">
        <f>Table35[[#Totals],[Task 5]]</f>
        <v>48.68181818181818</v>
      </c>
      <c r="H11" s="48">
        <f>Table35[[#Totals],[Task 6]]</f>
        <v>97.818181818181813</v>
      </c>
      <c r="I11" s="48">
        <f>Table35[[#Totals],[Task 7]]</f>
        <v>44.027777777777779</v>
      </c>
      <c r="J11" s="49">
        <f>AVERAGE(B11:I11)</f>
        <v>99.694255050505063</v>
      </c>
    </row>
    <row r="12" spans="1:10 16384:16384">
      <c r="A12" s="47" t="s">
        <v>127</v>
      </c>
      <c r="B12" s="48">
        <f>Table3536[[#Totals],[Task 1a]]</f>
        <v>242.44444444444446</v>
      </c>
      <c r="C12" s="48">
        <f>Table3536[[#Totals],[Task 1b]]</f>
        <v>112.55555555555556</v>
      </c>
      <c r="D12" s="48">
        <f>Table3536[[#Totals],[Task 2]]</f>
        <v>138.73333333333332</v>
      </c>
      <c r="E12" s="48">
        <f>Table3536[[#Totals],[Task 3]]</f>
        <v>74.214285714285708</v>
      </c>
      <c r="F12" s="48">
        <f>Table3536[[#Totals],[Task 4]]</f>
        <v>83.571428571428569</v>
      </c>
      <c r="G12" s="48">
        <f>Table3536[[#Totals],[Task 5]]</f>
        <v>91.75</v>
      </c>
      <c r="H12" s="48">
        <f>Table3536[[#Totals],[Task 6]]</f>
        <v>60.25</v>
      </c>
      <c r="I12" s="48">
        <f>Table3536[[#Totals],[Task 7]]</f>
        <v>75.959999999999994</v>
      </c>
      <c r="J12" s="49">
        <f>AVERAGE(B12:I12)</f>
        <v>109.93488095238095</v>
      </c>
    </row>
    <row r="14" spans="1:10 16384:16384">
      <c r="A14" s="47" t="s">
        <v>33</v>
      </c>
    </row>
    <row r="15" spans="1:10 16384:16384">
      <c r="A15" t="s">
        <v>30</v>
      </c>
      <c r="B15" s="47" t="s">
        <v>1</v>
      </c>
      <c r="C15" s="47" t="s">
        <v>28</v>
      </c>
      <c r="D15" s="47" t="s">
        <v>2</v>
      </c>
      <c r="E15" s="47" t="s">
        <v>3</v>
      </c>
      <c r="F15" s="47" t="s">
        <v>4</v>
      </c>
      <c r="G15" s="47" t="s">
        <v>5</v>
      </c>
      <c r="H15" s="47" t="s">
        <v>6</v>
      </c>
      <c r="I15" s="47" t="s">
        <v>7</v>
      </c>
      <c r="J15" t="s">
        <v>31</v>
      </c>
    </row>
    <row r="16" spans="1:10 16384:16384">
      <c r="A16" s="47" t="s">
        <v>126</v>
      </c>
      <c r="B16" s="48">
        <f>AVERAGE(Table5[Task 1a])</f>
        <v>4</v>
      </c>
      <c r="C16" s="48"/>
      <c r="D16" s="48">
        <f>AVERAGE(Table5[Task 2])</f>
        <v>2.9444444444444446</v>
      </c>
      <c r="E16" s="48">
        <f>AVERAGE(Table5[Task 3])</f>
        <v>2.9166666666666665</v>
      </c>
      <c r="F16" s="48">
        <f>AVERAGE(Table5[Task 4])</f>
        <v>2.6111111111111112</v>
      </c>
      <c r="G16" s="48">
        <f>AVERAGE(Table5[Task 5])</f>
        <v>3.6388888888888888</v>
      </c>
      <c r="H16" s="48">
        <f>AVERAGE(Table5[Task 6])</f>
        <v>3.7777777777777777</v>
      </c>
      <c r="I16" s="48"/>
      <c r="J16" s="50">
        <f>AVERAGE(B16:I16)</f>
        <v>3.3148148148148149</v>
      </c>
    </row>
    <row r="17" spans="1:10">
      <c r="A17" s="47" t="s">
        <v>131</v>
      </c>
      <c r="B17" s="48">
        <f>AVERAGE(Table511[Task 1a])</f>
        <v>2.5</v>
      </c>
      <c r="C17" s="48">
        <f>AVERAGE(Table511[Task 1b])</f>
        <v>3.3333333333333335</v>
      </c>
      <c r="D17" s="48">
        <f>AVERAGE(Table511[Task 2])</f>
        <v>2.8888888888888888</v>
      </c>
      <c r="E17" s="48">
        <f>AVERAGE(Table511[Task 3])</f>
        <v>2.8888888888888888</v>
      </c>
      <c r="F17" s="48">
        <f>AVERAGE(Table511[Task 4])</f>
        <v>3.5</v>
      </c>
      <c r="G17" s="48">
        <f>AVERAGE(Table511[Task 5])</f>
        <v>3.6944444444444446</v>
      </c>
      <c r="H17" s="48">
        <f>AVERAGE(Table511[Task 6])</f>
        <v>3.0555555555555554</v>
      </c>
      <c r="I17" s="48">
        <f>AVERAGE(Table511[Task 7])</f>
        <v>4.3611111111111107</v>
      </c>
      <c r="J17" s="49">
        <f>AVERAGE(B17:I17)</f>
        <v>3.2777777777777781</v>
      </c>
    </row>
    <row r="18" spans="1:10">
      <c r="A18" s="47" t="s">
        <v>127</v>
      </c>
      <c r="B18" s="48">
        <f>AVERAGE(Table515[Task 1a])</f>
        <v>2.5555555555555554</v>
      </c>
      <c r="C18" s="48">
        <f>AVERAGE(Table515[Task 1b])</f>
        <v>2.8333333333333335</v>
      </c>
      <c r="D18" s="48">
        <f>AVERAGE(Table515[Task 2])</f>
        <v>3</v>
      </c>
      <c r="E18" s="48">
        <f>AVERAGE(Table515[Task 3])</f>
        <v>2.9166666666666665</v>
      </c>
      <c r="F18" s="48">
        <f>AVERAGE(Table515[Task 4])</f>
        <v>2.8055555555555554</v>
      </c>
      <c r="G18" s="48">
        <f>AVERAGE(Table515[Task 5])</f>
        <v>2.3888888888888888</v>
      </c>
      <c r="H18" s="48">
        <f>AVERAGE(Table515[Task 6])</f>
        <v>2.8888888888888888</v>
      </c>
      <c r="I18" s="48">
        <f>AVERAGE(Table515[Task 7])</f>
        <v>3.0277777777777777</v>
      </c>
      <c r="J18" s="50">
        <f>AVERAGE(B18:I18)</f>
        <v>2.8020833333333335</v>
      </c>
    </row>
    <row r="20" spans="1:10">
      <c r="A20" s="47" t="s">
        <v>34</v>
      </c>
    </row>
    <row r="21" spans="1:10">
      <c r="A21" s="41" t="s">
        <v>30</v>
      </c>
      <c r="B21" s="51" t="s">
        <v>31</v>
      </c>
    </row>
    <row r="22" spans="1:10">
      <c r="A22" s="52" t="s">
        <v>126</v>
      </c>
      <c r="B22" s="53">
        <f>AVERAGE(Table52[TOTAL])</f>
        <v>56.597222222222221</v>
      </c>
    </row>
    <row r="23" spans="1:10">
      <c r="A23" s="54" t="s">
        <v>131</v>
      </c>
      <c r="B23" s="55">
        <f>AVERAGE(Table5212[TOTAL])</f>
        <v>51.25</v>
      </c>
    </row>
    <row r="24" spans="1:10">
      <c r="A24" s="56" t="s">
        <v>127</v>
      </c>
      <c r="B24" s="57">
        <f>AVERAGE(Table5216[TOTAL])</f>
        <v>41.875</v>
      </c>
    </row>
  </sheetData>
  <pageMargins left="0.7" right="0.7" top="0.75" bottom="0.75" header="0.3" footer="0.3"/>
  <pageSetup paperSize="9" orientation="portrait" horizontalDpi="0" verticalDpi="0" r:id="rId1"/>
  <drawing r:id="rId2"/>
  <tableParts count="4">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zoomScale="90" zoomScaleNormal="90" workbookViewId="0">
      <selection activeCell="W20" sqref="W20"/>
    </sheetView>
  </sheetViews>
  <sheetFormatPr defaultRowHeight="15"/>
  <sheetData>
    <row r="1" spans="1:29" ht="36">
      <c r="A1" s="127" t="s">
        <v>187</v>
      </c>
      <c r="B1" s="127"/>
      <c r="C1" s="127"/>
      <c r="D1" s="127"/>
      <c r="E1" s="127"/>
      <c r="F1" s="127"/>
      <c r="G1" s="127"/>
      <c r="H1" s="127"/>
      <c r="I1" s="127"/>
    </row>
    <row r="2" spans="1:29" ht="14.25" customHeight="1">
      <c r="A2" s="128"/>
      <c r="B2" s="128"/>
      <c r="C2" s="128"/>
      <c r="D2" s="128"/>
      <c r="E2" s="128"/>
      <c r="F2" s="128"/>
      <c r="G2" s="128"/>
      <c r="H2" s="128"/>
      <c r="I2" s="128"/>
    </row>
    <row r="3" spans="1:29" ht="28.5">
      <c r="B3" s="172" t="s">
        <v>130</v>
      </c>
      <c r="C3" s="172"/>
      <c r="D3" s="172"/>
      <c r="E3" s="172"/>
      <c r="F3" s="172"/>
      <c r="G3" s="172"/>
      <c r="H3" s="172"/>
      <c r="I3" s="172"/>
      <c r="L3" s="172" t="s">
        <v>129</v>
      </c>
      <c r="M3" s="172"/>
      <c r="N3" s="172"/>
      <c r="O3" s="172"/>
      <c r="P3" s="172"/>
      <c r="Q3" s="172"/>
      <c r="R3" s="172"/>
      <c r="S3" s="172"/>
      <c r="V3" s="172" t="s">
        <v>128</v>
      </c>
      <c r="W3" s="172"/>
      <c r="X3" s="172"/>
      <c r="Y3" s="172"/>
      <c r="Z3" s="172"/>
      <c r="AA3" s="172"/>
      <c r="AB3" s="172"/>
      <c r="AC3" s="172"/>
    </row>
    <row r="4" spans="1:29">
      <c r="B4" s="174" t="s">
        <v>25</v>
      </c>
      <c r="C4" s="174"/>
      <c r="D4" s="174"/>
      <c r="E4" s="174"/>
      <c r="F4" s="174"/>
      <c r="G4" s="174"/>
      <c r="H4" s="174"/>
      <c r="I4" s="175"/>
      <c r="L4" s="174" t="s">
        <v>25</v>
      </c>
      <c r="M4" s="174"/>
      <c r="N4" s="174"/>
      <c r="O4" s="174"/>
      <c r="P4" s="174"/>
      <c r="Q4" s="174"/>
      <c r="R4" s="174"/>
      <c r="S4" s="175"/>
      <c r="V4" s="174" t="s">
        <v>25</v>
      </c>
      <c r="W4" s="174"/>
      <c r="X4" s="174"/>
      <c r="Y4" s="174"/>
      <c r="Z4" s="174"/>
      <c r="AA4" s="174"/>
      <c r="AB4" s="174"/>
      <c r="AC4" s="175"/>
    </row>
    <row r="5" spans="1:29">
      <c r="A5" t="s">
        <v>0</v>
      </c>
      <c r="B5" s="13" t="s">
        <v>27</v>
      </c>
      <c r="C5" s="13" t="s">
        <v>28</v>
      </c>
      <c r="D5" s="13" t="s">
        <v>2</v>
      </c>
      <c r="E5" s="13" t="s">
        <v>3</v>
      </c>
      <c r="F5" s="13" t="s">
        <v>4</v>
      </c>
      <c r="G5" s="13" t="s">
        <v>5</v>
      </c>
      <c r="H5" s="13" t="s">
        <v>6</v>
      </c>
      <c r="I5" s="14" t="s">
        <v>7</v>
      </c>
      <c r="K5" s="41" t="s">
        <v>0</v>
      </c>
      <c r="L5" s="13" t="s">
        <v>27</v>
      </c>
      <c r="M5" s="13" t="s">
        <v>28</v>
      </c>
      <c r="N5" s="13" t="s">
        <v>2</v>
      </c>
      <c r="O5" s="13" t="s">
        <v>3</v>
      </c>
      <c r="P5" s="13" t="s">
        <v>4</v>
      </c>
      <c r="Q5" s="13" t="s">
        <v>5</v>
      </c>
      <c r="R5" s="13" t="s">
        <v>6</v>
      </c>
      <c r="S5" s="14" t="s">
        <v>7</v>
      </c>
      <c r="U5" s="41" t="s">
        <v>0</v>
      </c>
      <c r="V5" s="13" t="s">
        <v>27</v>
      </c>
      <c r="W5" s="13" t="s">
        <v>28</v>
      </c>
      <c r="X5" s="13" t="s">
        <v>2</v>
      </c>
      <c r="Y5" s="13" t="s">
        <v>3</v>
      </c>
      <c r="Z5" s="13" t="s">
        <v>4</v>
      </c>
      <c r="AA5" s="13" t="s">
        <v>5</v>
      </c>
      <c r="AB5" s="13" t="s">
        <v>6</v>
      </c>
      <c r="AC5" s="14" t="s">
        <v>7</v>
      </c>
    </row>
    <row r="6" spans="1:29">
      <c r="A6" s="42">
        <v>1</v>
      </c>
      <c r="B6" s="43">
        <f>IF('Task metrics - Group B'!C6&gt;0, 'Task metrics - Group B'!M6)</f>
        <v>173</v>
      </c>
      <c r="C6" s="43" t="s">
        <v>217</v>
      </c>
      <c r="D6" s="43">
        <f>IF('Task metrics - Group B'!E6&gt;0, 'Task metrics - Group B'!O6)</f>
        <v>180</v>
      </c>
      <c r="E6" s="43">
        <f>IF('Task metrics - Group B'!F6&gt;0, 'Task metrics - Group B'!P6)</f>
        <v>180</v>
      </c>
      <c r="F6" s="43" t="s">
        <v>217</v>
      </c>
      <c r="G6" s="43">
        <f>IF('Task metrics - Group B'!H6&gt;0, 'Task metrics - Group B'!R6)</f>
        <v>90</v>
      </c>
      <c r="H6" s="43">
        <f>IF('Task metrics - Group B'!I6&gt;0, 'Task metrics - Group B'!S6)</f>
        <v>149</v>
      </c>
      <c r="I6" s="43">
        <f>IF('Task metrics - Group B'!J6&gt;0, 'Task metrics - Group B'!T6)</f>
        <v>116</v>
      </c>
      <c r="K6" s="9">
        <v>1</v>
      </c>
      <c r="L6" s="44">
        <f>IF('Task metrics - Group B'!AT6&gt;0, 'Task metrics - Group B'!BD6)</f>
        <v>213</v>
      </c>
      <c r="M6" s="44" t="s">
        <v>217</v>
      </c>
      <c r="N6" s="44" t="s">
        <v>217</v>
      </c>
      <c r="O6" s="44" t="s">
        <v>217</v>
      </c>
      <c r="P6" s="44" t="s">
        <v>217</v>
      </c>
      <c r="Q6" s="44" t="s">
        <v>217</v>
      </c>
      <c r="R6" s="44" t="s">
        <v>217</v>
      </c>
      <c r="S6" s="44">
        <f>IF('Task metrics - Group B'!BA6&gt;0, 'Task metrics - Group B'!BK6)</f>
        <v>180</v>
      </c>
      <c r="U6" s="9">
        <v>1</v>
      </c>
      <c r="V6" s="44" t="s">
        <v>217</v>
      </c>
      <c r="W6" s="44" t="s">
        <v>217</v>
      </c>
      <c r="X6" s="44" t="s">
        <v>217</v>
      </c>
      <c r="Y6" s="44">
        <f>IF('Task metrics - Group B'!CN6&gt;0, 'Task metrics - Group B'!CX6)</f>
        <v>96</v>
      </c>
      <c r="Z6" s="44" t="s">
        <v>217</v>
      </c>
      <c r="AA6" s="44" t="s">
        <v>217</v>
      </c>
      <c r="AB6" s="44" t="s">
        <v>217</v>
      </c>
      <c r="AC6" s="44" t="s">
        <v>217</v>
      </c>
    </row>
    <row r="7" spans="1:29">
      <c r="A7" s="42">
        <v>2</v>
      </c>
      <c r="B7" s="43">
        <f>IF('Task metrics - Group B'!C7&gt;0, 'Task metrics - Group B'!M7)</f>
        <v>300</v>
      </c>
      <c r="C7" s="43">
        <f>IF('Task metrics - Group B'!D7&gt;0, 'Task metrics - Group B'!N7)</f>
        <v>180</v>
      </c>
      <c r="D7" s="43">
        <f>IF('Task metrics - Group B'!E7&gt;0, 'Task metrics - Group B'!O7)</f>
        <v>180</v>
      </c>
      <c r="E7" s="43">
        <f>IF('Task metrics - Group B'!F7&gt;0, 'Task metrics - Group B'!P7)</f>
        <v>177</v>
      </c>
      <c r="F7" s="43">
        <f>IF('Task metrics - Group B'!G7&gt;0, 'Task metrics - Group B'!Q7)</f>
        <v>83</v>
      </c>
      <c r="G7" s="43">
        <f>IF('Task metrics - Group B'!H7&gt;0, 'Task metrics - Group B'!R7)</f>
        <v>53</v>
      </c>
      <c r="H7" s="43">
        <f>IF('Task metrics - Group B'!I7&gt;0, 'Task metrics - Group B'!S7)</f>
        <v>79</v>
      </c>
      <c r="I7" s="43">
        <f>IF('Task metrics - Group B'!J7&gt;0, 'Task metrics - Group B'!T7)</f>
        <v>54</v>
      </c>
      <c r="K7" s="9">
        <v>2</v>
      </c>
      <c r="L7" s="44" t="s">
        <v>217</v>
      </c>
      <c r="M7" s="44" t="s">
        <v>217</v>
      </c>
      <c r="N7" s="44" t="s">
        <v>217</v>
      </c>
      <c r="O7" s="44" t="s">
        <v>217</v>
      </c>
      <c r="P7" s="44">
        <f>IF('Task metrics - Group B'!AX7&gt;0, 'Task metrics - Group B'!BH7)</f>
        <v>169</v>
      </c>
      <c r="Q7" s="44" t="s">
        <v>217</v>
      </c>
      <c r="R7" s="44">
        <f>IF('Task metrics - Group B'!AZ7&gt;0, 'Task metrics - Group B'!BJ7)</f>
        <v>180</v>
      </c>
      <c r="S7" s="44">
        <f>IF('Task metrics - Group B'!BA7&gt;0, 'Task metrics - Group B'!BK7)</f>
        <v>83</v>
      </c>
      <c r="U7" s="9">
        <v>2</v>
      </c>
      <c r="V7" s="44" t="s">
        <v>217</v>
      </c>
      <c r="W7" s="44">
        <f>IF('Task metrics - Group B'!CL7&gt;0, 'Task metrics - Group B'!CV7)</f>
        <v>180</v>
      </c>
      <c r="X7" s="44">
        <f>IF('Task metrics - Group B'!CM7&gt;0, 'Task metrics - Group B'!CW7)</f>
        <v>180</v>
      </c>
      <c r="Y7" s="44">
        <f>IF('Task metrics - Group B'!CN7&gt;0, 'Task metrics - Group B'!CX7)</f>
        <v>180</v>
      </c>
      <c r="Z7" s="44" t="s">
        <v>217</v>
      </c>
      <c r="AA7" s="44" t="s">
        <v>217</v>
      </c>
      <c r="AB7" s="44">
        <f>IF('Task metrics - Group B'!CQ7&gt;0, 'Task metrics - Group B'!DA7)</f>
        <v>180</v>
      </c>
      <c r="AC7" s="44">
        <f>IF('Task metrics - Group B'!CR7&gt;0, 'Task metrics - Group B'!DB7)</f>
        <v>85</v>
      </c>
    </row>
    <row r="8" spans="1:29">
      <c r="A8" s="42">
        <v>3</v>
      </c>
      <c r="B8" s="43" t="s">
        <v>217</v>
      </c>
      <c r="C8" s="43" t="s">
        <v>217</v>
      </c>
      <c r="D8" s="43" t="s">
        <v>217</v>
      </c>
      <c r="E8" s="43" t="s">
        <v>217</v>
      </c>
      <c r="F8" s="43">
        <f>IF('Task metrics - Group B'!G8&gt;0, 'Task metrics - Group B'!Q8)</f>
        <v>120</v>
      </c>
      <c r="G8" s="43">
        <f>IF('Task metrics - Group B'!H8&gt;0, 'Task metrics - Group B'!R8)</f>
        <v>40</v>
      </c>
      <c r="H8" s="43">
        <f>IF('Task metrics - Group B'!I8&gt;0, 'Task metrics - Group B'!S8)</f>
        <v>48</v>
      </c>
      <c r="I8" s="43" t="s">
        <v>217</v>
      </c>
      <c r="K8" s="9">
        <v>3</v>
      </c>
      <c r="L8" s="44">
        <f>IF('Task metrics - Group B'!AT8&gt;0, 'Task metrics - Group B'!BD8)</f>
        <v>266</v>
      </c>
      <c r="M8" s="44" t="s">
        <v>217</v>
      </c>
      <c r="N8" s="44" t="s">
        <v>217</v>
      </c>
      <c r="O8" s="44" t="s">
        <v>217</v>
      </c>
      <c r="P8" s="44" t="s">
        <v>217</v>
      </c>
      <c r="Q8" s="44" t="s">
        <v>217</v>
      </c>
      <c r="R8" s="44">
        <f>IF('Task metrics - Group B'!AZ8&gt;0, 'Task metrics - Group B'!BJ8)</f>
        <v>90</v>
      </c>
      <c r="S8" s="44" t="s">
        <v>217</v>
      </c>
      <c r="U8" s="9">
        <v>3</v>
      </c>
      <c r="V8" s="44" t="s">
        <v>217</v>
      </c>
      <c r="W8" s="44" t="s">
        <v>217</v>
      </c>
      <c r="X8" s="44">
        <f>IF('Task metrics - Group B'!CM8&gt;0, 'Task metrics - Group B'!CW8)</f>
        <v>180</v>
      </c>
      <c r="Y8" s="44">
        <f>IF('Task metrics - Group B'!CN8&gt;0, 'Task metrics - Group B'!CX8)</f>
        <v>107</v>
      </c>
      <c r="Z8" s="44" t="s">
        <v>217</v>
      </c>
      <c r="AA8" s="44">
        <f>IF('Task metrics - Group B'!CP8&gt;0, 'Task metrics - Group B'!CZ8)</f>
        <v>144</v>
      </c>
      <c r="AB8" s="44" t="s">
        <v>217</v>
      </c>
      <c r="AC8" s="44">
        <f>IF('Task metrics - Group B'!CR8&gt;0, 'Task metrics - Group B'!DB8)</f>
        <v>84</v>
      </c>
    </row>
    <row r="9" spans="1:29">
      <c r="A9" s="42">
        <v>4</v>
      </c>
      <c r="B9" s="43" t="s">
        <v>217</v>
      </c>
      <c r="C9" s="43" t="s">
        <v>217</v>
      </c>
      <c r="D9" s="43" t="s">
        <v>217</v>
      </c>
      <c r="E9" s="43">
        <f>IF('Task metrics - Group B'!F9&gt;0, 'Task metrics - Group B'!P9)</f>
        <v>138</v>
      </c>
      <c r="F9" s="43" t="s">
        <v>217</v>
      </c>
      <c r="G9" s="43">
        <f>IF('Task metrics - Group B'!H9&gt;0, 'Task metrics - Group B'!R9)</f>
        <v>51</v>
      </c>
      <c r="H9" s="43" t="s">
        <v>217</v>
      </c>
      <c r="I9" s="43">
        <f>IF('Task metrics - Group B'!J9&gt;0, 'Task metrics - Group B'!T9)</f>
        <v>137</v>
      </c>
      <c r="K9" s="9">
        <v>4</v>
      </c>
      <c r="L9" s="44" t="s">
        <v>217</v>
      </c>
      <c r="M9" s="44" t="s">
        <v>217</v>
      </c>
      <c r="N9" s="44">
        <f>IF('Task metrics - Group B'!AV9&gt;0, 'Task metrics - Group B'!BF9)</f>
        <v>143</v>
      </c>
      <c r="O9" s="44" t="s">
        <v>217</v>
      </c>
      <c r="P9" s="44" t="s">
        <v>217</v>
      </c>
      <c r="Q9" s="44" t="s">
        <v>217</v>
      </c>
      <c r="R9" s="44" t="s">
        <v>217</v>
      </c>
      <c r="S9" s="44" t="s">
        <v>217</v>
      </c>
      <c r="U9" s="9">
        <v>4</v>
      </c>
      <c r="V9" s="44" t="s">
        <v>217</v>
      </c>
      <c r="W9" s="44" t="s">
        <v>217</v>
      </c>
      <c r="X9" s="44" t="s">
        <v>217</v>
      </c>
      <c r="Y9" s="44" t="s">
        <v>217</v>
      </c>
      <c r="Z9" s="44" t="s">
        <v>217</v>
      </c>
      <c r="AA9" s="44">
        <f>IF('Task metrics - Group B'!CP9&gt;0, 'Task metrics - Group B'!CZ9)</f>
        <v>105</v>
      </c>
      <c r="AB9" s="44" t="s">
        <v>217</v>
      </c>
      <c r="AC9" s="44">
        <f>IF('Task metrics - Group B'!CR9&gt;0, 'Task metrics - Group B'!DB9)</f>
        <v>110</v>
      </c>
    </row>
    <row r="10" spans="1:29">
      <c r="A10" s="42">
        <v>5</v>
      </c>
      <c r="B10" s="43" t="s">
        <v>217</v>
      </c>
      <c r="C10" s="43" t="s">
        <v>217</v>
      </c>
      <c r="D10" s="43" t="s">
        <v>217</v>
      </c>
      <c r="E10" s="43" t="s">
        <v>217</v>
      </c>
      <c r="F10" s="43" t="s">
        <v>217</v>
      </c>
      <c r="G10" s="43">
        <f>IF('Task metrics - Group B'!H10&gt;0, 'Task metrics - Group B'!R10)</f>
        <v>32</v>
      </c>
      <c r="H10" s="43">
        <f>IF('Task metrics - Group B'!I10&gt;0, 'Task metrics - Group B'!S10)</f>
        <v>53</v>
      </c>
      <c r="I10" s="43">
        <f>IF('Task metrics - Group B'!J10&gt;0, 'Task metrics - Group B'!T10)</f>
        <v>14</v>
      </c>
      <c r="K10" s="9">
        <v>5</v>
      </c>
      <c r="L10" s="44" t="s">
        <v>217</v>
      </c>
      <c r="M10" s="44" t="s">
        <v>217</v>
      </c>
      <c r="N10" s="44" t="s">
        <v>217</v>
      </c>
      <c r="O10" s="44" t="s">
        <v>217</v>
      </c>
      <c r="P10" s="44" t="s">
        <v>217</v>
      </c>
      <c r="Q10" s="44" t="s">
        <v>217</v>
      </c>
      <c r="R10" s="44" t="s">
        <v>217</v>
      </c>
      <c r="S10" s="44" t="s">
        <v>217</v>
      </c>
      <c r="U10" s="9">
        <v>5</v>
      </c>
      <c r="V10" s="44" t="s">
        <v>217</v>
      </c>
      <c r="W10" s="44" t="s">
        <v>217</v>
      </c>
      <c r="X10" s="44" t="s">
        <v>217</v>
      </c>
      <c r="Y10" s="44" t="s">
        <v>217</v>
      </c>
      <c r="Z10" s="44" t="s">
        <v>217</v>
      </c>
      <c r="AA10" s="44">
        <f>IF('Task metrics - Group B'!CP10&gt;0, 'Task metrics - Group B'!CZ10)</f>
        <v>45</v>
      </c>
      <c r="AB10" s="44" t="s">
        <v>217</v>
      </c>
      <c r="AC10" s="44" t="s">
        <v>217</v>
      </c>
    </row>
    <row r="11" spans="1:29">
      <c r="A11" s="42">
        <v>6</v>
      </c>
      <c r="B11" s="43" t="s">
        <v>217</v>
      </c>
      <c r="C11" s="43">
        <f>IF('Task metrics - Group B'!D11&gt;0, 'Task metrics - Group B'!N11)</f>
        <v>180</v>
      </c>
      <c r="D11" s="43">
        <f>IF('Task metrics - Group B'!E11&gt;0, 'Task metrics - Group B'!O11)</f>
        <v>51</v>
      </c>
      <c r="E11" s="43" t="s">
        <v>217</v>
      </c>
      <c r="F11" s="43">
        <f>IF('Task metrics - Group B'!G11&gt;0, 'Task metrics - Group B'!Q11)</f>
        <v>180</v>
      </c>
      <c r="G11" s="43">
        <f>IF('Task metrics - Group B'!H11&gt;0, 'Task metrics - Group B'!R11)</f>
        <v>180</v>
      </c>
      <c r="H11" s="43">
        <f>IF('Task metrics - Group B'!I11&gt;0, 'Task metrics - Group B'!S11)</f>
        <v>79</v>
      </c>
      <c r="I11" s="43">
        <f>IF('Task metrics - Group B'!J11&gt;0, 'Task metrics - Group B'!T11)</f>
        <v>36</v>
      </c>
      <c r="K11" s="9">
        <v>6</v>
      </c>
      <c r="L11" s="44">
        <f>IF('Task metrics - Group B'!AT11&gt;0, 'Task metrics - Group B'!BD11)</f>
        <v>300</v>
      </c>
      <c r="M11" s="44">
        <f>IF('Task metrics - Group B'!AU11&gt;0, 'Task metrics - Group B'!BE11)</f>
        <v>155</v>
      </c>
      <c r="N11" s="44">
        <f>IF('Task metrics - Group B'!AV11&gt;0, 'Task metrics - Group B'!BF11)</f>
        <v>61</v>
      </c>
      <c r="O11" s="44" t="s">
        <v>217</v>
      </c>
      <c r="P11" s="44">
        <f>IF('Task metrics - Group B'!AX11&gt;0, 'Task metrics - Group B'!BH11)</f>
        <v>95</v>
      </c>
      <c r="Q11" s="44" t="s">
        <v>217</v>
      </c>
      <c r="R11" s="44" t="s">
        <v>217</v>
      </c>
      <c r="S11" s="44">
        <f>IF('Task metrics - Group B'!BA11&gt;0, 'Task metrics - Group B'!BK11)</f>
        <v>59</v>
      </c>
      <c r="U11" s="9">
        <v>6</v>
      </c>
      <c r="V11" s="44" t="s">
        <v>217</v>
      </c>
      <c r="W11" s="44" t="s">
        <v>217</v>
      </c>
      <c r="X11" s="44" t="s">
        <v>217</v>
      </c>
      <c r="Y11" s="44" t="s">
        <v>217</v>
      </c>
      <c r="Z11" s="44">
        <f>IF('Task metrics - Group B'!CO11&gt;0, 'Task metrics - Group B'!CY11)</f>
        <v>35</v>
      </c>
      <c r="AA11" s="44" t="s">
        <v>217</v>
      </c>
      <c r="AB11" s="44">
        <f>IF('Task metrics - Group B'!CQ11&gt;0, 'Task metrics - Group B'!DA11)</f>
        <v>85</v>
      </c>
      <c r="AC11" s="44">
        <f>IF('Task metrics - Group B'!CR11&gt;0, 'Task metrics - Group B'!DB11)</f>
        <v>31</v>
      </c>
    </row>
    <row r="12" spans="1:29">
      <c r="A12" s="42">
        <v>7</v>
      </c>
      <c r="B12" s="43">
        <f>IF('Task metrics - Group B'!C12&gt;0, 'Task metrics - Group B'!M12)</f>
        <v>300</v>
      </c>
      <c r="C12" s="43">
        <f>IF('Task metrics - Group B'!D12&gt;0, 'Task metrics - Group B'!N12)</f>
        <v>180</v>
      </c>
      <c r="D12" s="43" t="s">
        <v>217</v>
      </c>
      <c r="E12" s="43">
        <f>IF('Task metrics - Group B'!F12&gt;0, 'Task metrics - Group B'!P12)</f>
        <v>119</v>
      </c>
      <c r="F12" s="43">
        <f>IF('Task metrics - Group B'!G12&gt;0, 'Task metrics - Group B'!Q12)</f>
        <v>117</v>
      </c>
      <c r="G12" s="43">
        <f>IF('Task metrics - Group B'!H12&gt;0, 'Task metrics - Group B'!R12)</f>
        <v>32</v>
      </c>
      <c r="H12" s="43" t="s">
        <v>217</v>
      </c>
      <c r="I12" s="43" t="s">
        <v>217</v>
      </c>
      <c r="K12" s="9">
        <v>7</v>
      </c>
      <c r="L12" s="44" t="s">
        <v>217</v>
      </c>
      <c r="M12" s="44">
        <f>IF('Task metrics - Group B'!AU12&gt;0, 'Task metrics - Group B'!BE12)</f>
        <v>180</v>
      </c>
      <c r="N12" s="44" t="s">
        <v>217</v>
      </c>
      <c r="O12" s="44">
        <f>IF('Task metrics - Group B'!AW12&gt;0, 'Task metrics - Group B'!BG12)</f>
        <v>78</v>
      </c>
      <c r="P12" s="44" t="s">
        <v>217</v>
      </c>
      <c r="Q12" s="44">
        <f>IF('Task metrics - Group B'!AY12&gt;0, 'Task metrics - Group B'!BI12)</f>
        <v>54</v>
      </c>
      <c r="R12" s="44">
        <f>IF('Task metrics - Group B'!AZ12&gt;0, 'Task metrics - Group B'!BJ12)</f>
        <v>143</v>
      </c>
      <c r="S12" s="44">
        <f>IF('Task metrics - Group B'!BA12&gt;0, 'Task metrics - Group B'!BK12)</f>
        <v>127</v>
      </c>
      <c r="U12" s="9">
        <v>7</v>
      </c>
      <c r="V12" s="44" t="s">
        <v>217</v>
      </c>
      <c r="W12" s="44">
        <f>IF('Task metrics - Group B'!CL12&gt;0, 'Task metrics - Group B'!CV12)</f>
        <v>180</v>
      </c>
      <c r="X12" s="44" t="s">
        <v>217</v>
      </c>
      <c r="Y12" s="44">
        <f>IF('Task metrics - Group B'!CN12&gt;0, 'Task metrics - Group B'!CX12)</f>
        <v>169</v>
      </c>
      <c r="Z12" s="44" t="s">
        <v>217</v>
      </c>
      <c r="AA12" s="44" t="s">
        <v>217</v>
      </c>
      <c r="AB12" s="44" t="s">
        <v>217</v>
      </c>
      <c r="AC12" s="44">
        <f>IF('Task metrics - Group B'!CR12&gt;0, 'Task metrics - Group B'!DB12)</f>
        <v>152</v>
      </c>
    </row>
    <row r="13" spans="1:29">
      <c r="A13" s="42">
        <v>8</v>
      </c>
      <c r="B13" s="43">
        <f>IF('Task metrics - Group B'!C13&gt;0, 'Task metrics - Group B'!M13)</f>
        <v>300</v>
      </c>
      <c r="C13" s="43">
        <f>IF('Task metrics - Group B'!D13&gt;0, 'Task metrics - Group B'!N13)</f>
        <v>136</v>
      </c>
      <c r="D13" s="43">
        <f>IF('Task metrics - Group B'!E13&gt;0, 'Task metrics - Group B'!O13)</f>
        <v>178</v>
      </c>
      <c r="E13" s="43">
        <f>IF('Task metrics - Group B'!F13&gt;0, 'Task metrics - Group B'!P13)</f>
        <v>90</v>
      </c>
      <c r="F13" s="43">
        <f>IF('Task metrics - Group B'!G13&gt;0, 'Task metrics - Group B'!Q13)</f>
        <v>175</v>
      </c>
      <c r="G13" s="43">
        <f>IF('Task metrics - Group B'!H13&gt;0, 'Task metrics - Group B'!R13)</f>
        <v>64</v>
      </c>
      <c r="H13" s="43">
        <f>IF('Task metrics - Group B'!I13&gt;0, 'Task metrics - Group B'!S13)</f>
        <v>44</v>
      </c>
      <c r="I13" s="43">
        <f>IF('Task metrics - Group B'!J13&gt;0, 'Task metrics - Group B'!T13)</f>
        <v>55</v>
      </c>
      <c r="K13" s="9">
        <v>8</v>
      </c>
      <c r="L13" s="44">
        <f>IF('Task metrics - Group B'!AT13&gt;0, 'Task metrics - Group B'!BD13)</f>
        <v>183</v>
      </c>
      <c r="M13" s="44" t="s">
        <v>217</v>
      </c>
      <c r="N13" s="44" t="s">
        <v>217</v>
      </c>
      <c r="O13" s="44">
        <f>IF('Task metrics - Group B'!AW13&gt;0, 'Task metrics - Group B'!BG13)</f>
        <v>170</v>
      </c>
      <c r="P13" s="44">
        <f>IF('Task metrics - Group B'!AX13&gt;0, 'Task metrics - Group B'!BH13)</f>
        <v>129</v>
      </c>
      <c r="Q13" s="44">
        <f>IF('Task metrics - Group B'!AY13&gt;0, 'Task metrics - Group B'!BI13)</f>
        <v>102</v>
      </c>
      <c r="R13" s="44">
        <f>IF('Task metrics - Group B'!AZ13&gt;0, 'Task metrics - Group B'!BJ13)</f>
        <v>84</v>
      </c>
      <c r="S13" s="44">
        <f>IF('Task metrics - Group B'!BA13&gt;0, 'Task metrics - Group B'!BK13)</f>
        <v>180</v>
      </c>
      <c r="U13" s="9">
        <v>8</v>
      </c>
      <c r="V13" s="44">
        <f>IF('Task metrics - Group B'!CK13&gt;0, 'Task metrics - Group B'!CU13)</f>
        <v>300</v>
      </c>
      <c r="W13" s="44">
        <f>IF('Task metrics - Group B'!CL13&gt;0, 'Task metrics - Group B'!CV13)</f>
        <v>180</v>
      </c>
      <c r="X13" s="44">
        <f>IF('Task metrics - Group B'!CM13&gt;0, 'Task metrics - Group B'!CW13)</f>
        <v>180</v>
      </c>
      <c r="Y13" s="44" t="s">
        <v>217</v>
      </c>
      <c r="Z13" s="44" t="s">
        <v>217</v>
      </c>
      <c r="AA13" s="44" t="s">
        <v>217</v>
      </c>
      <c r="AB13" s="44" t="s">
        <v>217</v>
      </c>
      <c r="AC13" s="44">
        <f>IF('Task metrics - Group B'!CR13&gt;0, 'Task metrics - Group B'!DB13)</f>
        <v>116</v>
      </c>
    </row>
    <row r="14" spans="1:29">
      <c r="A14" s="42">
        <v>9</v>
      </c>
      <c r="B14" s="43">
        <f>IF('Task metrics - Group B'!C14&gt;0, 'Task metrics - Group B'!M14)</f>
        <v>181</v>
      </c>
      <c r="C14" s="43" t="s">
        <v>217</v>
      </c>
      <c r="D14" s="43">
        <f>IF('Task metrics - Group B'!E14&gt;0, 'Task metrics - Group B'!O14)</f>
        <v>131</v>
      </c>
      <c r="E14" s="43">
        <f>IF('Task metrics - Group B'!F14&gt;0, 'Task metrics - Group B'!P14)</f>
        <v>122</v>
      </c>
      <c r="F14" s="43">
        <f>IF('Task metrics - Group B'!G14&gt;0, 'Task metrics - Group B'!Q14)</f>
        <v>111</v>
      </c>
      <c r="G14" s="43">
        <f>IF('Task metrics - Group B'!H14&gt;0, 'Task metrics - Group B'!R14)</f>
        <v>79</v>
      </c>
      <c r="H14" s="43" t="s">
        <v>217</v>
      </c>
      <c r="I14" s="43">
        <f>IF('Task metrics - Group B'!J14&gt;0, 'Task metrics - Group B'!T14)</f>
        <v>112</v>
      </c>
      <c r="K14" s="9">
        <v>9</v>
      </c>
      <c r="L14" s="44">
        <f>IF('Task metrics - Group B'!AT14&gt;0, 'Task metrics - Group B'!BD14)</f>
        <v>272</v>
      </c>
      <c r="M14" s="44" t="s">
        <v>217</v>
      </c>
      <c r="N14" s="44" t="s">
        <v>217</v>
      </c>
      <c r="O14" s="44" t="s">
        <v>217</v>
      </c>
      <c r="P14" s="44">
        <f>IF('Task metrics - Group B'!AX14&gt;0, 'Task metrics - Group B'!BH14)</f>
        <v>180</v>
      </c>
      <c r="Q14" s="44" t="s">
        <v>217</v>
      </c>
      <c r="R14" s="44" t="s">
        <v>217</v>
      </c>
      <c r="S14" s="44" t="s">
        <v>217</v>
      </c>
      <c r="U14" s="9">
        <v>9</v>
      </c>
      <c r="V14" s="44" t="s">
        <v>217</v>
      </c>
      <c r="W14" s="44" t="s">
        <v>217</v>
      </c>
      <c r="X14" s="44" t="s">
        <v>217</v>
      </c>
      <c r="Y14" s="44" t="s">
        <v>217</v>
      </c>
      <c r="Z14" s="44" t="s">
        <v>217</v>
      </c>
      <c r="AA14" s="44" t="s">
        <v>217</v>
      </c>
      <c r="AB14" s="44" t="s">
        <v>217</v>
      </c>
      <c r="AC14" s="44">
        <f>IF('Task metrics - Group B'!CR14&gt;0, 'Task metrics - Group B'!DB14)</f>
        <v>180</v>
      </c>
    </row>
    <row r="15" spans="1:29">
      <c r="A15" s="42">
        <v>10</v>
      </c>
      <c r="B15" s="43">
        <f>IF('Task metrics - Group B'!C15&gt;0, 'Task metrics - Group B'!M15)</f>
        <v>300</v>
      </c>
      <c r="C15" s="43">
        <f>IF('Task metrics - Group B'!D15&gt;0, 'Task metrics - Group B'!N15)</f>
        <v>163</v>
      </c>
      <c r="D15" s="43">
        <f>IF('Task metrics - Group B'!E15&gt;0, 'Task metrics - Group B'!O15)</f>
        <v>103</v>
      </c>
      <c r="E15" s="43">
        <f>IF('Task metrics - Group B'!F15&gt;0, 'Task metrics - Group B'!P15)</f>
        <v>71</v>
      </c>
      <c r="F15" s="43">
        <f>IF('Task metrics - Group B'!G15&gt;0, 'Task metrics - Group B'!Q15)</f>
        <v>115</v>
      </c>
      <c r="G15" s="43">
        <f>IF('Task metrics - Group B'!H15&gt;0, 'Task metrics - Group B'!R15)</f>
        <v>51</v>
      </c>
      <c r="H15" s="43">
        <f>IF('Task metrics - Group B'!I15&gt;0, 'Task metrics - Group B'!S15)</f>
        <v>41</v>
      </c>
      <c r="I15" s="43">
        <f>IF('Task metrics - Group B'!J15&gt;0, 'Task metrics - Group B'!T15)</f>
        <v>64</v>
      </c>
      <c r="K15" s="9">
        <v>10</v>
      </c>
      <c r="L15" s="44">
        <f>IF('Task metrics - Group B'!AT15&gt;0, 'Task metrics - Group B'!BD15)</f>
        <v>280</v>
      </c>
      <c r="M15" s="44">
        <f>IF('Task metrics - Group B'!AU15&gt;0, 'Task metrics - Group B'!BE15)</f>
        <v>180</v>
      </c>
      <c r="N15" s="44">
        <f>IF('Task metrics - Group B'!AV15&gt;0, 'Task metrics - Group B'!BF15)</f>
        <v>160</v>
      </c>
      <c r="O15" s="44" t="s">
        <v>217</v>
      </c>
      <c r="P15" s="44">
        <f>IF('Task metrics - Group B'!AX15&gt;0, 'Task metrics - Group B'!BH15)</f>
        <v>152</v>
      </c>
      <c r="Q15" s="44" t="s">
        <v>217</v>
      </c>
      <c r="R15" s="44">
        <f>IF('Task metrics - Group B'!AZ15&gt;0, 'Task metrics - Group B'!BJ15)</f>
        <v>180</v>
      </c>
      <c r="S15" s="44">
        <f>IF('Task metrics - Group B'!BA15&gt;0, 'Task metrics - Group B'!BK15)</f>
        <v>180</v>
      </c>
      <c r="U15" s="9">
        <v>10</v>
      </c>
      <c r="V15" s="44">
        <f>IF('Task metrics - Group B'!CK15&gt;0, 'Task metrics - Group B'!CU15)</f>
        <v>300</v>
      </c>
      <c r="W15" s="44">
        <f>IF('Task metrics - Group B'!CL15&gt;0, 'Task metrics - Group B'!CV15)</f>
        <v>175</v>
      </c>
      <c r="X15" s="44">
        <f>IF('Task metrics - Group B'!CM15&gt;0, 'Task metrics - Group B'!CW15)</f>
        <v>180</v>
      </c>
      <c r="Y15" s="44">
        <f>IF('Task metrics - Group B'!CN15&gt;0, 'Task metrics - Group B'!CX15)</f>
        <v>66</v>
      </c>
      <c r="Z15" s="44">
        <f>IF('Task metrics - Group B'!CO15&gt;0, 'Task metrics - Group B'!CY15)</f>
        <v>52</v>
      </c>
      <c r="AA15" s="44" t="s">
        <v>217</v>
      </c>
      <c r="AB15" s="44">
        <f>IF('Task metrics - Group B'!CQ15&gt;0, 'Task metrics - Group B'!DA15)</f>
        <v>105</v>
      </c>
      <c r="AC15" s="44">
        <f>IF('Task metrics - Group B'!CR15&gt;0, 'Task metrics - Group B'!DB15)</f>
        <v>65</v>
      </c>
    </row>
    <row r="16" spans="1:29">
      <c r="A16" s="42">
        <v>11</v>
      </c>
      <c r="B16" s="43">
        <f>IF('Task metrics - Group B'!C16&gt;0, 'Task metrics - Group B'!M16)</f>
        <v>300</v>
      </c>
      <c r="C16" s="43">
        <f>IF('Task metrics - Group B'!D16&gt;0, 'Task metrics - Group B'!N16)</f>
        <v>180</v>
      </c>
      <c r="D16" s="43" t="s">
        <v>217</v>
      </c>
      <c r="E16" s="43" t="s">
        <v>217</v>
      </c>
      <c r="F16" s="43">
        <f>IF('Task metrics - Group B'!G16&gt;0, 'Task metrics - Group B'!Q16)</f>
        <v>106</v>
      </c>
      <c r="G16" s="43">
        <f>IF('Task metrics - Group B'!H16&gt;0, 'Task metrics - Group B'!R16)</f>
        <v>59</v>
      </c>
      <c r="H16" s="43" t="s">
        <v>217</v>
      </c>
      <c r="I16" s="43">
        <f>IF('Task metrics - Group B'!J16&gt;0, 'Task metrics - Group B'!T16)</f>
        <v>36</v>
      </c>
      <c r="K16" s="9">
        <v>11</v>
      </c>
      <c r="L16" s="44">
        <f>IF('Task metrics - Group B'!AT16&gt;0, 'Task metrics - Group B'!BD16)</f>
        <v>250</v>
      </c>
      <c r="M16" s="44" t="s">
        <v>217</v>
      </c>
      <c r="N16" s="44">
        <f>IF('Task metrics - Group B'!AV16&gt;0, 'Task metrics - Group B'!BF16)</f>
        <v>158</v>
      </c>
      <c r="O16" s="44" t="s">
        <v>217</v>
      </c>
      <c r="P16" s="44">
        <f>IF('Task metrics - Group B'!AX16&gt;0, 'Task metrics - Group B'!BH16)</f>
        <v>82</v>
      </c>
      <c r="Q16" s="44">
        <f>IF('Task metrics - Group B'!AY16&gt;0, 'Task metrics - Group B'!BI16)</f>
        <v>69</v>
      </c>
      <c r="R16" s="44" t="s">
        <v>217</v>
      </c>
      <c r="S16" s="44">
        <f>IF('Task metrics - Group B'!BA16&gt;0, 'Task metrics - Group B'!BK16)</f>
        <v>107</v>
      </c>
      <c r="U16" s="9">
        <v>11</v>
      </c>
      <c r="V16" s="44">
        <f>IF('Task metrics - Group B'!CK16&gt;0, 'Task metrics - Group B'!CU16)</f>
        <v>212</v>
      </c>
      <c r="W16" s="44">
        <f>IF('Task metrics - Group B'!CL16&gt;0, 'Task metrics - Group B'!CV16)</f>
        <v>53</v>
      </c>
      <c r="X16" s="44">
        <f>IF('Task metrics - Group B'!CM16&gt;0, 'Task metrics - Group B'!CW16)</f>
        <v>180</v>
      </c>
      <c r="Y16" s="44" t="s">
        <v>217</v>
      </c>
      <c r="Z16" s="44">
        <f>IF('Task metrics - Group B'!CO16&gt;0, 'Task metrics - Group B'!CY16)</f>
        <v>130</v>
      </c>
      <c r="AA16" s="44">
        <f>IF('Task metrics - Group B'!CP16&gt;0, 'Task metrics - Group B'!CZ16)</f>
        <v>68</v>
      </c>
      <c r="AB16" s="44">
        <f>IF('Task metrics - Group B'!CQ16&gt;0, 'Task metrics - Group B'!DA16)</f>
        <v>41</v>
      </c>
      <c r="AC16" s="44">
        <f>IF('Task metrics - Group B'!CR16&gt;0, 'Task metrics - Group B'!DB16)</f>
        <v>56</v>
      </c>
    </row>
    <row r="17" spans="1:29">
      <c r="A17" s="42">
        <v>12</v>
      </c>
      <c r="B17" s="43">
        <f>IF('Task metrics - Group B'!C17&gt;0, 'Task metrics - Group B'!M17)</f>
        <v>139</v>
      </c>
      <c r="C17" s="43">
        <f>IF('Task metrics - Group B'!D17&gt;0, 'Task metrics - Group B'!N17)</f>
        <v>180</v>
      </c>
      <c r="D17" s="43">
        <f>IF('Task metrics - Group B'!E17&gt;0, 'Task metrics - Group B'!O17)</f>
        <v>101</v>
      </c>
      <c r="E17" s="43" t="s">
        <v>217</v>
      </c>
      <c r="F17" s="43">
        <f>IF('Task metrics - Group B'!G17&gt;0, 'Task metrics - Group B'!Q17)</f>
        <v>92</v>
      </c>
      <c r="G17" s="43">
        <f>IF('Task metrics - Group B'!H17&gt;0, 'Task metrics - Group B'!R17)</f>
        <v>29</v>
      </c>
      <c r="H17" s="43">
        <f>IF('Task metrics - Group B'!I17&gt;0, 'Task metrics - Group B'!S17)</f>
        <v>76</v>
      </c>
      <c r="I17" s="43">
        <f>IF('Task metrics - Group B'!J17&gt;0, 'Task metrics - Group B'!T17)</f>
        <v>41</v>
      </c>
      <c r="K17" s="9">
        <v>12</v>
      </c>
      <c r="L17" s="44">
        <f>IF('Task metrics - Group B'!AT17&gt;0, 'Task metrics - Group B'!BD17)</f>
        <v>156</v>
      </c>
      <c r="M17" s="44" t="s">
        <v>217</v>
      </c>
      <c r="N17" s="44" t="s">
        <v>217</v>
      </c>
      <c r="O17" s="44">
        <f>IF('Task metrics - Group B'!AW17&gt;0, 'Task metrics - Group B'!BG17)</f>
        <v>105</v>
      </c>
      <c r="P17" s="44">
        <f>IF('Task metrics - Group B'!AX17&gt;0, 'Task metrics - Group B'!BH17)</f>
        <v>180</v>
      </c>
      <c r="Q17" s="44" t="s">
        <v>217</v>
      </c>
      <c r="R17" s="44">
        <f>IF('Task metrics - Group B'!AZ17&gt;0, 'Task metrics - Group B'!BJ17)</f>
        <v>82</v>
      </c>
      <c r="S17" s="44">
        <f>IF('Task metrics - Group B'!BA17&gt;0, 'Task metrics - Group B'!BK17)</f>
        <v>180</v>
      </c>
      <c r="U17" s="9">
        <v>12</v>
      </c>
      <c r="V17" s="44">
        <f>IF('Task metrics - Group B'!CK17&gt;0, 'Task metrics - Group B'!CU17)</f>
        <v>300</v>
      </c>
      <c r="W17" s="44">
        <f>IF('Task metrics - Group B'!CL17&gt;0, 'Task metrics - Group B'!CV17)</f>
        <v>180</v>
      </c>
      <c r="X17" s="44" t="s">
        <v>217</v>
      </c>
      <c r="Y17" s="44" t="s">
        <v>217</v>
      </c>
      <c r="Z17" s="44">
        <f>IF('Task metrics - Group B'!CO17&gt;0, 'Task metrics - Group B'!CY17)</f>
        <v>152</v>
      </c>
      <c r="AA17" s="44">
        <f>IF('Task metrics - Group B'!CP17&gt;0, 'Task metrics - Group B'!CZ17)</f>
        <v>60</v>
      </c>
      <c r="AB17" s="44">
        <f>IF('Task metrics - Group B'!CQ17&gt;0, 'Task metrics - Group B'!DA17)</f>
        <v>61</v>
      </c>
      <c r="AC17" s="44" t="s">
        <v>217</v>
      </c>
    </row>
    <row r="18" spans="1:29">
      <c r="A18" s="42">
        <v>13</v>
      </c>
      <c r="B18" s="43">
        <f>IF('Task metrics - Group B'!C18&gt;0, 'Task metrics - Group B'!M18)</f>
        <v>209</v>
      </c>
      <c r="C18" s="43">
        <f>IF('Task metrics - Group B'!D18&gt;0, 'Task metrics - Group B'!N18)</f>
        <v>129</v>
      </c>
      <c r="D18" s="43">
        <f>IF('Task metrics - Group B'!E18&gt;0, 'Task metrics - Group B'!O18)</f>
        <v>79</v>
      </c>
      <c r="E18" s="43">
        <f>IF('Task metrics - Group B'!F18&gt;0, 'Task metrics - Group B'!P18)</f>
        <v>69</v>
      </c>
      <c r="F18" s="43">
        <f>IF('Task metrics - Group B'!G18&gt;0, 'Task metrics - Group B'!Q18)</f>
        <v>59</v>
      </c>
      <c r="G18" s="43">
        <f>IF('Task metrics - Group B'!H18&gt;0, 'Task metrics - Group B'!R18)</f>
        <v>51</v>
      </c>
      <c r="H18" s="43">
        <f>IF('Task metrics - Group B'!I18&gt;0, 'Task metrics - Group B'!S18)</f>
        <v>28</v>
      </c>
      <c r="I18" s="43">
        <f>IF('Task metrics - Group B'!J18&gt;0, 'Task metrics - Group B'!T18)</f>
        <v>19</v>
      </c>
      <c r="K18" s="9">
        <v>13</v>
      </c>
      <c r="L18" s="44">
        <f>IF('Task metrics - Group B'!AT18&gt;0, 'Task metrics - Group B'!BD18)</f>
        <v>182</v>
      </c>
      <c r="M18" s="44" t="s">
        <v>217</v>
      </c>
      <c r="N18" s="44" t="s">
        <v>217</v>
      </c>
      <c r="O18" s="44">
        <f>IF('Task metrics - Group B'!AW18&gt;0, 'Task metrics - Group B'!BG18)</f>
        <v>71</v>
      </c>
      <c r="P18" s="44">
        <f>IF('Task metrics - Group B'!AX18&gt;0, 'Task metrics - Group B'!BH18)</f>
        <v>94</v>
      </c>
      <c r="Q18" s="44">
        <f>IF('Task metrics - Group B'!AY18&gt;0, 'Task metrics - Group B'!BI18)</f>
        <v>48</v>
      </c>
      <c r="R18" s="44">
        <f>IF('Task metrics - Group B'!AZ18&gt;0, 'Task metrics - Group B'!BJ18)</f>
        <v>38</v>
      </c>
      <c r="S18" s="44">
        <f>IF('Task metrics - Group B'!BA18&gt;0, 'Task metrics - Group B'!BK18)</f>
        <v>101</v>
      </c>
      <c r="U18" s="9">
        <v>13</v>
      </c>
      <c r="V18" s="44">
        <f>IF('Task metrics - Group B'!CK18&gt;0, 'Task metrics - Group B'!CU18)</f>
        <v>209</v>
      </c>
      <c r="W18" s="44">
        <f>IF('Task metrics - Group B'!CL18&gt;0, 'Task metrics - Group B'!CV18)</f>
        <v>180</v>
      </c>
      <c r="X18" s="44">
        <f>IF('Task metrics - Group B'!CM18&gt;0, 'Task metrics - Group B'!CW18)</f>
        <v>136</v>
      </c>
      <c r="Y18" s="44">
        <f>IF('Task metrics - Group B'!CN18&gt;0, 'Task metrics - Group B'!CX18)</f>
        <v>36</v>
      </c>
      <c r="Z18" s="44">
        <f>IF('Task metrics - Group B'!CO18&gt;0, 'Task metrics - Group B'!CY18)</f>
        <v>153</v>
      </c>
      <c r="AA18" s="44">
        <f>IF('Task metrics - Group B'!CP18&gt;0, 'Task metrics - Group B'!CZ18)</f>
        <v>64</v>
      </c>
      <c r="AB18" s="44">
        <f>IF('Task metrics - Group B'!CQ18&gt;0, 'Task metrics - Group B'!DA18)</f>
        <v>40</v>
      </c>
      <c r="AC18" s="44">
        <f>IF('Task metrics - Group B'!CR18&gt;0, 'Task metrics - Group B'!DB18)</f>
        <v>65</v>
      </c>
    </row>
    <row r="19" spans="1:29">
      <c r="A19" s="42">
        <v>14</v>
      </c>
      <c r="B19" s="43">
        <f>IF('Task metrics - Group B'!C19&gt;0, 'Task metrics - Group B'!M19)</f>
        <v>300</v>
      </c>
      <c r="C19" s="43">
        <f>IF('Task metrics - Group B'!D19&gt;0, 'Task metrics - Group B'!N19)</f>
        <v>180</v>
      </c>
      <c r="D19" s="43">
        <f>IF('Task metrics - Group B'!E19&gt;0, 'Task metrics - Group B'!O19)</f>
        <v>180</v>
      </c>
      <c r="E19" s="43">
        <f>IF('Task metrics - Group B'!F19&gt;0, 'Task metrics - Group B'!P19)</f>
        <v>169</v>
      </c>
      <c r="F19" s="43">
        <f>IF('Task metrics - Group B'!G19&gt;0, 'Task metrics - Group B'!Q19)</f>
        <v>55</v>
      </c>
      <c r="G19" s="43">
        <f>IF('Task metrics - Group B'!H19&gt;0, 'Task metrics - Group B'!R19)</f>
        <v>42</v>
      </c>
      <c r="H19" s="43">
        <f>IF('Task metrics - Group B'!I19&gt;0, 'Task metrics - Group B'!S19)</f>
        <v>78</v>
      </c>
      <c r="I19" s="43">
        <f>IF('Task metrics - Group B'!J19&gt;0, 'Task metrics - Group B'!T19)</f>
        <v>45</v>
      </c>
      <c r="K19" s="9">
        <v>14</v>
      </c>
      <c r="L19" s="44">
        <f>IF('Task metrics - Group B'!AT19&gt;0, 'Task metrics - Group B'!BD19)</f>
        <v>300</v>
      </c>
      <c r="M19" s="44" t="s">
        <v>217</v>
      </c>
      <c r="N19" s="44">
        <f>IF('Task metrics - Group B'!AV19&gt;0, 'Task metrics - Group B'!BF19)</f>
        <v>179</v>
      </c>
      <c r="O19" s="44" t="s">
        <v>217</v>
      </c>
      <c r="P19" s="44">
        <f>IF('Task metrics - Group B'!AX19&gt;0, 'Task metrics - Group B'!BH19)</f>
        <v>179</v>
      </c>
      <c r="Q19" s="44">
        <f>IF('Task metrics - Group B'!AY19&gt;0, 'Task metrics - Group B'!BI19)</f>
        <v>148</v>
      </c>
      <c r="R19" s="44" t="s">
        <v>217</v>
      </c>
      <c r="S19" s="44">
        <f>IF('Task metrics - Group B'!BA19&gt;0, 'Task metrics - Group B'!BK19)</f>
        <v>180</v>
      </c>
      <c r="U19" s="9">
        <v>14</v>
      </c>
      <c r="V19" s="44">
        <f>IF('Task metrics - Group B'!CK19&gt;0, 'Task metrics - Group B'!CU19)</f>
        <v>300</v>
      </c>
      <c r="W19" s="44">
        <f>IF('Task metrics - Group B'!CL19&gt;0, 'Task metrics - Group B'!CV19)</f>
        <v>120</v>
      </c>
      <c r="X19" s="44">
        <f>IF('Task metrics - Group B'!CM19&gt;0, 'Task metrics - Group B'!CW19)</f>
        <v>180</v>
      </c>
      <c r="Y19" s="44">
        <f>IF('Task metrics - Group B'!CN19&gt;0, 'Task metrics - Group B'!CX19)</f>
        <v>42</v>
      </c>
      <c r="Z19" s="44" t="s">
        <v>217</v>
      </c>
      <c r="AA19" s="44">
        <f>IF('Task metrics - Group B'!CP19&gt;0, 'Task metrics - Group B'!CZ19)</f>
        <v>179</v>
      </c>
      <c r="AB19" s="44">
        <f>IF('Task metrics - Group B'!CQ19&gt;0, 'Task metrics - Group B'!DA19)</f>
        <v>159</v>
      </c>
      <c r="AC19" s="44">
        <f>IF('Task metrics - Group B'!CR19&gt;0, 'Task metrics - Group B'!DB19)</f>
        <v>180</v>
      </c>
    </row>
    <row r="20" spans="1:29">
      <c r="A20" s="42">
        <v>15</v>
      </c>
      <c r="B20" s="43" t="s">
        <v>217</v>
      </c>
      <c r="C20" s="43" t="s">
        <v>217</v>
      </c>
      <c r="D20" s="43">
        <f>IF('Task metrics - Group B'!E20&gt;0, 'Task metrics - Group B'!O20)</f>
        <v>98</v>
      </c>
      <c r="E20" s="43">
        <f>IF('Task metrics - Group B'!F20&gt;0, 'Task metrics - Group B'!P20)</f>
        <v>162</v>
      </c>
      <c r="F20" s="43">
        <f>IF('Task metrics - Group B'!G20&gt;0, 'Task metrics - Group B'!Q20)</f>
        <v>82</v>
      </c>
      <c r="G20" s="43">
        <f>IF('Task metrics - Group B'!H20&gt;0, 'Task metrics - Group B'!R20)</f>
        <v>64</v>
      </c>
      <c r="H20" s="43">
        <f>IF('Task metrics - Group B'!I20&gt;0, 'Task metrics - Group B'!S20)</f>
        <v>28</v>
      </c>
      <c r="I20" s="43">
        <f>IF('Task metrics - Group B'!J20&gt;0, 'Task metrics - Group B'!T20)</f>
        <v>84</v>
      </c>
      <c r="K20" s="9">
        <v>15</v>
      </c>
      <c r="L20" s="44">
        <f>IF('Task metrics - Group B'!AT20&gt;0, 'Task metrics - Group B'!BD20)</f>
        <v>269</v>
      </c>
      <c r="M20" s="44" t="s">
        <v>217</v>
      </c>
      <c r="N20" s="44" t="s">
        <v>217</v>
      </c>
      <c r="O20" s="44" t="s">
        <v>217</v>
      </c>
      <c r="P20" s="44" t="s">
        <v>217</v>
      </c>
      <c r="Q20" s="44" t="s">
        <v>217</v>
      </c>
      <c r="R20" s="44" t="s">
        <v>217</v>
      </c>
      <c r="S20" s="44" t="s">
        <v>217</v>
      </c>
      <c r="U20" s="9">
        <v>15</v>
      </c>
      <c r="V20" s="44" t="s">
        <v>217</v>
      </c>
      <c r="W20" s="44">
        <f>IF('Task metrics - Group B'!CL20&gt;0, 'Task metrics - Group B'!CV20)</f>
        <v>101</v>
      </c>
      <c r="X20" s="44">
        <f>IF('Task metrics - Group B'!CM20&gt;0, 'Task metrics - Group B'!CW20)</f>
        <v>180</v>
      </c>
      <c r="Y20" s="44">
        <f>IF('Task metrics - Group B'!CN20&gt;0, 'Task metrics - Group B'!CX20)</f>
        <v>180</v>
      </c>
      <c r="Z20" s="44">
        <f>IF('Task metrics - Group B'!CO20&gt;0, 'Task metrics - Group B'!CY20)</f>
        <v>180</v>
      </c>
      <c r="AA20" s="44">
        <f>IF('Task metrics - Group B'!CP20&gt;0, 'Task metrics - Group B'!CZ20)</f>
        <v>151</v>
      </c>
      <c r="AB20" s="44">
        <f>IF('Task metrics - Group B'!CQ20&gt;0, 'Task metrics - Group B'!DA20)</f>
        <v>64</v>
      </c>
      <c r="AC20" s="44">
        <f>IF('Task metrics - Group B'!CR20&gt;0, 'Task metrics - Group B'!DB20)</f>
        <v>122</v>
      </c>
    </row>
    <row r="21" spans="1:29">
      <c r="A21" s="42">
        <v>16</v>
      </c>
      <c r="B21" s="43" t="s">
        <v>217</v>
      </c>
      <c r="C21" s="43" t="s">
        <v>217</v>
      </c>
      <c r="D21" s="43" t="s">
        <v>217</v>
      </c>
      <c r="E21" s="43" t="s">
        <v>217</v>
      </c>
      <c r="F21" s="43">
        <f>IF('Task metrics - Group B'!G21&gt;0, 'Task metrics - Group B'!Q21)</f>
        <v>180</v>
      </c>
      <c r="G21" s="43">
        <f>IF('Task metrics - Group B'!H21&gt;0, 'Task metrics - Group B'!R21)</f>
        <v>180</v>
      </c>
      <c r="H21" s="43">
        <f>IF('Task metrics - Group B'!I21&gt;0, 'Task metrics - Group B'!S21)</f>
        <v>180</v>
      </c>
      <c r="I21" s="43" t="s">
        <v>217</v>
      </c>
      <c r="K21" s="9">
        <v>16</v>
      </c>
      <c r="L21" s="44">
        <f>IF('Task metrics - Group B'!AT21&gt;0, 'Task metrics - Group B'!BD21)</f>
        <v>138</v>
      </c>
      <c r="M21" s="44" t="s">
        <v>217</v>
      </c>
      <c r="N21" s="44" t="s">
        <v>217</v>
      </c>
      <c r="O21" s="44" t="s">
        <v>217</v>
      </c>
      <c r="P21" s="44" t="s">
        <v>217</v>
      </c>
      <c r="Q21" s="44" t="s">
        <v>217</v>
      </c>
      <c r="R21" s="44">
        <f>IF('Task metrics - Group B'!AZ21&gt;0, 'Task metrics - Group B'!BJ21)</f>
        <v>180</v>
      </c>
      <c r="S21" s="44" t="s">
        <v>217</v>
      </c>
      <c r="U21" s="9">
        <v>16</v>
      </c>
      <c r="V21" s="44" t="s">
        <v>217</v>
      </c>
      <c r="W21" s="44">
        <f>IF('Task metrics - Group B'!CL21&gt;0, 'Task metrics - Group B'!CV21)</f>
        <v>83</v>
      </c>
      <c r="X21" s="44">
        <f>IF('Task metrics - Group B'!CM21&gt;0, 'Task metrics - Group B'!CW21)</f>
        <v>180</v>
      </c>
      <c r="Y21" s="44">
        <f>IF('Task metrics - Group B'!CN21&gt;0, 'Task metrics - Group B'!CX21)</f>
        <v>169</v>
      </c>
      <c r="Z21" s="44" t="s">
        <v>217</v>
      </c>
      <c r="AA21" s="44" t="s">
        <v>217</v>
      </c>
      <c r="AB21" s="44" t="s">
        <v>217</v>
      </c>
      <c r="AC21" s="44" t="s">
        <v>217</v>
      </c>
    </row>
    <row r="22" spans="1:29">
      <c r="A22" s="42">
        <v>17</v>
      </c>
      <c r="B22" s="43">
        <f>IF('Task metrics - Group B'!C22&gt;0, 'Task metrics - Group B'!M22)</f>
        <v>300</v>
      </c>
      <c r="C22" s="43">
        <f>IF('Task metrics - Group B'!D22&gt;0, 'Task metrics - Group B'!N22)</f>
        <v>180</v>
      </c>
      <c r="D22" s="43">
        <f>IF('Task metrics - Group B'!E22&gt;0, 'Task metrics - Group B'!O22)</f>
        <v>127</v>
      </c>
      <c r="E22" s="43">
        <f>IF('Task metrics - Group B'!F22&gt;0, 'Task metrics - Group B'!P22)</f>
        <v>46</v>
      </c>
      <c r="F22" s="43">
        <f>IF('Task metrics - Group B'!G22&gt;0, 'Task metrics - Group B'!Q22)</f>
        <v>100</v>
      </c>
      <c r="G22" s="43">
        <f>IF('Task metrics - Group B'!H22&gt;0, 'Task metrics - Group B'!R22)</f>
        <v>27</v>
      </c>
      <c r="H22" s="43">
        <f>IF('Task metrics - Group B'!I22&gt;0, 'Task metrics - Group B'!S22)</f>
        <v>32</v>
      </c>
      <c r="I22" s="43">
        <f>IF('Task metrics - Group B'!J22&gt;0, 'Task metrics - Group B'!T22)</f>
        <v>36</v>
      </c>
      <c r="K22" s="9">
        <v>17</v>
      </c>
      <c r="L22" s="44">
        <f>IF('Task metrics - Group B'!AT22&gt;0, 'Task metrics - Group B'!BD22)</f>
        <v>207</v>
      </c>
      <c r="M22" s="44" t="s">
        <v>217</v>
      </c>
      <c r="N22" s="44" t="s">
        <v>217</v>
      </c>
      <c r="O22" s="44" t="s">
        <v>217</v>
      </c>
      <c r="P22" s="44">
        <f>IF('Task metrics - Group B'!AX22&gt;0, 'Task metrics - Group B'!BH22)</f>
        <v>159</v>
      </c>
      <c r="Q22" s="44" t="s">
        <v>217</v>
      </c>
      <c r="R22" s="44" t="s">
        <v>217</v>
      </c>
      <c r="S22" s="44">
        <f>IF('Task metrics - Group B'!BA22&gt;0, 'Task metrics - Group B'!BK22)</f>
        <v>128</v>
      </c>
      <c r="U22" s="9">
        <v>17</v>
      </c>
      <c r="V22" s="44" t="s">
        <v>217</v>
      </c>
      <c r="W22" s="44">
        <f>IF('Task metrics - Group B'!CL22&gt;0, 'Task metrics - Group B'!CV22)</f>
        <v>158</v>
      </c>
      <c r="X22" s="44">
        <f>IF('Task metrics - Group B'!CM22&gt;0, 'Task metrics - Group B'!CW22)</f>
        <v>120</v>
      </c>
      <c r="Y22" s="44">
        <f>IF('Task metrics - Group B'!CN22&gt;0, 'Task metrics - Group B'!CX22)</f>
        <v>53</v>
      </c>
      <c r="Z22" s="44" t="s">
        <v>217</v>
      </c>
      <c r="AA22" s="44">
        <f>IF('Task metrics - Group B'!CP22&gt;0, 'Task metrics - Group B'!CZ22)</f>
        <v>145</v>
      </c>
      <c r="AB22" s="44">
        <f>IF('Task metrics - Group B'!CQ22&gt;0, 'Task metrics - Group B'!DA22)</f>
        <v>39</v>
      </c>
      <c r="AC22" s="44">
        <f>IF('Task metrics - Group B'!CR22&gt;0, 'Task metrics - Group B'!DB22)</f>
        <v>66</v>
      </c>
    </row>
    <row r="23" spans="1:29">
      <c r="A23" s="42">
        <v>18</v>
      </c>
      <c r="B23" s="43">
        <f>IF('Task metrics - Group B'!C23&gt;0, 'Task metrics - Group B'!M23)</f>
        <v>249</v>
      </c>
      <c r="C23" s="43">
        <f>IF('Task metrics - Group B'!D23&gt;0, 'Task metrics - Group B'!N23)</f>
        <v>180</v>
      </c>
      <c r="D23" s="43">
        <f>IF('Task metrics - Group B'!E23&gt;0, 'Task metrics - Group B'!O23)</f>
        <v>83</v>
      </c>
      <c r="E23" s="43">
        <f>IF('Task metrics - Group B'!F23&gt;0, 'Task metrics - Group B'!P23)</f>
        <v>44</v>
      </c>
      <c r="F23" s="43">
        <f>IF('Task metrics - Group B'!G23&gt;0, 'Task metrics - Group B'!Q23)</f>
        <v>34</v>
      </c>
      <c r="G23" s="43">
        <f>IF('Task metrics - Group B'!H23&gt;0, 'Task metrics - Group B'!R23)</f>
        <v>22</v>
      </c>
      <c r="H23" s="43">
        <f>IF('Task metrics - Group B'!I23&gt;0, 'Task metrics - Group B'!S23)</f>
        <v>29</v>
      </c>
      <c r="I23" s="43">
        <f>IF('Task metrics - Group B'!J23&gt;0, 'Task metrics - Group B'!T23)</f>
        <v>17</v>
      </c>
      <c r="K23" s="9">
        <v>18</v>
      </c>
      <c r="L23" s="44">
        <f>IF('Task metrics - Group B'!AT23&gt;0, 'Task metrics - Group B'!BD23)</f>
        <v>189</v>
      </c>
      <c r="M23" s="44">
        <f>IF('Task metrics - Group B'!AU23&gt;0, 'Task metrics - Group B'!BE23)</f>
        <v>180</v>
      </c>
      <c r="N23" s="44">
        <f>IF('Task metrics - Group B'!AV23&gt;0, 'Task metrics - Group B'!BF23)</f>
        <v>47</v>
      </c>
      <c r="O23" s="44" t="s">
        <v>217</v>
      </c>
      <c r="P23" s="44">
        <f>IF('Task metrics - Group B'!AX23&gt;0, 'Task metrics - Group B'!BH23)</f>
        <v>69</v>
      </c>
      <c r="Q23" s="44" t="s">
        <v>217</v>
      </c>
      <c r="R23" s="44" t="s">
        <v>217</v>
      </c>
      <c r="S23" s="44" t="s">
        <v>217</v>
      </c>
      <c r="U23" s="9">
        <v>18</v>
      </c>
      <c r="V23" s="44">
        <f>IF('Task metrics - Group B'!CK23&gt;0, 'Task metrics - Group B'!CU23)</f>
        <v>229</v>
      </c>
      <c r="W23" s="44">
        <f>IF('Task metrics - Group B'!CL23&gt;0, 'Task metrics - Group B'!CV23)</f>
        <v>36</v>
      </c>
      <c r="X23" s="44">
        <f>IF('Task metrics - Group B'!CM23&gt;0, 'Task metrics - Group B'!CW23)</f>
        <v>77</v>
      </c>
      <c r="Y23" s="44">
        <f>IF('Task metrics - Group B'!CN23&gt;0, 'Task metrics - Group B'!CX23)</f>
        <v>86</v>
      </c>
      <c r="Z23" s="44">
        <f>IF('Task metrics - Group B'!CO23&gt;0, 'Task metrics - Group B'!CY23)</f>
        <v>23</v>
      </c>
      <c r="AA23" s="44">
        <f>IF('Task metrics - Group B'!CP23&gt;0, 'Task metrics - Group B'!CZ23)</f>
        <v>55</v>
      </c>
      <c r="AB23" s="44">
        <f>IF('Task metrics - Group B'!CQ23&gt;0, 'Task metrics - Group B'!DA23)</f>
        <v>37</v>
      </c>
      <c r="AC23" s="44">
        <f>IF('Task metrics - Group B'!CR23&gt;0, 'Task metrics - Group B'!DB23)</f>
        <v>37</v>
      </c>
    </row>
    <row r="24" spans="1:29">
      <c r="A24" s="42">
        <v>19</v>
      </c>
      <c r="B24" s="43" t="s">
        <v>217</v>
      </c>
      <c r="C24" s="43">
        <f>IF('Task metrics - Group B'!D24&gt;0, 'Task metrics - Group B'!N24)</f>
        <v>121</v>
      </c>
      <c r="D24" s="43" t="s">
        <v>217</v>
      </c>
      <c r="E24" s="43" t="s">
        <v>217</v>
      </c>
      <c r="F24" s="43">
        <f>IF('Task metrics - Group B'!G24&gt;0, 'Task metrics - Group B'!Q24)</f>
        <v>102</v>
      </c>
      <c r="G24" s="43">
        <f>IF('Task metrics - Group B'!H24&gt;0, 'Task metrics - Group B'!R24)</f>
        <v>37</v>
      </c>
      <c r="H24" s="43">
        <f>IF('Task metrics - Group B'!I24&gt;0, 'Task metrics - Group B'!S24)</f>
        <v>25</v>
      </c>
      <c r="I24" s="43">
        <f>IF('Task metrics - Group B'!J24&gt;0, 'Task metrics - Group B'!T24)</f>
        <v>92</v>
      </c>
      <c r="K24" s="9">
        <v>19</v>
      </c>
      <c r="L24" s="44" t="s">
        <v>217</v>
      </c>
      <c r="M24" s="44" t="s">
        <v>217</v>
      </c>
      <c r="N24" s="44" t="s">
        <v>217</v>
      </c>
      <c r="O24" s="44" t="s">
        <v>217</v>
      </c>
      <c r="P24" s="44" t="s">
        <v>217</v>
      </c>
      <c r="Q24" s="44" t="s">
        <v>217</v>
      </c>
      <c r="R24" s="44" t="s">
        <v>217</v>
      </c>
      <c r="S24" s="44" t="s">
        <v>217</v>
      </c>
      <c r="U24" s="9">
        <v>19</v>
      </c>
      <c r="V24" s="44">
        <f>IF('Task metrics - Group B'!CK24&gt;0, 'Task metrics - Group B'!CU24)</f>
        <v>300</v>
      </c>
      <c r="W24" s="44">
        <f>IF('Task metrics - Group B'!CL24&gt;0, 'Task metrics - Group B'!CV24)</f>
        <v>180</v>
      </c>
      <c r="X24" s="44">
        <f>IF('Task metrics - Group B'!CM24&gt;0, 'Task metrics - Group B'!CW24)</f>
        <v>180</v>
      </c>
      <c r="Y24" s="44">
        <f>IF('Task metrics - Group B'!CN24&gt;0, 'Task metrics - Group B'!CX24)</f>
        <v>103</v>
      </c>
      <c r="Z24" s="44">
        <f>IF('Task metrics - Group B'!CO24&gt;0, 'Task metrics - Group B'!CY24)</f>
        <v>159</v>
      </c>
      <c r="AA24" s="44">
        <f>IF('Task metrics - Group B'!CP24&gt;0, 'Task metrics - Group B'!CZ24)</f>
        <v>180</v>
      </c>
      <c r="AB24" s="44">
        <f>IF('Task metrics - Group B'!CQ24&gt;0, 'Task metrics - Group B'!DA24)</f>
        <v>180</v>
      </c>
      <c r="AC24" s="44">
        <f>IF('Task metrics - Group B'!CR24&gt;0, 'Task metrics - Group B'!DB24)</f>
        <v>161</v>
      </c>
    </row>
    <row r="25" spans="1:29">
      <c r="A25" s="42">
        <v>20</v>
      </c>
      <c r="B25" s="43">
        <f>IF('Task metrics - Group B'!C25&gt;0, 'Task metrics - Group B'!M25)</f>
        <v>228</v>
      </c>
      <c r="C25" s="43">
        <f>IF('Task metrics - Group B'!D25&gt;0, 'Task metrics - Group B'!N25)</f>
        <v>180</v>
      </c>
      <c r="D25" s="43">
        <f>IF('Task metrics - Group B'!E25&gt;0, 'Task metrics - Group B'!O25)</f>
        <v>99</v>
      </c>
      <c r="E25" s="43">
        <f>IF('Task metrics - Group B'!F25&gt;0, 'Task metrics - Group B'!P25)</f>
        <v>170</v>
      </c>
      <c r="F25" s="43" t="s">
        <v>217</v>
      </c>
      <c r="G25" s="43">
        <f>IF('Task metrics - Group B'!H25&gt;0, 'Task metrics - Group B'!R25)</f>
        <v>35</v>
      </c>
      <c r="H25" s="43">
        <f>IF('Task metrics - Group B'!I25&gt;0, 'Task metrics - Group B'!S25)</f>
        <v>30</v>
      </c>
      <c r="I25" s="43">
        <f>IF('Task metrics - Group B'!J25&gt;0, 'Task metrics - Group B'!T25)</f>
        <v>89</v>
      </c>
      <c r="K25" s="9">
        <v>20</v>
      </c>
      <c r="L25" s="44" t="s">
        <v>217</v>
      </c>
      <c r="M25" s="44" t="s">
        <v>217</v>
      </c>
      <c r="N25" s="44" t="s">
        <v>217</v>
      </c>
      <c r="O25" s="44">
        <f>IF('Task metrics - Group B'!AW25&gt;0, 'Task metrics - Group B'!BG25)</f>
        <v>31</v>
      </c>
      <c r="P25" s="44" t="s">
        <v>217</v>
      </c>
      <c r="Q25" s="44" t="s">
        <v>217</v>
      </c>
      <c r="R25" s="44" t="s">
        <v>217</v>
      </c>
      <c r="S25" s="44" t="s">
        <v>217</v>
      </c>
      <c r="U25" s="9">
        <v>20</v>
      </c>
      <c r="V25" s="44" t="s">
        <v>217</v>
      </c>
      <c r="W25" s="44" t="s">
        <v>217</v>
      </c>
      <c r="X25" s="44" t="s">
        <v>217</v>
      </c>
      <c r="Y25" s="44" t="s">
        <v>217</v>
      </c>
      <c r="Z25" s="44" t="s">
        <v>217</v>
      </c>
      <c r="AA25" s="44" t="s">
        <v>217</v>
      </c>
      <c r="AB25" s="44" t="s">
        <v>217</v>
      </c>
      <c r="AC25" s="44" t="s">
        <v>217</v>
      </c>
    </row>
    <row r="26" spans="1:29">
      <c r="A26" s="42">
        <v>21</v>
      </c>
      <c r="B26" s="43" t="s">
        <v>217</v>
      </c>
      <c r="C26" s="43">
        <f>IF('Task metrics - Group B'!D26&gt;0, 'Task metrics - Group B'!N26)</f>
        <v>98</v>
      </c>
      <c r="D26" s="43" t="s">
        <v>217</v>
      </c>
      <c r="E26" s="43" t="s">
        <v>217</v>
      </c>
      <c r="F26" s="43">
        <f>IF('Task metrics - Group B'!G26&gt;0, 'Task metrics - Group B'!Q26)</f>
        <v>102</v>
      </c>
      <c r="G26" s="43">
        <f>IF('Task metrics - Group B'!H26&gt;0, 'Task metrics - Group B'!R26)</f>
        <v>46</v>
      </c>
      <c r="H26" s="43" t="s">
        <v>217</v>
      </c>
      <c r="I26" s="43">
        <f>IF('Task metrics - Group B'!J26&gt;0, 'Task metrics - Group B'!T26)</f>
        <v>11</v>
      </c>
      <c r="K26" s="9">
        <v>21</v>
      </c>
      <c r="L26" s="44">
        <f>IF('Task metrics - Group B'!AT26&gt;0, 'Task metrics - Group B'!BD26)</f>
        <v>185</v>
      </c>
      <c r="M26" s="44" t="s">
        <v>217</v>
      </c>
      <c r="N26" s="44" t="s">
        <v>217</v>
      </c>
      <c r="O26" s="44" t="s">
        <v>217</v>
      </c>
      <c r="P26" s="44" t="s">
        <v>217</v>
      </c>
      <c r="Q26" s="44" t="s">
        <v>217</v>
      </c>
      <c r="R26" s="44" t="s">
        <v>217</v>
      </c>
      <c r="S26" s="44" t="s">
        <v>217</v>
      </c>
      <c r="U26" s="9">
        <v>21</v>
      </c>
      <c r="V26" s="44" t="s">
        <v>217</v>
      </c>
      <c r="W26" s="44" t="s">
        <v>217</v>
      </c>
      <c r="X26" s="44" t="s">
        <v>217</v>
      </c>
      <c r="Y26" s="44">
        <f>IF('Task metrics - Group B'!CN26&gt;0, 'Task metrics - Group B'!CX26)</f>
        <v>83</v>
      </c>
      <c r="Z26" s="44" t="s">
        <v>217</v>
      </c>
      <c r="AA26" s="44" t="s">
        <v>217</v>
      </c>
      <c r="AB26" s="44" t="s">
        <v>217</v>
      </c>
      <c r="AC26" s="44">
        <f>IF('Task metrics - Group B'!CR26&gt;0, 'Task metrics - Group B'!DB26)</f>
        <v>73</v>
      </c>
    </row>
    <row r="27" spans="1:29">
      <c r="A27" s="42">
        <v>22</v>
      </c>
      <c r="B27" s="43">
        <f>IF('Task metrics - Group B'!C27&gt;0, 'Task metrics - Group B'!M27)</f>
        <v>196</v>
      </c>
      <c r="C27" s="43">
        <f>IF('Task metrics - Group B'!D27&gt;0, 'Task metrics - Group B'!N27)</f>
        <v>147</v>
      </c>
      <c r="D27" s="43">
        <f>IF('Task metrics - Group B'!E27&gt;0, 'Task metrics - Group B'!O27)</f>
        <v>109</v>
      </c>
      <c r="E27" s="43">
        <f>IF('Task metrics - Group B'!F27&gt;0, 'Task metrics - Group B'!P27)</f>
        <v>180</v>
      </c>
      <c r="F27" s="43" t="s">
        <v>217</v>
      </c>
      <c r="G27" s="43">
        <f>IF('Task metrics - Group B'!H27&gt;0, 'Task metrics - Group B'!R27)</f>
        <v>92</v>
      </c>
      <c r="H27" s="43" t="s">
        <v>217</v>
      </c>
      <c r="I27" s="43">
        <f>IF('Task metrics - Group B'!J27&gt;0, 'Task metrics - Group B'!T27)</f>
        <v>156</v>
      </c>
      <c r="K27" s="9">
        <v>22</v>
      </c>
      <c r="L27" s="44">
        <f>IF('Task metrics - Group B'!AT27&gt;0, 'Task metrics - Group B'!BD27)</f>
        <v>234</v>
      </c>
      <c r="M27" s="44" t="s">
        <v>217</v>
      </c>
      <c r="N27" s="44">
        <f>IF('Task metrics - Group B'!AV27&gt;0, 'Task metrics - Group B'!BF27)</f>
        <v>180</v>
      </c>
      <c r="O27" s="44" t="s">
        <v>217</v>
      </c>
      <c r="P27" s="44" t="s">
        <v>217</v>
      </c>
      <c r="Q27" s="44">
        <f>IF('Task metrics - Group B'!AY27&gt;0, 'Task metrics - Group B'!BI27)</f>
        <v>89</v>
      </c>
      <c r="R27" s="44" t="s">
        <v>217</v>
      </c>
      <c r="S27" s="44" t="s">
        <v>217</v>
      </c>
      <c r="U27" s="9">
        <v>22</v>
      </c>
      <c r="V27" s="44">
        <f>IF('Task metrics - Group B'!CK27&gt;0, 'Task metrics - Group B'!CU27)</f>
        <v>300</v>
      </c>
      <c r="W27" s="44">
        <f>IF('Task metrics - Group B'!CL27&gt;0, 'Task metrics - Group B'!CV27)</f>
        <v>82</v>
      </c>
      <c r="X27" s="44" t="s">
        <v>217</v>
      </c>
      <c r="Y27" s="44">
        <f>IF('Task metrics - Group B'!CN27&gt;0, 'Task metrics - Group B'!CX27)</f>
        <v>120</v>
      </c>
      <c r="Z27" s="44">
        <f>IF('Task metrics - Group B'!CO27&gt;0, 'Task metrics - Group B'!CY27)</f>
        <v>163</v>
      </c>
      <c r="AA27" s="44" t="s">
        <v>217</v>
      </c>
      <c r="AB27" s="44">
        <f>IF('Task metrics - Group B'!CQ27&gt;0, 'Task metrics - Group B'!DA27)</f>
        <v>59</v>
      </c>
      <c r="AC27" s="44">
        <f>IF('Task metrics - Group B'!CR27&gt;0, 'Task metrics - Group B'!DB27)</f>
        <v>146</v>
      </c>
    </row>
    <row r="28" spans="1:29">
      <c r="A28" s="42">
        <v>23</v>
      </c>
      <c r="B28" s="43">
        <f>IF('Task metrics - Group B'!C28&gt;0, 'Task metrics - Group B'!M28)</f>
        <v>300</v>
      </c>
      <c r="C28" s="43">
        <f>IF('Task metrics - Group B'!D28&gt;0, 'Task metrics - Group B'!N28)</f>
        <v>167</v>
      </c>
      <c r="D28" s="43" t="s">
        <v>217</v>
      </c>
      <c r="E28" s="43" t="s">
        <v>217</v>
      </c>
      <c r="F28" s="43">
        <f>IF('Task metrics - Group B'!G28&gt;0, 'Task metrics - Group B'!Q28)</f>
        <v>163</v>
      </c>
      <c r="G28" s="43">
        <f>IF('Task metrics - Group B'!H28&gt;0, 'Task metrics - Group B'!R28)</f>
        <v>54</v>
      </c>
      <c r="H28" s="43" t="s">
        <v>217</v>
      </c>
      <c r="I28" s="43">
        <f>IF('Task metrics - Group B'!J28&gt;0, 'Task metrics - Group B'!T28)</f>
        <v>45</v>
      </c>
      <c r="K28" s="9">
        <v>23</v>
      </c>
      <c r="L28" s="44" t="s">
        <v>217</v>
      </c>
      <c r="M28" s="44" t="s">
        <v>217</v>
      </c>
      <c r="N28" s="44" t="s">
        <v>217</v>
      </c>
      <c r="O28" s="44">
        <f>IF('Task metrics - Group B'!AW28&gt;0, 'Task metrics - Group B'!BG28)</f>
        <v>180</v>
      </c>
      <c r="P28" s="44">
        <f>IF('Task metrics - Group B'!AX28&gt;0, 'Task metrics - Group B'!BH28)</f>
        <v>135</v>
      </c>
      <c r="Q28" s="44">
        <f>IF('Task metrics - Group B'!AY28&gt;0, 'Task metrics - Group B'!BI28)</f>
        <v>37</v>
      </c>
      <c r="R28" s="44" t="s">
        <v>217</v>
      </c>
      <c r="S28" s="44" t="s">
        <v>217</v>
      </c>
      <c r="U28" s="9">
        <v>23</v>
      </c>
      <c r="V28" s="44" t="s">
        <v>217</v>
      </c>
      <c r="W28" s="44" t="s">
        <v>217</v>
      </c>
      <c r="X28" s="44" t="s">
        <v>217</v>
      </c>
      <c r="Y28" s="44" t="s">
        <v>217</v>
      </c>
      <c r="Z28" s="44" t="s">
        <v>217</v>
      </c>
      <c r="AA28" s="44" t="s">
        <v>217</v>
      </c>
      <c r="AB28" s="44" t="s">
        <v>217</v>
      </c>
      <c r="AC28" s="44" t="s">
        <v>217</v>
      </c>
    </row>
    <row r="29" spans="1:29">
      <c r="A29" s="42">
        <v>24</v>
      </c>
      <c r="B29" s="43" t="s">
        <v>217</v>
      </c>
      <c r="C29" s="43">
        <f>IF('Task metrics - Group B'!D29&gt;0, 'Task metrics - Group B'!N29)</f>
        <v>180</v>
      </c>
      <c r="D29" s="43">
        <f>IF('Task metrics - Group B'!E29&gt;0, 'Task metrics - Group B'!O29)</f>
        <v>99</v>
      </c>
      <c r="E29" s="43" t="s">
        <v>217</v>
      </c>
      <c r="F29" s="43">
        <f>IF('Task metrics - Group B'!G29&gt;0, 'Task metrics - Group B'!Q29)</f>
        <v>106</v>
      </c>
      <c r="G29" s="43">
        <f>IF('Task metrics - Group B'!H29&gt;0, 'Task metrics - Group B'!R29)</f>
        <v>57</v>
      </c>
      <c r="H29" s="43">
        <f>IF('Task metrics - Group B'!I29&gt;0, 'Task metrics - Group B'!S29)</f>
        <v>23</v>
      </c>
      <c r="I29" s="43">
        <f>IF('Task metrics - Group B'!J29&gt;0, 'Task metrics - Group B'!T29)</f>
        <v>30</v>
      </c>
      <c r="K29" s="9">
        <v>24</v>
      </c>
      <c r="L29" s="44">
        <f>IF('Task metrics - Group B'!AT29&gt;0, 'Task metrics - Group B'!BD29)</f>
        <v>65</v>
      </c>
      <c r="M29" s="44" t="s">
        <v>217</v>
      </c>
      <c r="N29" s="44" t="s">
        <v>217</v>
      </c>
      <c r="O29" s="44" t="s">
        <v>217</v>
      </c>
      <c r="P29" s="44">
        <f>IF('Task metrics - Group B'!AX29&gt;0, 'Task metrics - Group B'!BH29)</f>
        <v>65</v>
      </c>
      <c r="Q29" s="44" t="s">
        <v>217</v>
      </c>
      <c r="R29" s="44" t="s">
        <v>217</v>
      </c>
      <c r="S29" s="44">
        <f>IF('Task metrics - Group B'!BA29&gt;0, 'Task metrics - Group B'!BK29)</f>
        <v>86</v>
      </c>
      <c r="U29" s="9">
        <v>24</v>
      </c>
      <c r="V29" s="44" t="s">
        <v>217</v>
      </c>
      <c r="W29" s="44" t="s">
        <v>217</v>
      </c>
      <c r="X29" s="44" t="s">
        <v>217</v>
      </c>
      <c r="Y29" s="44">
        <f>IF('Task metrics - Group B'!CN29&gt;0, 'Task metrics - Group B'!CX29)</f>
        <v>57</v>
      </c>
      <c r="Z29" s="44">
        <f>IF('Task metrics - Group B'!CO29&gt;0, 'Task metrics - Group B'!CY29)</f>
        <v>40</v>
      </c>
      <c r="AA29" s="44" t="s">
        <v>217</v>
      </c>
      <c r="AB29" s="44">
        <f>IF('Task metrics - Group B'!CQ29&gt;0, 'Task metrics - Group B'!DA29)</f>
        <v>102</v>
      </c>
      <c r="AC29" s="44">
        <f>IF('Task metrics - Group B'!CR29&gt;0, 'Task metrics - Group B'!DB29)</f>
        <v>95</v>
      </c>
    </row>
    <row r="30" spans="1:29">
      <c r="A30" s="42">
        <v>25</v>
      </c>
      <c r="B30" s="43" t="s">
        <v>217</v>
      </c>
      <c r="C30" s="43">
        <f>IF('Task metrics - Group B'!D30&gt;0, 'Task metrics - Group B'!N30)</f>
        <v>180</v>
      </c>
      <c r="D30" s="43" t="s">
        <v>217</v>
      </c>
      <c r="E30" s="43" t="s">
        <v>217</v>
      </c>
      <c r="F30" s="43" t="s">
        <v>217</v>
      </c>
      <c r="G30" s="43">
        <f>IF('Task metrics - Group B'!H30&gt;0, 'Task metrics - Group B'!R30)</f>
        <v>167</v>
      </c>
      <c r="H30" s="43" t="s">
        <v>217</v>
      </c>
      <c r="I30" s="43">
        <f>IF('Task metrics - Group B'!J30&gt;0, 'Task metrics - Group B'!T30)</f>
        <v>32</v>
      </c>
      <c r="K30" s="9">
        <v>25</v>
      </c>
      <c r="L30" s="44">
        <f>IF('Task metrics - Group B'!AT30&gt;0, 'Task metrics - Group B'!BD30)</f>
        <v>274</v>
      </c>
      <c r="M30" s="44" t="s">
        <v>217</v>
      </c>
      <c r="N30" s="44" t="s">
        <v>217</v>
      </c>
      <c r="O30" s="44" t="s">
        <v>217</v>
      </c>
      <c r="P30" s="44" t="s">
        <v>217</v>
      </c>
      <c r="Q30" s="44" t="s">
        <v>217</v>
      </c>
      <c r="R30" s="44">
        <f>IF('Task metrics - Group B'!AZ30&gt;0, 'Task metrics - Group B'!BJ30)</f>
        <v>180</v>
      </c>
      <c r="S30" s="44">
        <f>IF('Task metrics - Group B'!BA30&gt;0, 'Task metrics - Group B'!BK30)</f>
        <v>60</v>
      </c>
      <c r="U30" s="9">
        <v>25</v>
      </c>
      <c r="V30" s="44" t="s">
        <v>217</v>
      </c>
      <c r="W30" s="44" t="s">
        <v>217</v>
      </c>
      <c r="X30" s="44" t="s">
        <v>217</v>
      </c>
      <c r="Y30" s="44">
        <f>IF('Task metrics - Group B'!CN30&gt;0, 'Task metrics - Group B'!CX30)</f>
        <v>70</v>
      </c>
      <c r="Z30" s="44" t="s">
        <v>217</v>
      </c>
      <c r="AA30" s="44" t="s">
        <v>217</v>
      </c>
      <c r="AB30" s="44" t="s">
        <v>217</v>
      </c>
      <c r="AC30" s="44">
        <f>IF('Task metrics - Group B'!CR30&gt;0, 'Task metrics - Group B'!DB30)</f>
        <v>169</v>
      </c>
    </row>
    <row r="31" spans="1:29">
      <c r="A31" s="42">
        <v>26</v>
      </c>
      <c r="B31" s="43">
        <f>IF('Task metrics - Group B'!C31&gt;0, 'Task metrics - Group B'!M31)</f>
        <v>300</v>
      </c>
      <c r="C31" s="43">
        <f>IF('Task metrics - Group B'!D31&gt;0, 'Task metrics - Group B'!N31)</f>
        <v>158</v>
      </c>
      <c r="D31" s="43">
        <f>IF('Task metrics - Group B'!E31&gt;0, 'Task metrics - Group B'!O31)</f>
        <v>180</v>
      </c>
      <c r="E31" s="43">
        <f>IF('Task metrics - Group B'!F31&gt;0, 'Task metrics - Group B'!P31)</f>
        <v>79</v>
      </c>
      <c r="F31" s="43">
        <f>IF('Task metrics - Group B'!G31&gt;0, 'Task metrics - Group B'!Q31)</f>
        <v>52</v>
      </c>
      <c r="G31" s="43">
        <f>IF('Task metrics - Group B'!H31&gt;0, 'Task metrics - Group B'!R31)</f>
        <v>66</v>
      </c>
      <c r="H31" s="43">
        <f>IF('Task metrics - Group B'!I31&gt;0, 'Task metrics - Group B'!S31)</f>
        <v>44</v>
      </c>
      <c r="I31" s="43">
        <f>IF('Task metrics - Group B'!J31&gt;0, 'Task metrics - Group B'!T31)</f>
        <v>71</v>
      </c>
      <c r="K31" s="9">
        <v>26</v>
      </c>
      <c r="L31" s="44">
        <f>IF('Task metrics - Group B'!AT31&gt;0, 'Task metrics - Group B'!BD31)</f>
        <v>300</v>
      </c>
      <c r="M31" s="44" t="s">
        <v>217</v>
      </c>
      <c r="N31" s="44" t="s">
        <v>217</v>
      </c>
      <c r="O31" s="44">
        <f>IF('Task metrics - Group B'!AW31&gt;0, 'Task metrics - Group B'!BG31)</f>
        <v>100</v>
      </c>
      <c r="P31" s="44" t="s">
        <v>217</v>
      </c>
      <c r="Q31" s="44">
        <f>IF('Task metrics - Group B'!AY31&gt;0, 'Task metrics - Group B'!BI31)</f>
        <v>78</v>
      </c>
      <c r="R31" s="44">
        <f>IF('Task metrics - Group B'!AZ31&gt;0, 'Task metrics - Group B'!BJ31)</f>
        <v>62</v>
      </c>
      <c r="S31" s="44">
        <f>IF('Task metrics - Group B'!BA31&gt;0, 'Task metrics - Group B'!BK31)</f>
        <v>71</v>
      </c>
      <c r="U31" s="9">
        <v>26</v>
      </c>
      <c r="V31" s="44">
        <f>IF('Task metrics - Group B'!CK31&gt;0, 'Task metrics - Group B'!CU31)</f>
        <v>300</v>
      </c>
      <c r="W31" s="44">
        <f>IF('Task metrics - Group B'!CL31&gt;0, 'Task metrics - Group B'!CV31)</f>
        <v>125</v>
      </c>
      <c r="X31" s="44">
        <f>IF('Task metrics - Group B'!CM31&gt;0, 'Task metrics - Group B'!CW31)</f>
        <v>180</v>
      </c>
      <c r="Y31" s="44" t="s">
        <v>217</v>
      </c>
      <c r="Z31" s="44">
        <f>IF('Task metrics - Group B'!CO31&gt;0, 'Task metrics - Group B'!CY31)</f>
        <v>111</v>
      </c>
      <c r="AA31" s="44">
        <f>IF('Task metrics - Group B'!CP31&gt;0, 'Task metrics - Group B'!CZ31)</f>
        <v>180</v>
      </c>
      <c r="AB31" s="44">
        <f>IF('Task metrics - Group B'!CQ31&gt;0, 'Task metrics - Group B'!DA31)</f>
        <v>96</v>
      </c>
      <c r="AC31" s="44">
        <f>IF('Task metrics - Group B'!CR31&gt;0, 'Task metrics - Group B'!DB31)</f>
        <v>118</v>
      </c>
    </row>
    <row r="32" spans="1:29">
      <c r="A32" s="42">
        <v>27</v>
      </c>
      <c r="B32" s="43">
        <f>IF('Task metrics - Group B'!C32&gt;0, 'Task metrics - Group B'!M32)</f>
        <v>243</v>
      </c>
      <c r="C32" s="43" t="s">
        <v>217</v>
      </c>
      <c r="D32" s="43" t="s">
        <v>217</v>
      </c>
      <c r="E32" s="43">
        <f>IF('Task metrics - Group B'!F32&gt;0, 'Task metrics - Group B'!P32)</f>
        <v>177</v>
      </c>
      <c r="F32" s="43">
        <f>IF('Task metrics - Group B'!G32&gt;0, 'Task metrics - Group B'!Q32)</f>
        <v>46</v>
      </c>
      <c r="G32" s="43">
        <f>IF('Task metrics - Group B'!H32&gt;0, 'Task metrics - Group B'!R32)</f>
        <v>57</v>
      </c>
      <c r="H32" s="43" t="s">
        <v>217</v>
      </c>
      <c r="I32" s="43">
        <f>IF('Task metrics - Group B'!J32&gt;0, 'Task metrics - Group B'!T32)</f>
        <v>122</v>
      </c>
      <c r="K32" s="9">
        <v>27</v>
      </c>
      <c r="L32" s="44">
        <f>IF('Task metrics - Group B'!AT32&gt;0, 'Task metrics - Group B'!BD32)</f>
        <v>231</v>
      </c>
      <c r="M32" s="44" t="s">
        <v>217</v>
      </c>
      <c r="N32" s="44" t="s">
        <v>217</v>
      </c>
      <c r="O32" s="44" t="s">
        <v>217</v>
      </c>
      <c r="P32" s="44">
        <f>IF('Task metrics - Group B'!AX32&gt;0, 'Task metrics - Group B'!BH32)</f>
        <v>152</v>
      </c>
      <c r="Q32" s="44" t="s">
        <v>217</v>
      </c>
      <c r="R32" s="44">
        <f>IF('Task metrics - Group B'!AZ32&gt;0, 'Task metrics - Group B'!BJ32)</f>
        <v>100</v>
      </c>
      <c r="S32" s="44">
        <f>IF('Task metrics - Group B'!BA32&gt;0, 'Task metrics - Group B'!BK32)</f>
        <v>110</v>
      </c>
      <c r="U32" s="9">
        <v>27</v>
      </c>
      <c r="V32" s="44" t="s">
        <v>217</v>
      </c>
      <c r="W32" s="44" t="s">
        <v>217</v>
      </c>
      <c r="X32" s="44" t="s">
        <v>217</v>
      </c>
      <c r="Y32" s="44" t="s">
        <v>217</v>
      </c>
      <c r="Z32" s="44">
        <f>IF('Task metrics - Group B'!CO32&gt;0, 'Task metrics - Group B'!CY32)</f>
        <v>140</v>
      </c>
      <c r="AA32" s="44">
        <f>IF('Task metrics - Group B'!CP32&gt;0, 'Task metrics - Group B'!CZ32)</f>
        <v>141</v>
      </c>
      <c r="AB32" s="44" t="s">
        <v>217</v>
      </c>
      <c r="AC32" s="44">
        <f>IF('Task metrics - Group B'!CR32&gt;0, 'Task metrics - Group B'!DB32)</f>
        <v>170</v>
      </c>
    </row>
    <row r="33" spans="1:29">
      <c r="A33" s="42">
        <v>28</v>
      </c>
      <c r="B33" s="43" t="s">
        <v>217</v>
      </c>
      <c r="C33" s="43" t="s">
        <v>217</v>
      </c>
      <c r="D33" s="43" t="s">
        <v>217</v>
      </c>
      <c r="E33" s="43" t="s">
        <v>217</v>
      </c>
      <c r="F33" s="43" t="s">
        <v>217</v>
      </c>
      <c r="G33" s="43">
        <f>IF('Task metrics - Group B'!H33&gt;0, 'Task metrics - Group B'!R33)</f>
        <v>73</v>
      </c>
      <c r="H33" s="43" t="s">
        <v>217</v>
      </c>
      <c r="I33" s="43">
        <f>IF('Task metrics - Group B'!J33&gt;0, 'Task metrics - Group B'!T33)</f>
        <v>20</v>
      </c>
      <c r="K33" s="9">
        <v>28</v>
      </c>
      <c r="L33" s="44" t="s">
        <v>217</v>
      </c>
      <c r="M33" s="44" t="s">
        <v>217</v>
      </c>
      <c r="N33" s="44" t="s">
        <v>217</v>
      </c>
      <c r="O33" s="44" t="s">
        <v>217</v>
      </c>
      <c r="P33" s="44" t="s">
        <v>217</v>
      </c>
      <c r="Q33" s="44" t="s">
        <v>217</v>
      </c>
      <c r="R33" s="44" t="s">
        <v>217</v>
      </c>
      <c r="S33" s="44">
        <f>IF('Task metrics - Group B'!BA33&gt;0, 'Task metrics - Group B'!BK33)</f>
        <v>56</v>
      </c>
      <c r="U33" s="9">
        <v>28</v>
      </c>
      <c r="V33" s="44" t="s">
        <v>217</v>
      </c>
      <c r="W33" s="44" t="s">
        <v>217</v>
      </c>
      <c r="X33" s="44" t="s">
        <v>217</v>
      </c>
      <c r="Y33" s="44" t="s">
        <v>217</v>
      </c>
      <c r="Z33" s="44" t="s">
        <v>217</v>
      </c>
      <c r="AA33" s="44" t="s">
        <v>217</v>
      </c>
      <c r="AB33" s="44" t="s">
        <v>217</v>
      </c>
      <c r="AC33" s="44" t="s">
        <v>217</v>
      </c>
    </row>
    <row r="34" spans="1:29">
      <c r="A34" s="42">
        <v>29</v>
      </c>
      <c r="B34" s="43">
        <f>IF('Task metrics - Group B'!C34&gt;0, 'Task metrics - Group B'!M34)</f>
        <v>210</v>
      </c>
      <c r="C34" s="43">
        <f>IF('Task metrics - Group B'!D34&gt;0, 'Task metrics - Group B'!N34)</f>
        <v>96</v>
      </c>
      <c r="D34" s="43">
        <f>IF('Task metrics - Group B'!E34&gt;0, 'Task metrics - Group B'!O34)</f>
        <v>105</v>
      </c>
      <c r="E34" s="43" t="s">
        <v>217</v>
      </c>
      <c r="F34" s="43" t="s">
        <v>217</v>
      </c>
      <c r="G34" s="43" t="s">
        <v>217</v>
      </c>
      <c r="H34" s="43">
        <f>IF('Task metrics - Group B'!I34&gt;0, 'Task metrics - Group B'!S34)</f>
        <v>73</v>
      </c>
      <c r="I34" s="43">
        <f>IF('Task metrics - Group B'!J34&gt;0, 'Task metrics - Group B'!T34)</f>
        <v>52</v>
      </c>
      <c r="K34" s="9">
        <v>29</v>
      </c>
      <c r="L34" s="44">
        <f>IF('Task metrics - Group B'!AT34&gt;0, 'Task metrics - Group B'!BD34)</f>
        <v>127</v>
      </c>
      <c r="M34" s="44" t="s">
        <v>217</v>
      </c>
      <c r="N34" s="44" t="s">
        <v>217</v>
      </c>
      <c r="O34" s="44">
        <f>IF('Task metrics - Group B'!AW34&gt;0, 'Task metrics - Group B'!BG34)</f>
        <v>28</v>
      </c>
      <c r="P34" s="44">
        <f>IF('Task metrics - Group B'!AX34&gt;0, 'Task metrics - Group B'!BH34)</f>
        <v>75</v>
      </c>
      <c r="Q34" s="44">
        <f>IF('Task metrics - Group B'!AY34&gt;0, 'Task metrics - Group B'!BI34)</f>
        <v>57</v>
      </c>
      <c r="R34" s="44" t="s">
        <v>217</v>
      </c>
      <c r="S34" s="44" t="s">
        <v>217</v>
      </c>
      <c r="U34" s="9">
        <v>29</v>
      </c>
      <c r="V34" s="44">
        <f>IF('Task metrics - Group B'!CK34&gt;0, 'Task metrics - Group B'!CU34)</f>
        <v>69</v>
      </c>
      <c r="W34" s="44">
        <f>IF('Task metrics - Group B'!CL34&gt;0, 'Task metrics - Group B'!CV34)</f>
        <v>46</v>
      </c>
      <c r="X34" s="44">
        <f>IF('Task metrics - Group B'!CM34&gt;0, 'Task metrics - Group B'!CW34)</f>
        <v>114</v>
      </c>
      <c r="Y34" s="44">
        <f>IF('Task metrics - Group B'!CN34&gt;0, 'Task metrics - Group B'!CX34)</f>
        <v>25</v>
      </c>
      <c r="Z34" s="44">
        <f>IF('Task metrics - Group B'!CO34&gt;0, 'Task metrics - Group B'!CY34)</f>
        <v>29</v>
      </c>
      <c r="AA34" s="44" t="s">
        <v>217</v>
      </c>
      <c r="AB34" s="44">
        <f>IF('Task metrics - Group B'!CQ34&gt;0, 'Task metrics - Group B'!DA34)</f>
        <v>39</v>
      </c>
      <c r="AC34" s="44">
        <f>IF('Task metrics - Group B'!CR34&gt;0, 'Task metrics - Group B'!DB34)</f>
        <v>49</v>
      </c>
    </row>
    <row r="35" spans="1:29">
      <c r="A35" s="42">
        <v>30</v>
      </c>
      <c r="B35" s="43">
        <f>IF('Task metrics - Group B'!C35&gt;0, 'Task metrics - Group B'!M35)</f>
        <v>300</v>
      </c>
      <c r="C35" s="43">
        <f>IF('Task metrics - Group B'!D35&gt;0, 'Task metrics - Group B'!N35)</f>
        <v>180</v>
      </c>
      <c r="D35" s="43">
        <f>IF('Task metrics - Group B'!E35&gt;0, 'Task metrics - Group B'!O35)</f>
        <v>165</v>
      </c>
      <c r="E35" s="43" t="s">
        <v>217</v>
      </c>
      <c r="F35" s="43">
        <f>IF('Task metrics - Group B'!G35&gt;0, 'Task metrics - Group B'!Q35)</f>
        <v>95</v>
      </c>
      <c r="G35" s="43">
        <f>IF('Task metrics - Group B'!H35&gt;0, 'Task metrics - Group B'!R35)</f>
        <v>69</v>
      </c>
      <c r="H35" s="43">
        <f>IF('Task metrics - Group B'!I35&gt;0, 'Task metrics - Group B'!S35)</f>
        <v>33</v>
      </c>
      <c r="I35" s="43">
        <f>IF('Task metrics - Group B'!J35&gt;0, 'Task metrics - Group B'!T35)</f>
        <v>58</v>
      </c>
      <c r="K35" s="9">
        <v>30</v>
      </c>
      <c r="L35" s="44">
        <f>IF('Task metrics - Group B'!AT35&gt;0, 'Task metrics - Group B'!BD35)</f>
        <v>239</v>
      </c>
      <c r="M35" s="44" t="s">
        <v>217</v>
      </c>
      <c r="N35" s="44" t="s">
        <v>217</v>
      </c>
      <c r="O35" s="44" t="s">
        <v>217</v>
      </c>
      <c r="P35" s="44">
        <f>IF('Task metrics - Group B'!AX35&gt;0, 'Task metrics - Group B'!BH35)</f>
        <v>143</v>
      </c>
      <c r="Q35" s="44" t="s">
        <v>217</v>
      </c>
      <c r="R35" s="44" t="s">
        <v>217</v>
      </c>
      <c r="S35" s="44">
        <f>IF('Task metrics - Group B'!BA35&gt;0, 'Task metrics - Group B'!BK35)</f>
        <v>180</v>
      </c>
      <c r="U35" s="9">
        <v>30</v>
      </c>
      <c r="V35" s="44">
        <f>IF('Task metrics - Group B'!CK35&gt;0, 'Task metrics - Group B'!CU35)</f>
        <v>300</v>
      </c>
      <c r="W35" s="44">
        <f>IF('Task metrics - Group B'!CL35&gt;0, 'Task metrics - Group B'!CV35)</f>
        <v>129</v>
      </c>
      <c r="X35" s="44">
        <f>IF('Task metrics - Group B'!CM35&gt;0, 'Task metrics - Group B'!CW35)</f>
        <v>180</v>
      </c>
      <c r="Y35" s="44" t="s">
        <v>217</v>
      </c>
      <c r="Z35" s="44">
        <f>IF('Task metrics - Group B'!CO35&gt;0, 'Task metrics - Group B'!CY35)</f>
        <v>56</v>
      </c>
      <c r="AA35" s="44">
        <f>IF('Task metrics - Group B'!CP35&gt;0, 'Task metrics - Group B'!CZ35)</f>
        <v>98</v>
      </c>
      <c r="AB35" s="44">
        <f>IF('Task metrics - Group B'!CQ35&gt;0, 'Task metrics - Group B'!DA35)</f>
        <v>88</v>
      </c>
      <c r="AC35" s="44">
        <f>IF('Task metrics - Group B'!CR35&gt;0, 'Task metrics - Group B'!DB35)</f>
        <v>105</v>
      </c>
    </row>
    <row r="36" spans="1:29">
      <c r="A36" s="42">
        <v>31</v>
      </c>
      <c r="B36" s="43">
        <f>IF('Task metrics - Group B'!C36&gt;0, 'Task metrics - Group B'!M36)</f>
        <v>288</v>
      </c>
      <c r="C36" s="43" t="s">
        <v>217</v>
      </c>
      <c r="D36" s="43">
        <f>IF('Task metrics - Group B'!E36&gt;0, 'Task metrics - Group B'!O36)</f>
        <v>119</v>
      </c>
      <c r="E36" s="43" t="s">
        <v>217</v>
      </c>
      <c r="F36" s="43">
        <f>IF('Task metrics - Group B'!G36&gt;0, 'Task metrics - Group B'!Q36)</f>
        <v>59</v>
      </c>
      <c r="G36" s="43">
        <f>IF('Task metrics - Group B'!H36&gt;0, 'Task metrics - Group B'!R36)</f>
        <v>51</v>
      </c>
      <c r="H36" s="43">
        <f>IF('Task metrics - Group B'!I36&gt;0, 'Task metrics - Group B'!S36)</f>
        <v>85</v>
      </c>
      <c r="I36" s="43">
        <f>IF('Task metrics - Group B'!J36&gt;0, 'Task metrics - Group B'!T36)</f>
        <v>37</v>
      </c>
      <c r="K36" s="9">
        <v>31</v>
      </c>
      <c r="L36" s="44">
        <f>IF('Task metrics - Group B'!AT36&gt;0, 'Task metrics - Group B'!BD36)</f>
        <v>300</v>
      </c>
      <c r="M36" s="44" t="s">
        <v>217</v>
      </c>
      <c r="N36" s="44" t="s">
        <v>217</v>
      </c>
      <c r="O36" s="44" t="s">
        <v>217</v>
      </c>
      <c r="P36" s="44">
        <f>IF('Task metrics - Group B'!AX36&gt;0, 'Task metrics - Group B'!BH36)</f>
        <v>95</v>
      </c>
      <c r="Q36" s="44" t="s">
        <v>217</v>
      </c>
      <c r="R36" s="44" t="s">
        <v>217</v>
      </c>
      <c r="S36" s="44" t="s">
        <v>217</v>
      </c>
      <c r="U36" s="9">
        <v>31</v>
      </c>
      <c r="V36" s="44" t="s">
        <v>217</v>
      </c>
      <c r="W36" s="44">
        <f>IF('Task metrics - Group B'!CL36&gt;0, 'Task metrics - Group B'!CV36)</f>
        <v>142</v>
      </c>
      <c r="X36" s="44">
        <f>IF('Task metrics - Group B'!CM36&gt;0, 'Task metrics - Group B'!CW36)</f>
        <v>180</v>
      </c>
      <c r="Y36" s="44" t="s">
        <v>217</v>
      </c>
      <c r="Z36" s="44">
        <f>IF('Task metrics - Group B'!CO36&gt;0, 'Task metrics - Group B'!CY36)</f>
        <v>90</v>
      </c>
      <c r="AA36" s="44" t="s">
        <v>217</v>
      </c>
      <c r="AB36" s="44" t="s">
        <v>217</v>
      </c>
      <c r="AC36" s="44">
        <f>IF('Task metrics - Group B'!CR36&gt;0, 'Task metrics - Group B'!DB36)</f>
        <v>45</v>
      </c>
    </row>
    <row r="37" spans="1:29">
      <c r="A37" s="42">
        <v>32</v>
      </c>
      <c r="B37" s="43">
        <f>IF('Task metrics - Group B'!C37&gt;0, 'Task metrics - Group B'!M37)</f>
        <v>261</v>
      </c>
      <c r="C37" s="43">
        <f>IF('Task metrics - Group B'!D37&gt;0, 'Task metrics - Group B'!N37)</f>
        <v>117</v>
      </c>
      <c r="D37" s="43">
        <f>IF('Task metrics - Group B'!E37&gt;0, 'Task metrics - Group B'!O37)</f>
        <v>135</v>
      </c>
      <c r="E37" s="43" t="s">
        <v>217</v>
      </c>
      <c r="F37" s="43">
        <f>IF('Task metrics - Group B'!G37&gt;0, 'Task metrics - Group B'!Q37)</f>
        <v>82</v>
      </c>
      <c r="G37" s="43">
        <f>IF('Task metrics - Group B'!H37&gt;0, 'Task metrics - Group B'!R37)</f>
        <v>31</v>
      </c>
      <c r="H37" s="43">
        <f>IF('Task metrics - Group B'!I37&gt;0, 'Task metrics - Group B'!S37)</f>
        <v>28</v>
      </c>
      <c r="I37" s="43">
        <f>IF('Task metrics - Group B'!J37&gt;0, 'Task metrics - Group B'!T37)</f>
        <v>28</v>
      </c>
      <c r="K37" s="9">
        <v>32</v>
      </c>
      <c r="L37" s="44">
        <f>IF('Task metrics - Group B'!AT37&gt;0, 'Task metrics - Group B'!BD37)</f>
        <v>136</v>
      </c>
      <c r="M37" s="44">
        <f>IF('Task metrics - Group B'!AU37&gt;0, 'Task metrics - Group B'!BE37)</f>
        <v>180</v>
      </c>
      <c r="N37" s="44" t="s">
        <v>217</v>
      </c>
      <c r="O37" s="44">
        <f>IF('Task metrics - Group B'!AW37&gt;0, 'Task metrics - Group B'!BG37)</f>
        <v>180</v>
      </c>
      <c r="P37" s="44">
        <f>IF('Task metrics - Group B'!AX37&gt;0, 'Task metrics - Group B'!BH37)</f>
        <v>133</v>
      </c>
      <c r="Q37" s="44">
        <f>IF('Task metrics - Group B'!AY37&gt;0, 'Task metrics - Group B'!BI37)</f>
        <v>145</v>
      </c>
      <c r="R37" s="44" t="s">
        <v>217</v>
      </c>
      <c r="S37" s="44">
        <f>IF('Task metrics - Group B'!BA37&gt;0, 'Task metrics - Group B'!BK37)</f>
        <v>89</v>
      </c>
      <c r="U37" s="9">
        <v>32</v>
      </c>
      <c r="V37" s="44">
        <f>IF('Task metrics - Group B'!CK37&gt;0, 'Task metrics - Group B'!CU37)</f>
        <v>299</v>
      </c>
      <c r="W37" s="44">
        <f>IF('Task metrics - Group B'!CL37&gt;0, 'Task metrics - Group B'!CV37)</f>
        <v>74</v>
      </c>
      <c r="X37" s="44">
        <f>IF('Task metrics - Group B'!CM37&gt;0, 'Task metrics - Group B'!CW37)</f>
        <v>180</v>
      </c>
      <c r="Y37" s="44">
        <f>IF('Task metrics - Group B'!CN37&gt;0, 'Task metrics - Group B'!CX37)</f>
        <v>136</v>
      </c>
      <c r="Z37" s="44" t="s">
        <v>217</v>
      </c>
      <c r="AA37" s="44" t="s">
        <v>217</v>
      </c>
      <c r="AB37" s="44" t="s">
        <v>217</v>
      </c>
      <c r="AC37" s="44">
        <f>IF('Task metrics - Group B'!CR37&gt;0, 'Task metrics - Group B'!DB37)</f>
        <v>60</v>
      </c>
    </row>
    <row r="38" spans="1:29">
      <c r="A38" s="42">
        <v>33</v>
      </c>
      <c r="B38" s="43">
        <f>IF('Task metrics - Group B'!C38&gt;0, 'Task metrics - Group B'!M38)</f>
        <v>155</v>
      </c>
      <c r="C38" s="43" t="s">
        <v>217</v>
      </c>
      <c r="D38" s="43" t="s">
        <v>217</v>
      </c>
      <c r="E38" s="43">
        <f>IF('Task metrics - Group B'!F38&gt;0, 'Task metrics - Group B'!P38)</f>
        <v>54</v>
      </c>
      <c r="F38" s="43">
        <f>IF('Task metrics - Group B'!G38&gt;0, 'Task metrics - Group B'!Q38)</f>
        <v>43</v>
      </c>
      <c r="G38" s="43">
        <f>IF('Task metrics - Group B'!H38&gt;0, 'Task metrics - Group B'!R38)</f>
        <v>38</v>
      </c>
      <c r="H38" s="43" t="s">
        <v>217</v>
      </c>
      <c r="I38" s="43">
        <f>IF('Task metrics - Group B'!J38&gt;0, 'Task metrics - Group B'!T38)</f>
        <v>24</v>
      </c>
      <c r="K38" s="9">
        <v>33</v>
      </c>
      <c r="L38" s="44">
        <f>IF('Task metrics - Group B'!AT38&gt;0, 'Task metrics - Group B'!BD38)</f>
        <v>158</v>
      </c>
      <c r="M38" s="44" t="s">
        <v>217</v>
      </c>
      <c r="N38" s="44" t="s">
        <v>217</v>
      </c>
      <c r="O38" s="44" t="s">
        <v>217</v>
      </c>
      <c r="P38" s="44">
        <f>IF('Task metrics - Group B'!AX38&gt;0, 'Task metrics - Group B'!BH38)</f>
        <v>169</v>
      </c>
      <c r="Q38" s="44" t="s">
        <v>217</v>
      </c>
      <c r="R38" s="44" t="s">
        <v>217</v>
      </c>
      <c r="S38" s="44" t="s">
        <v>217</v>
      </c>
      <c r="U38" s="9">
        <v>33</v>
      </c>
      <c r="V38" s="44" t="s">
        <v>217</v>
      </c>
      <c r="W38" s="44">
        <f>IF('Task metrics - Group B'!CL38&gt;0, 'Task metrics - Group B'!CV38)</f>
        <v>43</v>
      </c>
      <c r="X38" s="44" t="s">
        <v>217</v>
      </c>
      <c r="Y38" s="44" t="s">
        <v>217</v>
      </c>
      <c r="Z38" s="44" t="s">
        <v>217</v>
      </c>
      <c r="AA38" s="44" t="s">
        <v>217</v>
      </c>
      <c r="AB38" s="44">
        <f>IF('Task metrics - Group B'!CQ38&gt;0, 'Task metrics - Group B'!DA38)</f>
        <v>60</v>
      </c>
      <c r="AC38" s="44" t="b">
        <f>IF('Task metrics - Group B'!CR38&gt;0, 'Task metrics - Group B'!DB38)</f>
        <v>0</v>
      </c>
    </row>
    <row r="39" spans="1:29">
      <c r="A39" s="42">
        <v>34</v>
      </c>
      <c r="B39" s="43">
        <f>IF('Task metrics - Group B'!C39&gt;0, 'Task metrics - Group B'!M39)</f>
        <v>300</v>
      </c>
      <c r="C39" s="43">
        <f>IF('Task metrics - Group B'!D39&gt;0, 'Task metrics - Group B'!N39)</f>
        <v>180</v>
      </c>
      <c r="D39" s="43">
        <f>IF('Task metrics - Group B'!E39&gt;0, 'Task metrics - Group B'!O39)</f>
        <v>102</v>
      </c>
      <c r="E39" s="43">
        <f>IF('Task metrics - Group B'!F39&gt;0, 'Task metrics - Group B'!P39)</f>
        <v>81</v>
      </c>
      <c r="F39" s="43">
        <f>IF('Task metrics - Group B'!G39&gt;0, 'Task metrics - Group B'!Q39)</f>
        <v>35</v>
      </c>
      <c r="G39" s="43">
        <f>IF('Task metrics - Group B'!H39&gt;0, 'Task metrics - Group B'!R39)</f>
        <v>40</v>
      </c>
      <c r="H39" s="43">
        <f>IF('Task metrics - Group B'!I39&gt;0, 'Task metrics - Group B'!S39)</f>
        <v>55</v>
      </c>
      <c r="I39" s="43">
        <f>IF('Task metrics - Group B'!J39&gt;0, 'Task metrics - Group B'!T39)</f>
        <v>20</v>
      </c>
      <c r="K39" s="9">
        <v>34</v>
      </c>
      <c r="L39" s="44">
        <f>IF('Task metrics - Group B'!AT39&gt;0, 'Task metrics - Group B'!BD39)</f>
        <v>105</v>
      </c>
      <c r="M39" s="44" t="s">
        <v>217</v>
      </c>
      <c r="N39" s="44" t="s">
        <v>217</v>
      </c>
      <c r="O39" s="44" t="s">
        <v>217</v>
      </c>
      <c r="P39" s="44">
        <f>IF('Task metrics - Group B'!AX39&gt;0, 'Task metrics - Group B'!BH39)</f>
        <v>96</v>
      </c>
      <c r="Q39" s="44">
        <f>IF('Task metrics - Group B'!AY39&gt;0, 'Task metrics - Group B'!BI39)</f>
        <v>106</v>
      </c>
      <c r="R39" s="44" t="s">
        <v>217</v>
      </c>
      <c r="S39" s="44">
        <f>IF('Task metrics - Group B'!BA39&gt;0, 'Task metrics - Group B'!BK39)</f>
        <v>300</v>
      </c>
      <c r="U39" s="9">
        <v>34</v>
      </c>
      <c r="V39" s="44">
        <f>IF('Task metrics - Group B'!CK39&gt;0, 'Task metrics - Group B'!CU39)</f>
        <v>300</v>
      </c>
      <c r="W39" s="44">
        <f>IF('Task metrics - Group B'!CL39&gt;0, 'Task metrics - Group B'!CV39)</f>
        <v>76</v>
      </c>
      <c r="X39" s="44">
        <f>IF('Task metrics - Group B'!CM39&gt;0, 'Task metrics - Group B'!CW39)</f>
        <v>180</v>
      </c>
      <c r="Y39" s="44">
        <f>IF('Task metrics - Group B'!CN39&gt;0, 'Task metrics - Group B'!CX39)</f>
        <v>51</v>
      </c>
      <c r="Z39" s="44">
        <f>IF('Task metrics - Group B'!CO39&gt;0, 'Task metrics - Group B'!CY39)</f>
        <v>43</v>
      </c>
      <c r="AA39" s="44">
        <f>IF('Task metrics - Group B'!CP39&gt;0, 'Task metrics - Group B'!CZ39)</f>
        <v>113</v>
      </c>
      <c r="AB39" s="44">
        <f>IF('Task metrics - Group B'!CQ39&gt;0, 'Task metrics - Group B'!DA39)</f>
        <v>152</v>
      </c>
      <c r="AC39" s="44">
        <f>IF('Task metrics - Group B'!CR39&gt;0, 'Task metrics - Group B'!DB39)</f>
        <v>44</v>
      </c>
    </row>
    <row r="40" spans="1:29">
      <c r="A40" s="42">
        <v>35</v>
      </c>
      <c r="B40" s="43">
        <f>IF('Task metrics - Group B'!C40&gt;0, 'Task metrics - Group B'!M40)</f>
        <v>227</v>
      </c>
      <c r="C40" s="43" t="s">
        <v>217</v>
      </c>
      <c r="D40" s="43">
        <f>IF('Task metrics - Group B'!E40&gt;0, 'Task metrics - Group B'!O40)</f>
        <v>180</v>
      </c>
      <c r="E40" s="43">
        <f>IF('Task metrics - Group B'!F40&gt;0, 'Task metrics - Group B'!P40)</f>
        <v>75</v>
      </c>
      <c r="F40" s="43">
        <f>IF('Task metrics - Group B'!G40&gt;0, 'Task metrics - Group B'!Q40)</f>
        <v>156</v>
      </c>
      <c r="G40" s="43">
        <f>IF('Task metrics - Group B'!H40&gt;0, 'Task metrics - Group B'!R40)</f>
        <v>24</v>
      </c>
      <c r="H40" s="43">
        <f>IF('Task metrics - Group B'!I40&gt;0, 'Task metrics - Group B'!S40)</f>
        <v>33</v>
      </c>
      <c r="I40" s="43">
        <f>IF('Task metrics - Group B'!J40&gt;0, 'Task metrics - Group B'!T40)</f>
        <v>38</v>
      </c>
      <c r="K40" s="9">
        <v>35</v>
      </c>
      <c r="L40" s="44">
        <f>IF('Task metrics - Group B'!AT40&gt;0, 'Task metrics - Group B'!BD40)</f>
        <v>105</v>
      </c>
      <c r="M40" s="44" t="s">
        <v>217</v>
      </c>
      <c r="N40" s="44" t="s">
        <v>217</v>
      </c>
      <c r="O40" s="44">
        <f>IF('Task metrics - Group B'!AW40&gt;0, 'Task metrics - Group B'!BG40)</f>
        <v>97</v>
      </c>
      <c r="P40" s="44">
        <f>IF('Task metrics - Group B'!AX40&gt;0, 'Task metrics - Group B'!BH40)</f>
        <v>107</v>
      </c>
      <c r="Q40" s="44" t="s">
        <v>217</v>
      </c>
      <c r="R40" s="44" t="s">
        <v>217</v>
      </c>
      <c r="S40" s="44">
        <f>IF('Task metrics - Group B'!BA40&gt;0, 'Task metrics - Group B'!BK40)</f>
        <v>180</v>
      </c>
      <c r="U40" s="9">
        <v>35</v>
      </c>
      <c r="V40" s="44">
        <f>IF('Task metrics - Group B'!CK40&gt;0, 'Task metrics - Group B'!CU40)</f>
        <v>248</v>
      </c>
      <c r="W40" s="44">
        <f>IF('Task metrics - Group B'!CL40&gt;0, 'Task metrics - Group B'!CV40)</f>
        <v>71</v>
      </c>
      <c r="X40" s="44">
        <f>IF('Task metrics - Group B'!CM40&gt;0, 'Task metrics - Group B'!CW40)</f>
        <v>110</v>
      </c>
      <c r="Y40" s="44">
        <f>IF('Task metrics - Group B'!CN40&gt;0, 'Task metrics - Group B'!CX40)</f>
        <v>26</v>
      </c>
      <c r="Z40" s="44">
        <f>IF('Task metrics - Group B'!CO40&gt;0, 'Task metrics - Group B'!CY40)</f>
        <v>68</v>
      </c>
      <c r="AA40" s="44" t="s">
        <v>217</v>
      </c>
      <c r="AB40" s="44">
        <f>IF('Task metrics - Group B'!CQ40&gt;0, 'Task metrics - Group B'!DA40)</f>
        <v>84</v>
      </c>
      <c r="AC40" s="44">
        <f>IF('Task metrics - Group B'!CR40&gt;0, 'Task metrics - Group B'!DB40)</f>
        <v>22</v>
      </c>
    </row>
    <row r="41" spans="1:29">
      <c r="A41" s="45">
        <v>36</v>
      </c>
      <c r="B41" s="43">
        <f>IF('Task metrics - Group B'!C41&gt;0, 'Task metrics - Group B'!M41)</f>
        <v>99</v>
      </c>
      <c r="C41" s="43">
        <f>IF('Task metrics - Group B'!D41&gt;0, 'Task metrics - Group B'!N41)</f>
        <v>107</v>
      </c>
      <c r="D41" s="43">
        <f>IF('Task metrics - Group B'!E41&gt;0, 'Task metrics - Group B'!O41)</f>
        <v>76</v>
      </c>
      <c r="E41" s="43" t="b">
        <f>IF('Task metrics - Group B'!F41&gt;0, 'Task metrics - Group B'!P41)</f>
        <v>0</v>
      </c>
      <c r="F41" s="43">
        <f>IF('Task metrics - Group B'!G41&gt;0, 'Task metrics - Group B'!Q41)</f>
        <v>48</v>
      </c>
      <c r="G41" s="43" t="b">
        <f>IF('Task metrics - Group B'!H41&gt;0, 'Task metrics - Group B'!R41)</f>
        <v>0</v>
      </c>
      <c r="H41" s="43">
        <f>IF('Task metrics - Group B'!I41&gt;0, 'Task metrics - Group B'!S41)</f>
        <v>68</v>
      </c>
      <c r="I41" s="43">
        <f>IF('Task metrics - Group B'!J41&gt;0, 'Task metrics - Group B'!T41)</f>
        <v>16</v>
      </c>
      <c r="K41" s="9">
        <v>36</v>
      </c>
      <c r="L41" s="44">
        <f>IF('Task metrics - Group B'!AT41&gt;0, 'Task metrics - Group B'!BD41)</f>
        <v>140</v>
      </c>
      <c r="M41" s="44">
        <f>IF('Task metrics - Group B'!AU41&gt;0, 'Task metrics - Group B'!BE41)</f>
        <v>180</v>
      </c>
      <c r="N41" s="44" t="s">
        <v>217</v>
      </c>
      <c r="O41" s="44" t="s">
        <v>217</v>
      </c>
      <c r="P41" s="44">
        <f>IF('Task metrics - Group B'!AX41&gt;0, 'Task metrics - Group B'!BH41)</f>
        <v>50</v>
      </c>
      <c r="Q41" s="44" t="s">
        <v>217</v>
      </c>
      <c r="R41" s="44">
        <f>IF('Task metrics - Group B'!AZ41&gt;0, 'Task metrics - Group B'!BJ41)</f>
        <v>86</v>
      </c>
      <c r="S41" s="44" t="s">
        <v>217</v>
      </c>
      <c r="U41" s="9">
        <v>36</v>
      </c>
      <c r="V41" s="44">
        <f>IF('Task metrics - Group B'!CK41&gt;0, 'Task metrics - Group B'!CU41)</f>
        <v>171</v>
      </c>
      <c r="W41" s="44">
        <f>IF('Task metrics - Group B'!CL41&gt;0, 'Task metrics - Group B'!CV41)</f>
        <v>38</v>
      </c>
      <c r="X41" s="44">
        <f>IF('Task metrics - Group B'!CM41&gt;0, 'Task metrics - Group B'!CW41)</f>
        <v>180</v>
      </c>
      <c r="Y41" s="44">
        <f>IF('Task metrics - Group B'!CN41&gt;0, 'Task metrics - Group B'!CX41)</f>
        <v>21</v>
      </c>
      <c r="Z41" s="44">
        <f>IF('Task metrics - Group B'!CO41&gt;0, 'Task metrics - Group B'!CY41)</f>
        <v>92</v>
      </c>
      <c r="AA41" s="44" t="s">
        <v>217</v>
      </c>
      <c r="AB41" s="44" t="s">
        <v>217</v>
      </c>
      <c r="AC41" s="44">
        <f>IF('Task metrics - Group B'!CR41&gt;0, 'Task metrics - Group B'!DB41)</f>
        <v>49</v>
      </c>
    </row>
    <row r="42" spans="1:29">
      <c r="A42" s="110" t="s">
        <v>133</v>
      </c>
      <c r="B42" s="46">
        <f>AVERAGE(Table3286[Task 1a])</f>
        <v>246.32</v>
      </c>
      <c r="C42" s="46">
        <f>AVERAGE(Table3286[Task 1b])</f>
        <v>157.45833333333334</v>
      </c>
      <c r="D42" s="46">
        <f>AVERAGE(Table3286[Task 2])</f>
        <v>124.34782608695652</v>
      </c>
      <c r="E42" s="46">
        <f>AVERAGE(Table3286[Task 3])</f>
        <v>115.94736842105263</v>
      </c>
      <c r="F42" s="46">
        <f>AVERAGE(Table3286[Task 4])</f>
        <v>96.357142857142861</v>
      </c>
      <c r="G42" s="46">
        <f>AVERAGE(Table3286[Task 5])</f>
        <v>61.264705882352942</v>
      </c>
      <c r="H42" s="46">
        <f>AVERAGE(Table3286[Task 6])</f>
        <v>57.64</v>
      </c>
      <c r="I42" s="46">
        <f>AVERAGE(Table3286[Task 7])</f>
        <v>54.757575757575758</v>
      </c>
      <c r="K42" s="32" t="s">
        <v>133</v>
      </c>
      <c r="L42" s="46">
        <f>AVERAGE(Table3587[Task 1a])</f>
        <v>207.28571428571428</v>
      </c>
      <c r="M42" s="46">
        <f>AVERAGE(Table3587[Task 1b])</f>
        <v>175.83333333333334</v>
      </c>
      <c r="N42" s="46">
        <f>AVERAGE(Table3587[Task 2])</f>
        <v>132.57142857142858</v>
      </c>
      <c r="O42" s="46">
        <f>AVERAGE(Table3587[Task 3])</f>
        <v>104</v>
      </c>
      <c r="P42" s="46">
        <f>AVERAGE(Table3587[Task 4])</f>
        <v>123.09090909090909</v>
      </c>
      <c r="Q42" s="46">
        <f>AVERAGE(Table3587[Task 5])</f>
        <v>84.818181818181813</v>
      </c>
      <c r="R42" s="46">
        <f>AVERAGE(Table3587[Task 6])</f>
        <v>117.08333333333333</v>
      </c>
      <c r="S42" s="46">
        <f>AVERAGE(Table3587[Task 7])</f>
        <v>131.85</v>
      </c>
      <c r="U42" s="111" t="s">
        <v>133</v>
      </c>
      <c r="V42" s="46">
        <f>AVERAGE(Table353688[Task 1a])</f>
        <v>258.5625</v>
      </c>
      <c r="W42" s="46">
        <f>AVERAGE(Table353688[Task 1b])</f>
        <v>114.43478260869566</v>
      </c>
      <c r="X42" s="46">
        <f>AVERAGE(Table353688[Task 2])</f>
        <v>162.85</v>
      </c>
      <c r="Y42" s="46">
        <f>AVERAGE(Table353688[Task 3])</f>
        <v>89.333333333333329</v>
      </c>
      <c r="Z42" s="46">
        <f>AVERAGE(Table353688[Task 4])</f>
        <v>95.333333333333329</v>
      </c>
      <c r="AA42" s="46">
        <f>AVERAGE(Table353688[Task 5])</f>
        <v>115.2</v>
      </c>
      <c r="AB42" s="46">
        <f>AVERAGE(Table353688[Task 6])</f>
        <v>87.94736842105263</v>
      </c>
      <c r="AC42" s="46">
        <f>AVERAGE(Table353688[Task 7])</f>
        <v>94.821428571428569</v>
      </c>
    </row>
    <row r="43" spans="1:29">
      <c r="A43" s="47" t="s">
        <v>134</v>
      </c>
      <c r="B43">
        <f>MEDIAN(Table3286[Task 1a])</f>
        <v>261</v>
      </c>
      <c r="C43">
        <f>MEDIAN(Table3286[Task 1b])</f>
        <v>180</v>
      </c>
      <c r="D43">
        <f>MEDIAN(Table3286[Task 2])</f>
        <v>109</v>
      </c>
      <c r="E43">
        <f>MEDIAN(Table3286[Task 3])</f>
        <v>119</v>
      </c>
      <c r="F43">
        <f>MEDIAN(Table3286[Task 4])</f>
        <v>97.5</v>
      </c>
      <c r="G43">
        <f>MEDIAN(Table3286[Task 5])</f>
        <v>51</v>
      </c>
      <c r="H43">
        <f>MEDIAN(Table3286[Task 6])</f>
        <v>44</v>
      </c>
      <c r="I43">
        <f>MEDIAN(Table3286[Task 7])</f>
        <v>41</v>
      </c>
      <c r="K43" s="47" t="s">
        <v>134</v>
      </c>
      <c r="L43">
        <f>MEDIAN(Table3587[Task 1a])</f>
        <v>210</v>
      </c>
      <c r="M43">
        <f>MEDIAN(Table3587[Task 1b])</f>
        <v>180</v>
      </c>
      <c r="N43">
        <f>MEDIAN(Table3587[Task 2])</f>
        <v>158</v>
      </c>
      <c r="O43">
        <f>MEDIAN(Table3587[Task 3])</f>
        <v>98.5</v>
      </c>
      <c r="P43">
        <f>MEDIAN(Table3587[Task 4])</f>
        <v>131</v>
      </c>
      <c r="Q43">
        <f>MEDIAN(Table3587[Task 5])</f>
        <v>78</v>
      </c>
      <c r="R43">
        <f>MEDIAN(Table3587[Task 6])</f>
        <v>95</v>
      </c>
      <c r="S43">
        <f>MEDIAN(Table3587[Task 7])</f>
        <v>118.5</v>
      </c>
      <c r="U43" s="47" t="s">
        <v>134</v>
      </c>
      <c r="V43">
        <f>MEDIAN(Table353688[Task 1a])</f>
        <v>300</v>
      </c>
      <c r="W43">
        <f>MEDIAN(Table353688[Task 1b])</f>
        <v>120</v>
      </c>
      <c r="X43">
        <f>MEDIAN(Table353688[Task 2])</f>
        <v>180</v>
      </c>
      <c r="Y43">
        <f>MEDIAN(Table353688[Task 3])</f>
        <v>83</v>
      </c>
      <c r="Z43">
        <f>MEDIAN(Table353688[Task 4])</f>
        <v>91</v>
      </c>
      <c r="AA43">
        <f>MEDIAN(Table353688[Task 5])</f>
        <v>113</v>
      </c>
      <c r="AB43">
        <f>MEDIAN(Table353688[Task 6])</f>
        <v>84</v>
      </c>
      <c r="AC43">
        <f>MEDIAN(Table353688[Task 7])</f>
        <v>84.5</v>
      </c>
    </row>
    <row r="45" spans="1:29" ht="15.75" thickBot="1"/>
    <row r="46" spans="1:29" ht="15.75" thickTop="1">
      <c r="B46" s="105"/>
    </row>
  </sheetData>
  <mergeCells count="6">
    <mergeCell ref="B3:I3"/>
    <mergeCell ref="L3:S3"/>
    <mergeCell ref="V3:AC3"/>
    <mergeCell ref="B4:I4"/>
    <mergeCell ref="L4:S4"/>
    <mergeCell ref="V4:AC4"/>
  </mergeCells>
  <pageMargins left="0.7" right="0.7" top="0.75" bottom="0.75" header="0.3" footer="0.3"/>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
  <sheetViews>
    <sheetView workbookViewId="0"/>
  </sheetViews>
  <sheetFormatPr defaultRowHeight="15"/>
  <cols>
    <col min="1" max="1" width="11.140625" customWidth="1"/>
    <col min="2" max="2" width="9.5703125" customWidth="1"/>
    <col min="3" max="6" width="9.5703125" bestFit="1" customWidth="1"/>
    <col min="7" max="9" width="9.28515625" bestFit="1" customWidth="1"/>
    <col min="10" max="10" width="9.5703125" customWidth="1"/>
  </cols>
  <sheetData>
    <row r="1" spans="1:10 16384:16384" ht="28.5">
      <c r="A1" s="125" t="s">
        <v>214</v>
      </c>
      <c r="B1" s="126"/>
      <c r="C1" s="126"/>
      <c r="D1" s="126"/>
      <c r="E1" s="126"/>
      <c r="F1" s="126"/>
      <c r="G1" s="126"/>
      <c r="H1" s="126"/>
      <c r="I1" s="126"/>
      <c r="J1" s="126"/>
    </row>
    <row r="2" spans="1:10 16384:16384">
      <c r="A2" s="47" t="s">
        <v>29</v>
      </c>
    </row>
    <row r="3" spans="1:10 16384:16384">
      <c r="A3" t="s">
        <v>30</v>
      </c>
      <c r="B3" s="47" t="s">
        <v>1</v>
      </c>
      <c r="C3" s="47" t="s">
        <v>28</v>
      </c>
      <c r="D3" s="47" t="s">
        <v>2</v>
      </c>
      <c r="E3" s="47" t="s">
        <v>3</v>
      </c>
      <c r="F3" s="47" t="s">
        <v>4</v>
      </c>
      <c r="G3" s="47" t="s">
        <v>5</v>
      </c>
      <c r="H3" s="47" t="s">
        <v>6</v>
      </c>
      <c r="I3" s="47" t="s">
        <v>7</v>
      </c>
      <c r="J3" s="47" t="s">
        <v>31</v>
      </c>
    </row>
    <row r="4" spans="1:10 16384:16384">
      <c r="A4" s="47" t="s">
        <v>130</v>
      </c>
      <c r="B4" s="48">
        <f>AVERAGE(Table351[Task 1a])</f>
        <v>0.1736111111111111</v>
      </c>
      <c r="C4" s="48">
        <f>AVERAGE(Table351[Task 1b])</f>
        <v>0.16666666666666666</v>
      </c>
      <c r="D4" s="48">
        <f>AVERAGE(Table351[Task 2])</f>
        <v>0.15972222222222221</v>
      </c>
      <c r="E4" s="48">
        <f>AVERAGE(Table351[Task 3])</f>
        <v>0.46527777777777779</v>
      </c>
      <c r="F4" s="48">
        <f>AVERAGE(Table351[Task 4])</f>
        <v>0.69444444444444442</v>
      </c>
      <c r="G4" s="48">
        <f>AVERAGE(Table351[Task 5])</f>
        <v>0.75694444444444442</v>
      </c>
      <c r="H4" s="48">
        <f>AVERAGE(Table351[Task 6])</f>
        <v>0.61111111111111116</v>
      </c>
      <c r="I4" s="48">
        <f>AVERAGE(Table351[Task 7])</f>
        <v>0.77083333333333337</v>
      </c>
      <c r="J4" s="49">
        <f>AVERAGE(B4:I4)</f>
        <v>0.47482638888888895</v>
      </c>
    </row>
    <row r="5" spans="1:10 16384:16384">
      <c r="A5" s="47" t="s">
        <v>129</v>
      </c>
      <c r="B5" s="48">
        <f>AVERAGE(Table3360[Task 1a])</f>
        <v>0.40277777777777779</v>
      </c>
      <c r="C5" s="48">
        <f>AVERAGE(Table3360[Task 1b])</f>
        <v>4.1666666666666664E-2</v>
      </c>
      <c r="D5" s="48">
        <f>AVERAGE(Table3360[Task 2])</f>
        <v>6.9444444444444448E-2</v>
      </c>
      <c r="E5" s="48">
        <f>AVERAGE(Table3360[Task 3])</f>
        <v>0.19444444444444445</v>
      </c>
      <c r="F5" s="48">
        <f>AVERAGE(Table3360[Task 4])</f>
        <v>0.3611111111111111</v>
      </c>
      <c r="G5" s="48">
        <f>AVERAGE(Table3360[Task 5])</f>
        <v>0.1388888888888889</v>
      </c>
      <c r="H5" s="48">
        <f>AVERAGE(Table3360[Task 6])</f>
        <v>0.16666666666666666</v>
      </c>
      <c r="I5" s="48">
        <f>AVERAGE(Table3360[Task 7])</f>
        <v>0.43055555555555558</v>
      </c>
      <c r="J5" s="49">
        <f>AVERAGE(B5:I5)</f>
        <v>0.22569444444444445</v>
      </c>
      <c r="XFD5" s="48"/>
    </row>
    <row r="6" spans="1:10 16384:16384">
      <c r="A6" s="47" t="s">
        <v>128</v>
      </c>
      <c r="B6" s="48">
        <f>AVERAGE(Table31364[Task 1a])</f>
        <v>0.25694444444444442</v>
      </c>
      <c r="C6" s="48">
        <f>AVERAGE(Table31364[Task 1b])</f>
        <v>0.47222222222222221</v>
      </c>
      <c r="D6" s="48">
        <f>AVERAGE(Table31364[Task 2])</f>
        <v>0.2638888888888889</v>
      </c>
      <c r="E6" s="48">
        <f>AVERAGE(Table31364[Task 3])</f>
        <v>0.45833333333333331</v>
      </c>
      <c r="F6" s="48">
        <f>AVERAGE(Table31364[Task 4])</f>
        <v>0.125</v>
      </c>
      <c r="G6" s="48">
        <f>AVERAGE(Table31364[Task 5])</f>
        <v>0.3125</v>
      </c>
      <c r="H6" s="48">
        <f>AVERAGE(Table31364[Task 6])</f>
        <v>0.27777777777777779</v>
      </c>
      <c r="I6" s="48">
        <f>AVERAGE(Table31364[Task 7])</f>
        <v>0.69444444444444442</v>
      </c>
      <c r="J6" s="49">
        <f>AVERAGE(B6:I6)</f>
        <v>0.35763888888888884</v>
      </c>
    </row>
    <row r="8" spans="1:10 16384:16384">
      <c r="A8" s="47" t="s">
        <v>32</v>
      </c>
    </row>
    <row r="9" spans="1:10 16384:16384">
      <c r="A9" t="s">
        <v>30</v>
      </c>
      <c r="B9" s="47" t="s">
        <v>1</v>
      </c>
      <c r="C9" s="47" t="s">
        <v>28</v>
      </c>
      <c r="D9" s="47" t="s">
        <v>2</v>
      </c>
      <c r="E9" s="47" t="s">
        <v>3</v>
      </c>
      <c r="F9" s="47" t="s">
        <v>4</v>
      </c>
      <c r="G9" s="47" t="s">
        <v>5</v>
      </c>
      <c r="H9" s="47" t="s">
        <v>6</v>
      </c>
      <c r="I9" s="47" t="s">
        <v>7</v>
      </c>
      <c r="J9" t="s">
        <v>31</v>
      </c>
    </row>
    <row r="10" spans="1:10 16384:16384">
      <c r="A10" s="47" t="s">
        <v>130</v>
      </c>
      <c r="B10" s="48">
        <f>Table3286[[#Totals],[Task 1a]]</f>
        <v>246.32</v>
      </c>
      <c r="C10" s="48">
        <f>Table3286[[#Totals],[Task 1b]]</f>
        <v>157.45833333333334</v>
      </c>
      <c r="D10" s="48">
        <f>Table3286[[#Totals],[Task 2]]</f>
        <v>124.34782608695652</v>
      </c>
      <c r="E10" s="48">
        <f>Table3286[[#Totals],[Task 3]]</f>
        <v>115.94736842105263</v>
      </c>
      <c r="F10" s="48">
        <f>Table3286[[#Totals],[Task 4]]</f>
        <v>96.357142857142861</v>
      </c>
      <c r="G10" s="48">
        <f>Table3286[[#Totals],[Task 5]]</f>
        <v>61.264705882352942</v>
      </c>
      <c r="H10" s="48">
        <f>Table3286[[#Totals],[Task 6]]</f>
        <v>57.64</v>
      </c>
      <c r="I10" s="48">
        <f>Table3286[[#Totals],[Task 7]]</f>
        <v>54.757575757575758</v>
      </c>
      <c r="J10" s="50">
        <f>AVERAGE(B10:I10)</f>
        <v>114.26161904230175</v>
      </c>
    </row>
    <row r="11" spans="1:10 16384:16384">
      <c r="A11" s="47" t="s">
        <v>129</v>
      </c>
      <c r="B11" s="48">
        <f>Table3587[[#Totals],[Task 1a]]</f>
        <v>207.28571428571428</v>
      </c>
      <c r="C11" s="48">
        <f>Table3587[[#Totals],[Task 1b]]</f>
        <v>175.83333333333334</v>
      </c>
      <c r="D11" s="48">
        <f>Table3587[[#Totals],[Task 2]]</f>
        <v>132.57142857142858</v>
      </c>
      <c r="E11" s="48">
        <f>Table3587[[#Totals],[Task 3]]</f>
        <v>104</v>
      </c>
      <c r="F11" s="48">
        <f>Table3587[[#Totals],[Task 4]]</f>
        <v>123.09090909090909</v>
      </c>
      <c r="G11" s="48">
        <f>Table3587[[#Totals],[Task 5]]</f>
        <v>84.818181818181813</v>
      </c>
      <c r="H11" s="48">
        <f>Table3587[[#Totals],[Task 6]]</f>
        <v>117.08333333333333</v>
      </c>
      <c r="I11" s="48">
        <f>Table3587[[#Totals],[Task 7]]</f>
        <v>131.85</v>
      </c>
      <c r="J11" s="49">
        <f>AVERAGE(B11:I11)</f>
        <v>134.56661255411257</v>
      </c>
    </row>
    <row r="12" spans="1:10 16384:16384">
      <c r="A12" s="47" t="s">
        <v>128</v>
      </c>
      <c r="B12" s="48">
        <f>Table353688[[#Totals],[Task 1a]]</f>
        <v>258.5625</v>
      </c>
      <c r="C12" s="48">
        <f>Table353688[[#Totals],[Task 1b]]</f>
        <v>114.43478260869566</v>
      </c>
      <c r="D12" s="48">
        <f>Table353688[[#Totals],[Task 2]]</f>
        <v>162.85</v>
      </c>
      <c r="E12" s="48">
        <f>Table353688[[#Totals],[Task 3]]</f>
        <v>89.333333333333329</v>
      </c>
      <c r="F12" s="48">
        <f>Table353688[[#Totals],[Task 4]]</f>
        <v>95.333333333333329</v>
      </c>
      <c r="G12" s="48">
        <f>Table353688[[#Totals],[Task 5]]</f>
        <v>115.2</v>
      </c>
      <c r="H12" s="48">
        <f>Table353688[[#Totals],[Task 6]]</f>
        <v>87.94736842105263</v>
      </c>
      <c r="I12" s="48">
        <f>Table353688[[#Totals],[Task 7]]</f>
        <v>94.821428571428569</v>
      </c>
      <c r="J12" s="50">
        <f>AVERAGE(B12:I12)</f>
        <v>127.31034328348045</v>
      </c>
    </row>
    <row r="14" spans="1:10 16384:16384">
      <c r="A14" s="47" t="s">
        <v>33</v>
      </c>
    </row>
    <row r="15" spans="1:10 16384:16384">
      <c r="A15" t="s">
        <v>30</v>
      </c>
      <c r="B15" s="47" t="s">
        <v>1</v>
      </c>
      <c r="C15" s="47" t="s">
        <v>28</v>
      </c>
      <c r="D15" s="47" t="s">
        <v>2</v>
      </c>
      <c r="E15" s="47" t="s">
        <v>3</v>
      </c>
      <c r="F15" s="47" t="s">
        <v>4</v>
      </c>
      <c r="G15" s="47" t="s">
        <v>5</v>
      </c>
      <c r="H15" s="47" t="s">
        <v>6</v>
      </c>
      <c r="I15" s="47" t="s">
        <v>7</v>
      </c>
      <c r="J15" t="s">
        <v>31</v>
      </c>
    </row>
    <row r="16" spans="1:10 16384:16384">
      <c r="A16" s="47" t="s">
        <v>130</v>
      </c>
      <c r="B16" s="48">
        <f>AVERAGE(Table553[Task 1a])</f>
        <v>2.6666666666666665</v>
      </c>
      <c r="C16" s="48">
        <f>AVERAGE(Table553[Task 1b])</f>
        <v>2.4722222222222223</v>
      </c>
      <c r="D16" s="48">
        <f>AVERAGE(Table553[Task 2])</f>
        <v>2.7777777777777777</v>
      </c>
      <c r="E16" s="48">
        <f>AVERAGE(Table553[Task 3])</f>
        <v>2.25</v>
      </c>
      <c r="F16" s="48">
        <f>AVERAGE(Table553[Task 4])</f>
        <v>2.9444444444444446</v>
      </c>
      <c r="G16" s="48">
        <f>AVERAGE(Table553[Task 5])</f>
        <v>3.75</v>
      </c>
      <c r="H16" s="48">
        <f>AVERAGE(Table553[Task 6])</f>
        <v>3.0277777777777777</v>
      </c>
      <c r="I16" s="48">
        <f>AVERAGE(Table553[Task 7])</f>
        <v>3.9444444444444446</v>
      </c>
      <c r="J16" s="50">
        <f>AVERAGE(B16:I16)</f>
        <v>2.979166666666667</v>
      </c>
    </row>
    <row r="17" spans="1:10">
      <c r="A17" s="47" t="s">
        <v>129</v>
      </c>
      <c r="B17" s="48">
        <f>AVERAGE(Table51162[Task 1a])</f>
        <v>3.3055555555555554</v>
      </c>
      <c r="C17" s="48">
        <f>AVERAGE(Table51162[Task 1b])</f>
        <v>1.8055555555555556</v>
      </c>
      <c r="D17" s="48">
        <f>AVERAGE(Table51162[Task 2])</f>
        <v>2</v>
      </c>
      <c r="E17" s="48">
        <f>AVERAGE(Table51162[Task 3])</f>
        <v>1.7222222222222223</v>
      </c>
      <c r="F17" s="48">
        <f>AVERAGE(Table51162[Task 4])</f>
        <v>2.8333333333333335</v>
      </c>
      <c r="G17" s="48">
        <f>AVERAGE(Table51162[Task 5])</f>
        <v>2.1388888888888888</v>
      </c>
      <c r="H17" s="48">
        <f>AVERAGE(Table51162[Task 6])</f>
        <v>1.9166666666666667</v>
      </c>
      <c r="I17" s="48">
        <f>AVERAGE(Table51162[Task 7])</f>
        <v>1.9166666666666667</v>
      </c>
      <c r="J17" s="49">
        <f>AVERAGE(B17:I17)</f>
        <v>2.2048611111111112</v>
      </c>
    </row>
    <row r="18" spans="1:10">
      <c r="A18" s="47" t="s">
        <v>128</v>
      </c>
      <c r="B18" s="48">
        <f>AVERAGE(Table51566[Task 1a])</f>
        <v>2.2777777777777777</v>
      </c>
      <c r="C18" s="48">
        <f>AVERAGE(Table51566[Task 1b])</f>
        <v>2.8055555555555554</v>
      </c>
      <c r="D18" s="48">
        <f>AVERAGE(Table51566[Task 2])</f>
        <v>2.5</v>
      </c>
      <c r="E18" s="48">
        <f>AVERAGE(Table51566[Task 3])</f>
        <v>2.7777777777777777</v>
      </c>
      <c r="F18" s="48">
        <f>AVERAGE(Table51566[Task 4])</f>
        <v>2.3888888888888888</v>
      </c>
      <c r="G18" s="48">
        <f>AVERAGE(Table51566[Task 5])</f>
        <v>2.1388888888888888</v>
      </c>
      <c r="H18" s="48">
        <f>AVERAGE(Table51566[Task 6])</f>
        <v>2.6111111111111112</v>
      </c>
      <c r="I18" s="48">
        <f>AVERAGE(Table51566[Task 7])</f>
        <v>3.1944444444444446</v>
      </c>
      <c r="J18" s="50">
        <f>AVERAGE(B18:I18)</f>
        <v>2.5868055555555554</v>
      </c>
    </row>
    <row r="20" spans="1:10">
      <c r="A20" s="47" t="s">
        <v>34</v>
      </c>
    </row>
    <row r="21" spans="1:10">
      <c r="A21" s="41" t="s">
        <v>30</v>
      </c>
      <c r="B21" s="51" t="s">
        <v>31</v>
      </c>
    </row>
    <row r="22" spans="1:10">
      <c r="A22" s="52" t="s">
        <v>130</v>
      </c>
      <c r="B22" s="53">
        <f>AVERAGE(Table5254[TOTAL])</f>
        <v>51.111111111111114</v>
      </c>
    </row>
    <row r="23" spans="1:10">
      <c r="A23" s="54" t="s">
        <v>129</v>
      </c>
      <c r="B23" s="55">
        <f>AVERAGE(Table521263[TOTAL])</f>
        <v>31.111111111111111</v>
      </c>
    </row>
    <row r="24" spans="1:10">
      <c r="A24" s="56" t="s">
        <v>128</v>
      </c>
      <c r="B24" s="57">
        <f>AVERAGE(Table521667[TOTAL])</f>
        <v>43.75</v>
      </c>
    </row>
  </sheetData>
  <pageMargins left="0.7" right="0.7" top="0.75" bottom="0.75" header="0.3" footer="0.3"/>
  <pageSetup paperSize="9" orientation="portrait" horizontalDpi="0" verticalDpi="0" r:id="rId1"/>
  <drawing r:id="rId2"/>
  <tableParts count="4">
    <tablePart r:id="rId3"/>
    <tablePart r:id="rId4"/>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85" zoomScaleNormal="85" workbookViewId="0"/>
  </sheetViews>
  <sheetFormatPr defaultRowHeight="15"/>
  <cols>
    <col min="1" max="1" width="15.7109375" customWidth="1"/>
    <col min="2" max="2" width="9.85546875" bestFit="1" customWidth="1"/>
    <col min="3" max="3" width="10.28515625" bestFit="1" customWidth="1"/>
    <col min="10" max="10" width="9.85546875" bestFit="1" customWidth="1"/>
    <col min="11" max="11" width="20.140625" customWidth="1"/>
  </cols>
  <sheetData>
    <row r="1" spans="1:11" ht="42" customHeight="1">
      <c r="A1" s="123" t="s">
        <v>213</v>
      </c>
      <c r="B1" s="123"/>
      <c r="C1" s="123"/>
      <c r="D1" s="123"/>
      <c r="E1" s="123"/>
      <c r="F1" s="123"/>
      <c r="G1" s="123"/>
      <c r="H1" s="123"/>
      <c r="I1" s="123"/>
      <c r="J1" s="123"/>
      <c r="K1" s="123"/>
    </row>
    <row r="2" spans="1:11">
      <c r="A2" s="47" t="s">
        <v>29</v>
      </c>
    </row>
    <row r="3" spans="1:11">
      <c r="A3" t="s">
        <v>30</v>
      </c>
      <c r="B3" s="47" t="s">
        <v>27</v>
      </c>
      <c r="C3" s="47" t="s">
        <v>28</v>
      </c>
      <c r="D3" s="47" t="s">
        <v>2</v>
      </c>
      <c r="E3" s="47" t="s">
        <v>3</v>
      </c>
      <c r="F3" s="47" t="s">
        <v>4</v>
      </c>
      <c r="G3" s="47" t="s">
        <v>5</v>
      </c>
      <c r="H3" s="47" t="s">
        <v>6</v>
      </c>
      <c r="I3" s="47" t="s">
        <v>7</v>
      </c>
      <c r="J3" s="47" t="s">
        <v>31</v>
      </c>
      <c r="K3" s="47" t="s">
        <v>135</v>
      </c>
    </row>
    <row r="4" spans="1:11">
      <c r="A4" s="47" t="s">
        <v>126</v>
      </c>
      <c r="B4" s="48">
        <f>AVERAGE(Table3[Task 1a])</f>
        <v>0.54861111111111116</v>
      </c>
      <c r="C4" s="48"/>
      <c r="D4" s="48">
        <f>AVERAGE(Table3[Task 2])</f>
        <v>0.35416666666666669</v>
      </c>
      <c r="E4" s="48">
        <f>AVERAGE(Table3[Task 3])</f>
        <v>0.1388888888888889</v>
      </c>
      <c r="F4" s="48">
        <f>AVERAGE(Table3[Task 4])</f>
        <v>0.28472222222222221</v>
      </c>
      <c r="G4" s="48">
        <f>AVERAGE(Table3[Task 5])</f>
        <v>0.69444444444444442</v>
      </c>
      <c r="H4" s="48">
        <f>AVERAGE(Table3[Task 6])</f>
        <v>0.2986111111111111</v>
      </c>
      <c r="I4" s="48"/>
      <c r="J4" s="49">
        <f t="shared" ref="J4:J9" si="0">AVERAGE(B4:I4)</f>
        <v>0.38657407407407401</v>
      </c>
      <c r="K4" s="48">
        <f>Table3139[[#This Row],[Overall]]*100</f>
        <v>38.657407407407405</v>
      </c>
    </row>
    <row r="5" spans="1:11">
      <c r="A5" s="47" t="s">
        <v>127</v>
      </c>
      <c r="B5" s="48">
        <f>AVERAGE(Table313[Task 1a])</f>
        <v>6.25E-2</v>
      </c>
      <c r="C5" s="48">
        <f>AVERAGE(Table313[Task 1b])</f>
        <v>8.3333333333333329E-2</v>
      </c>
      <c r="D5" s="48">
        <f>AVERAGE(Table313[Task 2])</f>
        <v>0.16666666666666666</v>
      </c>
      <c r="E5" s="48">
        <f>AVERAGE(Table313[Task 3])</f>
        <v>0.36805555555555558</v>
      </c>
      <c r="F5" s="48">
        <f>AVERAGE(Table313[Task 4])</f>
        <v>0.16666666666666666</v>
      </c>
      <c r="G5" s="48">
        <f>AVERAGE(Table313[Task 5])</f>
        <v>0.18055555555555555</v>
      </c>
      <c r="H5" s="48">
        <f>AVERAGE(Table313[Task 6])</f>
        <v>0.29166666666666669</v>
      </c>
      <c r="I5" s="48">
        <f>AVERAGE(Table313[Task 7])</f>
        <v>0.67361111111111116</v>
      </c>
      <c r="J5" s="55">
        <f t="shared" si="0"/>
        <v>0.24913194444444445</v>
      </c>
      <c r="K5" s="48">
        <f>Table3139[[#This Row],[Overall]]*100</f>
        <v>24.913194444444446</v>
      </c>
    </row>
    <row r="6" spans="1:11">
      <c r="A6" s="47" t="s">
        <v>128</v>
      </c>
      <c r="B6" s="48">
        <f>AVERAGE(Table31364[Task 1a])</f>
        <v>0.25694444444444442</v>
      </c>
      <c r="C6" s="48">
        <f>AVERAGE(Table31364[Task 1b])</f>
        <v>0.47222222222222221</v>
      </c>
      <c r="D6" s="48">
        <f>AVERAGE(Table31364[Task 2])</f>
        <v>0.2638888888888889</v>
      </c>
      <c r="E6" s="48">
        <f>AVERAGE(Table31364[Task 3])</f>
        <v>0.45833333333333331</v>
      </c>
      <c r="F6" s="48">
        <f>AVERAGE(Table31364[Task 4])</f>
        <v>0.125</v>
      </c>
      <c r="G6" s="48">
        <f>AVERAGE(Table31364[Task 5])</f>
        <v>0.3125</v>
      </c>
      <c r="H6" s="48">
        <f>AVERAGE(Table31364[Task 6])</f>
        <v>0.27777777777777779</v>
      </c>
      <c r="I6" s="48">
        <f>AVERAGE(Table31364[Task 7])</f>
        <v>0.69444444444444442</v>
      </c>
      <c r="J6" s="49">
        <f t="shared" si="0"/>
        <v>0.35763888888888884</v>
      </c>
      <c r="K6" s="48">
        <f>Table3139[[#This Row],[Overall]]*100</f>
        <v>35.763888888888886</v>
      </c>
    </row>
    <row r="7" spans="1:11">
      <c r="A7" s="47" t="s">
        <v>129</v>
      </c>
      <c r="B7" s="48">
        <f>AVERAGE(Table3360[Task 1a])</f>
        <v>0.40277777777777779</v>
      </c>
      <c r="C7" s="48">
        <f>AVERAGE(Table3360[Task 1b])</f>
        <v>4.1666666666666664E-2</v>
      </c>
      <c r="D7" s="48">
        <f>AVERAGE(Table3360[Task 2])</f>
        <v>6.9444444444444448E-2</v>
      </c>
      <c r="E7" s="48">
        <f>AVERAGE(Table3360[Task 3])</f>
        <v>0.19444444444444445</v>
      </c>
      <c r="F7" s="48">
        <f>AVERAGE(Table3360[Task 4])</f>
        <v>0.3611111111111111</v>
      </c>
      <c r="G7" s="48">
        <f>AVERAGE(Table3360[Task 5])</f>
        <v>0.1388888888888889</v>
      </c>
      <c r="H7" s="48">
        <f>AVERAGE(Table3360[Task 6])</f>
        <v>0.16666666666666666</v>
      </c>
      <c r="I7" s="48">
        <f>AVERAGE(Table3360[Task 7])</f>
        <v>0.43055555555555558</v>
      </c>
      <c r="J7" s="49">
        <f t="shared" si="0"/>
        <v>0.22569444444444445</v>
      </c>
      <c r="K7" s="48">
        <f>Table3139[[#This Row],[Overall]]*100</f>
        <v>22.569444444444446</v>
      </c>
    </row>
    <row r="8" spans="1:11">
      <c r="A8" s="47" t="s">
        <v>130</v>
      </c>
      <c r="B8" s="48">
        <f>AVERAGE(Table351[Task 1a])</f>
        <v>0.1736111111111111</v>
      </c>
      <c r="C8" s="48">
        <f>AVERAGE(Table351[Task 1b])</f>
        <v>0.16666666666666666</v>
      </c>
      <c r="D8" s="48">
        <f>AVERAGE(Table351[Task 2])</f>
        <v>0.15972222222222221</v>
      </c>
      <c r="E8" s="48">
        <f>AVERAGE(Table351[Task 3])</f>
        <v>0.46527777777777779</v>
      </c>
      <c r="F8" s="48">
        <f>AVERAGE(Table351[Task 4])</f>
        <v>0.69444444444444442</v>
      </c>
      <c r="G8" s="48">
        <f>AVERAGE(Table351[Task 5])</f>
        <v>0.75694444444444442</v>
      </c>
      <c r="H8" s="48">
        <f>AVERAGE(Table351[Task 6])</f>
        <v>0.61111111111111116</v>
      </c>
      <c r="I8" s="48">
        <f>AVERAGE(Table351[Task 7])</f>
        <v>0.77083333333333337</v>
      </c>
      <c r="J8" s="49">
        <f t="shared" si="0"/>
        <v>0.47482638888888895</v>
      </c>
      <c r="K8" s="48">
        <f>Table3139[[#This Row],[Overall]]*100</f>
        <v>47.482638888888893</v>
      </c>
    </row>
    <row r="9" spans="1:11">
      <c r="A9" s="47" t="s">
        <v>131</v>
      </c>
      <c r="B9" s="48">
        <f>AVERAGE(Table33[Task 1a])</f>
        <v>0.1736111111111111</v>
      </c>
      <c r="C9" s="48">
        <f>AVERAGE(Table33[Task 1b])</f>
        <v>0.43888888888888888</v>
      </c>
      <c r="D9" s="48">
        <f>AVERAGE(Table33[Task 2])</f>
        <v>0.34027777777777779</v>
      </c>
      <c r="E9" s="48">
        <f>AVERAGE(Table33[Task 3])</f>
        <v>0.75694444444444442</v>
      </c>
      <c r="F9" s="48">
        <f>AVERAGE(Table33[Task 4])</f>
        <v>0.3125</v>
      </c>
      <c r="G9" s="48">
        <f>AVERAGE(Table33[Task 5])</f>
        <v>0.54861111111111116</v>
      </c>
      <c r="H9" s="48">
        <f>AVERAGE(Table33[Task 6])</f>
        <v>0.30555555555555558</v>
      </c>
      <c r="I9" s="48">
        <f>AVERAGE(Table33[Task 7])</f>
        <v>0.95833333333333337</v>
      </c>
      <c r="J9" s="49">
        <f t="shared" si="0"/>
        <v>0.47934027777777782</v>
      </c>
      <c r="K9" s="48">
        <f>Table3139[[#This Row],[Overall]]*100</f>
        <v>47.934027777777786</v>
      </c>
    </row>
    <row r="11" spans="1:11">
      <c r="A11" s="47" t="s">
        <v>32</v>
      </c>
    </row>
    <row r="12" spans="1:11">
      <c r="A12" t="s">
        <v>30</v>
      </c>
      <c r="B12" t="s">
        <v>27</v>
      </c>
      <c r="C12" s="47" t="s">
        <v>28</v>
      </c>
      <c r="D12" s="47" t="s">
        <v>2</v>
      </c>
      <c r="E12" s="47" t="s">
        <v>3</v>
      </c>
      <c r="F12" s="47" t="s">
        <v>4</v>
      </c>
      <c r="G12" s="47" t="s">
        <v>5</v>
      </c>
      <c r="H12" s="47" t="s">
        <v>6</v>
      </c>
      <c r="I12" s="47" t="s">
        <v>7</v>
      </c>
      <c r="J12" t="s">
        <v>31</v>
      </c>
      <c r="K12" t="s">
        <v>136</v>
      </c>
    </row>
    <row r="13" spans="1:11">
      <c r="A13" s="47" t="s">
        <v>126</v>
      </c>
      <c r="B13" s="48">
        <f>Table32[[#Totals],[Task 1a]]</f>
        <v>150.48387096774192</v>
      </c>
      <c r="C13" s="48"/>
      <c r="D13" s="48">
        <f>Table32[[#Totals],[Task 2]]</f>
        <v>126.14285714285714</v>
      </c>
      <c r="E13" s="48">
        <f>Table32[[#Totals],[Task 3]]</f>
        <v>82.75</v>
      </c>
      <c r="F13" s="48">
        <f>Table32[[#Totals],[Task 4]]</f>
        <v>77.090909090909093</v>
      </c>
      <c r="G13" s="48">
        <f>Table32[[#Totals],[Task 5]]</f>
        <v>60.36</v>
      </c>
      <c r="H13" s="48">
        <f>Table32[[#Totals],[Task 6]]</f>
        <v>43.46153846153846</v>
      </c>
      <c r="I13" s="48"/>
      <c r="J13" s="50">
        <f>AVERAGE(Table32[[Task 1a]:[Task 7]])</f>
        <v>99.981651376146786</v>
      </c>
      <c r="K13" s="48">
        <f>SUM(Table3441[[#This Row],[Task 1a]:[Task 7]])</f>
        <v>540.28917566304665</v>
      </c>
    </row>
    <row r="14" spans="1:11">
      <c r="A14" s="47" t="s">
        <v>127</v>
      </c>
      <c r="B14" s="48">
        <f>Table3536[[#Totals],[Task 1a]]</f>
        <v>242.44444444444446</v>
      </c>
      <c r="C14" s="48">
        <f>Table3536[[#Totals],[Task 1b]]</f>
        <v>112.55555555555556</v>
      </c>
      <c r="D14" s="48">
        <f>Table3536[[#Totals],[Task 2]]</f>
        <v>138.73333333333332</v>
      </c>
      <c r="E14" s="48">
        <f>Table3536[[#Totals],[Task 3]]</f>
        <v>74.214285714285708</v>
      </c>
      <c r="F14" s="48">
        <f>Table3536[[#Totals],[Task 4]]</f>
        <v>83.571428571428569</v>
      </c>
      <c r="G14" s="48">
        <f>Table3536[[#Totals],[Task 5]]</f>
        <v>91.75</v>
      </c>
      <c r="H14" s="48">
        <f>Table3536[[#Totals],[Task 6]]</f>
        <v>60.25</v>
      </c>
      <c r="I14" s="48">
        <f>Table3536[[#Totals],[Task 7]]</f>
        <v>75.959999999999994</v>
      </c>
      <c r="J14" s="49">
        <f>AVERAGE(Table3536[[Task 1a]:[Task 7]])</f>
        <v>101.11504424778761</v>
      </c>
      <c r="K14" s="48">
        <f>SUM(Table3441[[#This Row],[Task 1a]:[Task 7]])</f>
        <v>879.47904761904761</v>
      </c>
    </row>
    <row r="15" spans="1:11">
      <c r="A15" s="47" t="s">
        <v>128</v>
      </c>
      <c r="B15" s="48">
        <f>Table353688[[#Totals],[Task 1a]]</f>
        <v>258.5625</v>
      </c>
      <c r="C15" s="48">
        <f>Table353688[[#Totals],[Task 1b]]</f>
        <v>114.43478260869566</v>
      </c>
      <c r="D15" s="48">
        <f>Table353688[[#Totals],[Task 2]]</f>
        <v>162.85</v>
      </c>
      <c r="E15" s="48">
        <f>Table353688[[#Totals],[Task 3]]</f>
        <v>89.333333333333329</v>
      </c>
      <c r="F15" s="48">
        <f>Table353688[[#Totals],[Task 4]]</f>
        <v>95.333333333333329</v>
      </c>
      <c r="G15" s="48">
        <f>Table353688[[#Totals],[Task 5]]</f>
        <v>115.2</v>
      </c>
      <c r="H15" s="48">
        <f>Table353688[[#Totals],[Task 6]]</f>
        <v>87.94736842105263</v>
      </c>
      <c r="I15" s="48">
        <f>Table353688[[#Totals],[Task 7]]</f>
        <v>94.821428571428569</v>
      </c>
      <c r="J15" s="49">
        <f>AVERAGE(Table3587[[Task 1a]:[Task 7]])</f>
        <v>142.32758620689654</v>
      </c>
      <c r="K15" s="48">
        <f>SUM(Table3441[[#This Row],[Task 1a]:[Task 7]])</f>
        <v>1018.4827462678436</v>
      </c>
    </row>
    <row r="16" spans="1:11">
      <c r="A16" s="47" t="s">
        <v>129</v>
      </c>
      <c r="B16" s="48">
        <f>Table3587[[#Totals],[Task 1a]]</f>
        <v>207.28571428571428</v>
      </c>
      <c r="C16" s="48">
        <f>Table3587[[#Totals],[Task 1b]]</f>
        <v>175.83333333333334</v>
      </c>
      <c r="D16" s="48">
        <f>Table3587[[#Totals],[Task 2]]</f>
        <v>132.57142857142858</v>
      </c>
      <c r="E16" s="48">
        <f>Table3587[[#Totals],[Task 3]]</f>
        <v>104</v>
      </c>
      <c r="F16" s="48">
        <f>Table3587[[#Totals],[Task 4]]</f>
        <v>123.09090909090909</v>
      </c>
      <c r="G16" s="48">
        <f>Table3587[[#Totals],[Task 5]]</f>
        <v>84.818181818181813</v>
      </c>
      <c r="H16" s="48">
        <f>Table3587[[#Totals],[Task 6]]</f>
        <v>117.08333333333333</v>
      </c>
      <c r="I16" s="48">
        <f>Table3587[[#Totals],[Task 7]]</f>
        <v>131.85</v>
      </c>
      <c r="J16" s="61">
        <f>AVERAGE(Table353688[[Task 1a]:[Task 7]])</f>
        <v>122.95</v>
      </c>
      <c r="K16" s="48">
        <f>SUM(Table3441[[#This Row],[Task 1a]:[Task 7]])</f>
        <v>1076.5329004329005</v>
      </c>
    </row>
    <row r="17" spans="1:11">
      <c r="A17" s="47" t="s">
        <v>130</v>
      </c>
      <c r="B17" s="48">
        <f>Table3286[[#Totals],[Task 1a]]</f>
        <v>246.32</v>
      </c>
      <c r="C17" s="48">
        <f>Table3286[[#Totals],[Task 1b]]</f>
        <v>157.45833333333334</v>
      </c>
      <c r="D17" s="48">
        <f>Table3286[[#Totals],[Task 2]]</f>
        <v>124.34782608695652</v>
      </c>
      <c r="E17" s="48">
        <f>Table3286[[#Totals],[Task 3]]</f>
        <v>115.94736842105263</v>
      </c>
      <c r="F17" s="48">
        <f>Table3286[[#Totals],[Task 4]]</f>
        <v>96.357142857142861</v>
      </c>
      <c r="G17" s="48">
        <f>Table3286[[#Totals],[Task 5]]</f>
        <v>61.264705882352942</v>
      </c>
      <c r="H17" s="48">
        <f>Table3286[[#Totals],[Task 6]]</f>
        <v>57.64</v>
      </c>
      <c r="I17" s="48">
        <f>Table3286[[#Totals],[Task 7]]</f>
        <v>54.757575757575758</v>
      </c>
      <c r="J17" s="49">
        <f>AVERAGE(Table3286[[Task 1a]:[Task 7]])</f>
        <v>109.14218009478672</v>
      </c>
      <c r="K17" s="48">
        <f>SUM(Table3441[[#This Row],[Task 1a]:[Task 7]])</f>
        <v>914.09295233841397</v>
      </c>
    </row>
    <row r="18" spans="1:11">
      <c r="A18" s="47" t="s">
        <v>131</v>
      </c>
      <c r="B18" s="48">
        <f>Table35[[#Totals],[Task 1a]]</f>
        <v>210.95454545454547</v>
      </c>
      <c r="C18" s="48">
        <f>Table35[[#Totals],[Task 1b]]</f>
        <v>114.44444444444444</v>
      </c>
      <c r="D18" s="48">
        <f>Table35[[#Totals],[Task 2]]</f>
        <v>115.22727272727273</v>
      </c>
      <c r="E18" s="48">
        <f>Table35[[#Totals],[Task 3]]</f>
        <v>54</v>
      </c>
      <c r="F18" s="48">
        <f>Table35[[#Totals],[Task 4]]</f>
        <v>112.4</v>
      </c>
      <c r="G18" s="48">
        <f>Table35[[#Totals],[Task 5]]</f>
        <v>48.68181818181818</v>
      </c>
      <c r="H18" s="48">
        <f>Table35[[#Totals],[Task 6]]</f>
        <v>97.818181818181813</v>
      </c>
      <c r="I18" s="48">
        <f>Table35[[#Totals],[Task 7]]</f>
        <v>44.027777777777779</v>
      </c>
      <c r="J18" s="106">
        <f>AVERAGE(Table35[[Task 1a]:[Task 7]])</f>
        <v>95.36363636363636</v>
      </c>
      <c r="K18" s="48">
        <f>SUM(Table3441[[#This Row],[Task 1a]:[Task 7]])</f>
        <v>797.55404040404051</v>
      </c>
    </row>
    <row r="20" spans="1:11">
      <c r="A20" s="47" t="s">
        <v>33</v>
      </c>
    </row>
    <row r="21" spans="1:11">
      <c r="A21" t="s">
        <v>30</v>
      </c>
      <c r="B21" t="s">
        <v>27</v>
      </c>
      <c r="C21" s="47" t="s">
        <v>28</v>
      </c>
      <c r="D21" s="47" t="s">
        <v>2</v>
      </c>
      <c r="E21" s="47" t="s">
        <v>3</v>
      </c>
      <c r="F21" s="47" t="s">
        <v>4</v>
      </c>
      <c r="G21" s="47" t="s">
        <v>5</v>
      </c>
      <c r="H21" s="47" t="s">
        <v>6</v>
      </c>
      <c r="I21" s="47" t="s">
        <v>7</v>
      </c>
      <c r="J21" t="s">
        <v>31</v>
      </c>
    </row>
    <row r="22" spans="1:11">
      <c r="A22" s="47" t="s">
        <v>126</v>
      </c>
      <c r="B22" s="48">
        <f>AVERAGE(Table5[Task 1a])</f>
        <v>4</v>
      </c>
      <c r="C22" s="48"/>
      <c r="D22" s="48">
        <f>AVERAGE(Table5[Task 2])</f>
        <v>2.9444444444444446</v>
      </c>
      <c r="E22" s="48">
        <f>AVERAGE(Table5[Task 3])</f>
        <v>2.9166666666666665</v>
      </c>
      <c r="F22" s="48">
        <f>AVERAGE(Table5[Task 4])</f>
        <v>2.6111111111111112</v>
      </c>
      <c r="G22" s="48">
        <f>AVERAGE(Table5[Task 5])</f>
        <v>3.6388888888888888</v>
      </c>
      <c r="H22" s="48">
        <f>AVERAGE(Table5[Task 6])</f>
        <v>3.7777777777777777</v>
      </c>
      <c r="I22" s="48"/>
      <c r="J22" s="50">
        <f t="shared" ref="J22:J27" si="1">AVERAGE(B22:I22)</f>
        <v>3.3148148148148149</v>
      </c>
    </row>
    <row r="23" spans="1:11">
      <c r="A23" s="47" t="s">
        <v>127</v>
      </c>
      <c r="B23" s="48">
        <f>AVERAGE(Table515[Task 1a])</f>
        <v>2.5555555555555554</v>
      </c>
      <c r="C23" s="48">
        <f>AVERAGE(Table515[Task 1b])</f>
        <v>2.8333333333333335</v>
      </c>
      <c r="D23" s="48">
        <f>AVERAGE(Table515[Task 2])</f>
        <v>3</v>
      </c>
      <c r="E23" s="48">
        <f>AVERAGE(Table515[Task 3])</f>
        <v>2.9166666666666665</v>
      </c>
      <c r="F23" s="48">
        <f>AVERAGE(Table515[Task 4])</f>
        <v>2.8055555555555554</v>
      </c>
      <c r="G23" s="48">
        <f>AVERAGE(Table515[Task 5])</f>
        <v>2.3888888888888888</v>
      </c>
      <c r="H23" s="48">
        <f>AVERAGE(Table515[Task 6])</f>
        <v>2.8888888888888888</v>
      </c>
      <c r="I23" s="48">
        <f>AVERAGE(Table515[Task 7])</f>
        <v>3.0277777777777777</v>
      </c>
      <c r="J23" s="107">
        <f t="shared" si="1"/>
        <v>2.8020833333333335</v>
      </c>
    </row>
    <row r="24" spans="1:11">
      <c r="A24" s="47" t="s">
        <v>128</v>
      </c>
      <c r="B24" s="48">
        <f>AVERAGE(Table51566[Task 1a])</f>
        <v>2.2777777777777777</v>
      </c>
      <c r="C24" s="48">
        <f>AVERAGE(Table51566[Task 1b])</f>
        <v>2.8055555555555554</v>
      </c>
      <c r="D24" s="48">
        <f>AVERAGE(Table51566[Task 2])</f>
        <v>2.5</v>
      </c>
      <c r="E24" s="48">
        <f>AVERAGE(Table51566[Task 3])</f>
        <v>2.7777777777777777</v>
      </c>
      <c r="F24" s="48">
        <f>AVERAGE(Table51566[Task 4])</f>
        <v>2.3888888888888888</v>
      </c>
      <c r="G24" s="48">
        <f>AVERAGE(Table51566[Task 5])</f>
        <v>2.1388888888888888</v>
      </c>
      <c r="H24" s="48">
        <f>AVERAGE(Table51566[Task 6])</f>
        <v>2.6111111111111112</v>
      </c>
      <c r="I24" s="48">
        <f>AVERAGE(Table51566[Task 7])</f>
        <v>3.1944444444444446</v>
      </c>
      <c r="J24" s="58">
        <f t="shared" si="1"/>
        <v>2.5868055555555554</v>
      </c>
    </row>
    <row r="25" spans="1:11">
      <c r="A25" s="47" t="s">
        <v>129</v>
      </c>
      <c r="B25" s="48">
        <f>AVERAGE(Table51162[Task 1a])</f>
        <v>3.3055555555555554</v>
      </c>
      <c r="C25" s="48">
        <f>AVERAGE(Table51162[Task 1b])</f>
        <v>1.8055555555555556</v>
      </c>
      <c r="D25" s="48">
        <f>AVERAGE(Table51162[Task 2])</f>
        <v>2</v>
      </c>
      <c r="E25" s="48">
        <f>AVERAGE(Table51162[Task 3])</f>
        <v>1.7222222222222223</v>
      </c>
      <c r="F25" s="48">
        <f>AVERAGE(Table51162[Task 4])</f>
        <v>2.8333333333333335</v>
      </c>
      <c r="G25" s="48">
        <f>AVERAGE(Table51162[Task 5])</f>
        <v>2.1388888888888888</v>
      </c>
      <c r="H25" s="48">
        <f>AVERAGE(Table51162[Task 6])</f>
        <v>1.9166666666666667</v>
      </c>
      <c r="I25" s="48">
        <f>AVERAGE(Table51162[Task 7])</f>
        <v>1.9166666666666667</v>
      </c>
      <c r="J25" s="61">
        <f t="shared" si="1"/>
        <v>2.2048611111111112</v>
      </c>
    </row>
    <row r="26" spans="1:11">
      <c r="A26" s="47" t="s">
        <v>130</v>
      </c>
      <c r="B26" s="48">
        <f>AVERAGE(Table553[Task 1a])</f>
        <v>2.6666666666666665</v>
      </c>
      <c r="C26" s="48">
        <f>AVERAGE(Table553[Task 1b])</f>
        <v>2.4722222222222223</v>
      </c>
      <c r="D26" s="48">
        <f>AVERAGE(Table553[Task 2])</f>
        <v>2.7777777777777777</v>
      </c>
      <c r="E26" s="48">
        <f>AVERAGE(Table553[Task 3])</f>
        <v>2.25</v>
      </c>
      <c r="F26" s="48">
        <f>AVERAGE(Table553[Task 4])</f>
        <v>2.9444444444444446</v>
      </c>
      <c r="G26" s="48">
        <f>AVERAGE(Table553[Task 5])</f>
        <v>3.75</v>
      </c>
      <c r="H26" s="48">
        <f>AVERAGE(Table553[Task 6])</f>
        <v>3.0277777777777777</v>
      </c>
      <c r="I26" s="48">
        <f>AVERAGE(Table553[Task 7])</f>
        <v>3.9444444444444446</v>
      </c>
      <c r="J26" s="49">
        <f t="shared" si="1"/>
        <v>2.979166666666667</v>
      </c>
    </row>
    <row r="27" spans="1:11">
      <c r="A27" s="47" t="s">
        <v>131</v>
      </c>
      <c r="B27" s="48">
        <f>AVERAGE(Table511[Task 1a])</f>
        <v>2.5</v>
      </c>
      <c r="C27" s="48">
        <f>AVERAGE(Table511[Task 1b])</f>
        <v>3.3333333333333335</v>
      </c>
      <c r="D27" s="48">
        <f>AVERAGE(Table511[Task 2])</f>
        <v>2.8888888888888888</v>
      </c>
      <c r="E27" s="48">
        <f>AVERAGE(Table511[Task 3])</f>
        <v>2.8888888888888888</v>
      </c>
      <c r="F27" s="48">
        <f>AVERAGE(Table511[Task 4])</f>
        <v>3.5</v>
      </c>
      <c r="G27" s="48">
        <f>AVERAGE(Table511[Task 5])</f>
        <v>3.6944444444444446</v>
      </c>
      <c r="H27" s="48">
        <f>AVERAGE(Table511[Task 6])</f>
        <v>3.0555555555555554</v>
      </c>
      <c r="I27" s="48">
        <f>AVERAGE(Table511[Task 7])</f>
        <v>4.3611111111111107</v>
      </c>
      <c r="J27" s="108">
        <f t="shared" si="1"/>
        <v>3.2777777777777781</v>
      </c>
    </row>
    <row r="29" spans="1:11">
      <c r="A29" s="47" t="s">
        <v>34</v>
      </c>
    </row>
    <row r="30" spans="1:11">
      <c r="A30" s="41" t="s">
        <v>30</v>
      </c>
      <c r="B30" s="51" t="s">
        <v>31</v>
      </c>
    </row>
    <row r="31" spans="1:11">
      <c r="A31" s="47" t="s">
        <v>126</v>
      </c>
      <c r="B31" s="53">
        <f>AVERAGE(Table52[TOTAL])</f>
        <v>56.597222222222221</v>
      </c>
    </row>
    <row r="32" spans="1:11">
      <c r="A32" s="47" t="s">
        <v>127</v>
      </c>
      <c r="B32" s="60">
        <f>AVERAGE(Table5216[TOTAL])</f>
        <v>41.875</v>
      </c>
    </row>
    <row r="33" spans="1:2">
      <c r="A33" s="47" t="s">
        <v>128</v>
      </c>
      <c r="B33" s="57">
        <f>AVERAGE(Table521667[TOTAL])</f>
        <v>43.75</v>
      </c>
    </row>
    <row r="34" spans="1:2">
      <c r="A34" s="47" t="s">
        <v>129</v>
      </c>
      <c r="B34" s="109">
        <f>AVERAGE(Table521263[TOTAL])</f>
        <v>31.111111111111111</v>
      </c>
    </row>
    <row r="35" spans="1:2">
      <c r="A35" s="47" t="s">
        <v>130</v>
      </c>
      <c r="B35" s="60">
        <f>AVERAGE(Table5254[TOTAL])</f>
        <v>51.111111111111114</v>
      </c>
    </row>
    <row r="36" spans="1:2">
      <c r="A36" s="47" t="s">
        <v>131</v>
      </c>
      <c r="B36" s="59">
        <f>AVERAGE(Table5212[TOTAL])</f>
        <v>51.25</v>
      </c>
    </row>
  </sheetData>
  <pageMargins left="0.7" right="0.7" top="0.75" bottom="0.75" header="0.3" footer="0.3"/>
  <pageSetup paperSize="9" orientation="portrait" horizontalDpi="0" verticalDpi="0" r:id="rId1"/>
  <tableParts count="4">
    <tablePart r:id="rId2"/>
    <tablePart r:id="rId3"/>
    <tablePart r:id="rId4"/>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
  <sheetViews>
    <sheetView zoomScale="90" zoomScaleNormal="90" workbookViewId="0"/>
  </sheetViews>
  <sheetFormatPr defaultRowHeight="15"/>
  <sheetData>
    <row r="1" spans="1:34" ht="35.25" customHeight="1">
      <c r="A1" s="123" t="s">
        <v>215</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48576"/>
  <sheetViews>
    <sheetView zoomScaleNormal="100" workbookViewId="0">
      <selection activeCell="AP3" sqref="AP3"/>
    </sheetView>
  </sheetViews>
  <sheetFormatPr defaultRowHeight="15"/>
  <cols>
    <col min="1" max="1" width="28.5703125" bestFit="1" customWidth="1"/>
    <col min="2" max="2" width="9.42578125" customWidth="1"/>
    <col min="3" max="3" width="9.5703125" customWidth="1"/>
    <col min="10" max="10" width="9.5703125" customWidth="1"/>
    <col min="12" max="12" width="9.42578125" customWidth="1"/>
    <col min="13" max="13" width="9.5703125" customWidth="1"/>
    <col min="20" max="20" width="9.5703125" customWidth="1"/>
    <col min="22" max="22" width="9.42578125" customWidth="1"/>
    <col min="23" max="23" width="9.5703125" customWidth="1"/>
    <col min="30" max="30" width="9.5703125" customWidth="1"/>
    <col min="31" max="41" width="0" hidden="1" customWidth="1"/>
  </cols>
  <sheetData>
    <row r="1" spans="1:43" ht="27" customHeight="1">
      <c r="A1" s="125" t="s">
        <v>189</v>
      </c>
      <c r="B1" s="125"/>
      <c r="C1" s="125"/>
      <c r="D1" s="125"/>
      <c r="E1" s="125"/>
      <c r="F1" s="125"/>
      <c r="G1" s="125"/>
      <c r="H1" s="125"/>
      <c r="I1" s="125"/>
      <c r="J1" s="125"/>
    </row>
    <row r="2" spans="1:43" ht="15" customHeight="1"/>
    <row r="3" spans="1:43" ht="28.5">
      <c r="A3" s="159" t="s">
        <v>8</v>
      </c>
      <c r="B3" s="159"/>
      <c r="C3" s="159"/>
      <c r="D3" s="159"/>
      <c r="E3" s="159"/>
      <c r="F3" s="159"/>
      <c r="G3" s="159"/>
      <c r="H3" s="159"/>
      <c r="I3" s="159"/>
      <c r="J3" s="159"/>
      <c r="L3" s="159" t="s">
        <v>125</v>
      </c>
      <c r="M3" s="159"/>
      <c r="N3" s="159"/>
      <c r="O3" s="159"/>
      <c r="P3" s="159"/>
      <c r="Q3" s="159"/>
      <c r="R3" s="159"/>
      <c r="S3" s="159"/>
      <c r="T3" s="159"/>
      <c r="V3" s="159" t="s">
        <v>10</v>
      </c>
      <c r="W3" s="159"/>
      <c r="X3" s="159"/>
      <c r="Y3" s="159"/>
      <c r="Z3" s="159"/>
      <c r="AA3" s="159"/>
      <c r="AB3" s="159"/>
      <c r="AC3" s="159"/>
      <c r="AD3" s="159"/>
      <c r="AP3" s="117"/>
    </row>
    <row r="4" spans="1:43">
      <c r="A4" t="s">
        <v>147</v>
      </c>
      <c r="B4" s="47" t="s">
        <v>27</v>
      </c>
      <c r="C4" s="47" t="s">
        <v>28</v>
      </c>
      <c r="D4" s="47" t="s">
        <v>2</v>
      </c>
      <c r="E4" s="47" t="s">
        <v>3</v>
      </c>
      <c r="F4" s="47" t="s">
        <v>4</v>
      </c>
      <c r="G4" s="47" t="s">
        <v>5</v>
      </c>
      <c r="H4" s="47" t="s">
        <v>6</v>
      </c>
      <c r="I4" s="47" t="s">
        <v>7</v>
      </c>
      <c r="J4" s="47" t="s">
        <v>31</v>
      </c>
      <c r="L4" s="47" t="s">
        <v>27</v>
      </c>
      <c r="M4" s="47" t="s">
        <v>28</v>
      </c>
      <c r="N4" s="47" t="s">
        <v>2</v>
      </c>
      <c r="O4" s="47" t="s">
        <v>3</v>
      </c>
      <c r="P4" s="47" t="s">
        <v>4</v>
      </c>
      <c r="Q4" s="47" t="s">
        <v>5</v>
      </c>
      <c r="R4" s="47" t="s">
        <v>6</v>
      </c>
      <c r="S4" s="47" t="s">
        <v>7</v>
      </c>
      <c r="T4" s="47" t="s">
        <v>31</v>
      </c>
      <c r="V4" s="47" t="s">
        <v>27</v>
      </c>
      <c r="W4" s="47" t="s">
        <v>28</v>
      </c>
      <c r="X4" s="47" t="s">
        <v>2</v>
      </c>
      <c r="Y4" s="47" t="s">
        <v>3</v>
      </c>
      <c r="Z4" s="47" t="s">
        <v>4</v>
      </c>
      <c r="AA4" s="47" t="s">
        <v>5</v>
      </c>
      <c r="AB4" s="47" t="s">
        <v>6</v>
      </c>
      <c r="AC4" s="47" t="s">
        <v>7</v>
      </c>
      <c r="AD4" s="47" t="s">
        <v>31</v>
      </c>
      <c r="AE4" t="s">
        <v>114</v>
      </c>
      <c r="AF4" t="s">
        <v>132</v>
      </c>
      <c r="AG4" t="s">
        <v>138</v>
      </c>
      <c r="AH4" t="s">
        <v>139</v>
      </c>
      <c r="AI4" t="s">
        <v>140</v>
      </c>
      <c r="AJ4" t="s">
        <v>141</v>
      </c>
      <c r="AK4" t="s">
        <v>142</v>
      </c>
      <c r="AL4" t="s">
        <v>143</v>
      </c>
      <c r="AM4" t="s">
        <v>144</v>
      </c>
      <c r="AN4" t="s">
        <v>145</v>
      </c>
      <c r="AO4" t="s">
        <v>146</v>
      </c>
      <c r="AP4" s="47" t="s">
        <v>12</v>
      </c>
    </row>
    <row r="5" spans="1:43">
      <c r="A5" s="96" t="s">
        <v>116</v>
      </c>
      <c r="B5" s="95">
        <f>AVERAGEIF('Profiles - Group A '!$E$6:$E$41, "Non-Smart", 'Task metrics - Group A'!C$6:C$41)</f>
        <v>0.5178571428571429</v>
      </c>
      <c r="C5" s="95"/>
      <c r="D5" s="95">
        <f>AVERAGEIF('Profiles - Group A '!$E$6:$E$41, "Non-Smart", 'Task metrics - Group A'!E$6:E$41)</f>
        <v>0.17857142857142858</v>
      </c>
      <c r="E5" s="95">
        <f>AVERAGEIF('Profiles - Group A '!$E$6:$E$41, "Non-Smart", 'Task metrics - Group A'!F$6:F$41)</f>
        <v>0.10714285714285714</v>
      </c>
      <c r="F5" s="95">
        <f>AVERAGEIF('Profiles - Group A '!$E$6:$E$41, "Non-Smart", 'Task metrics - Group A'!G$6:G$41)</f>
        <v>0.2857142857142857</v>
      </c>
      <c r="G5" s="95">
        <f>AVERAGEIF('Profiles - Group A '!$E$6:$E$41, "Non-Smart", 'Task metrics - Group A'!H$6:H$41)</f>
        <v>0.7857142857142857</v>
      </c>
      <c r="H5" s="95">
        <f>AVERAGEIF('Profiles - Group A '!$E$6:$E$41, "Non-Smart", 'Task metrics - Group A'!I$6:I$41)</f>
        <v>0.16071428571428573</v>
      </c>
      <c r="I5" s="95"/>
      <c r="J5" s="95">
        <f>AVERAGE(B5:I5)</f>
        <v>0.33928571428571425</v>
      </c>
      <c r="K5" s="96"/>
      <c r="L5" s="95">
        <f>AVERAGEIF('Profiles - Group A '!$E$6:$E$41, "Non-Smart", 'Task Time Calcs - Group A'!B$6:B$41)</f>
        <v>183.54545454545453</v>
      </c>
      <c r="M5" s="95"/>
      <c r="N5" s="95">
        <f>AVERAGEIF('Profiles - Group A '!$E$6:$E$41, "Non-Smart", 'Task Time Calcs - Group A'!D$6:D$41)</f>
        <v>171.25</v>
      </c>
      <c r="O5" s="95">
        <f>AVERAGEIF('Profiles - Group A '!$E$6:$E$41, "Non-Smart", 'Task Time Calcs - Group A'!E$6:E$41)</f>
        <v>96.333333333333329</v>
      </c>
      <c r="P5" s="95">
        <f>AVERAGEIF('Profiles - Group A '!$E$6:$E$41, "Non-Smart", 'Task Time Calcs - Group A'!F$6:F$41)</f>
        <v>93.25</v>
      </c>
      <c r="Q5" s="95">
        <f>AVERAGEIF('Profiles - Group A '!$E$6:$E$41, "Non-Smart", 'Task Time Calcs - Group A'!G$6:G$41)</f>
        <v>62.636363636363633</v>
      </c>
      <c r="R5" s="95">
        <f>AVERAGEIF('Profiles - Group A '!$E$6:$E$41, "Non-Smart", 'Task Time Calcs - Group A'!H$6:H$41)</f>
        <v>36.666666666666664</v>
      </c>
      <c r="S5" s="95"/>
      <c r="T5" s="95">
        <f>AVERAGE(L5:S5)</f>
        <v>107.280303030303</v>
      </c>
      <c r="V5" s="95">
        <f>AVERAGEIF('Profiles - Group A '!$E$6:$E$41, "Non-Smart", 'Task metrics - Group A'!W$6:W$41)</f>
        <v>3.6428571428571428</v>
      </c>
      <c r="W5" s="95"/>
      <c r="X5" s="95">
        <f>AVERAGEIF('Profiles - Group A '!$E$6:$E$41, "Non-Smart", 'Task metrics - Group A'!Y$6:Y$41)</f>
        <v>2.3571428571428572</v>
      </c>
      <c r="Y5" s="95">
        <f>AVERAGEIF('Profiles - Group A '!$E$6:$E$41, "Non-Smart", 'Task metrics - Group A'!Z$6:Z$41)</f>
        <v>2.6428571428571428</v>
      </c>
      <c r="Z5" s="95">
        <f>AVERAGEIF('Profiles - Group A '!$E$6:$E$41, "Non-Smart", 'Task metrics - Group A'!AA$6:AA$41)</f>
        <v>2.0714285714285716</v>
      </c>
      <c r="AA5" s="95">
        <f>AVERAGEIF('Profiles - Group A '!$E$6:$E$41, "Non-Smart", 'Task metrics - Group A'!AB$6:AB$41)</f>
        <v>3.5714285714285716</v>
      </c>
      <c r="AB5" s="95">
        <f>AVERAGEIF('Profiles - Group A '!$E$6:$E$41, "Non-Smart", 'Task metrics - Group A'!AC$6:AC$41)</f>
        <v>3.3571428571428572</v>
      </c>
      <c r="AC5" s="95"/>
      <c r="AD5" s="95">
        <f>AVERAGE(V5:AC5)</f>
        <v>2.9404761904761902</v>
      </c>
      <c r="AP5" s="95">
        <f>AVERAGEIF('Profiles - Group A '!$E$6:$E$41, "Non-Smart", 'Task metrics - Group A'!AQ$6:AQ$41)</f>
        <v>41.428571428571431</v>
      </c>
    </row>
    <row r="6" spans="1:43">
      <c r="A6" s="96" t="s">
        <v>115</v>
      </c>
      <c r="B6" s="95">
        <f>AVERAGEIF('Profiles - Group A '!$E$6:$E$41, "&lt;&gt;Non-Smart", 'Task metrics - Group A'!C$6:C$41)</f>
        <v>0.56818181818181823</v>
      </c>
      <c r="C6" s="95"/>
      <c r="D6" s="95">
        <f>AVERAGEIF('Profiles - Group A '!$E$6:$E$41, "&lt;&gt;Non-Smart", 'Task metrics - Group A'!E$6:E$41)</f>
        <v>0.46590909090909088</v>
      </c>
      <c r="E6" s="95">
        <f>AVERAGEIF('Profiles - Group A '!$E$6:$E$41, "&lt;&gt;Non-Smart", 'Task metrics - Group A'!F$6:F$41)</f>
        <v>0.15909090909090909</v>
      </c>
      <c r="F6" s="95">
        <f>AVERAGEIF('Profiles - Group A '!$E$6:$E$41, "&lt;&gt;Non-Smart", 'Task metrics - Group A'!G$6:G$41)</f>
        <v>0.28409090909090912</v>
      </c>
      <c r="G6" s="95">
        <f>AVERAGEIF('Profiles - Group A '!$E$6:$E$41, "&lt;&gt;Non-Smart", 'Task metrics - Group A'!H$6:H$41)</f>
        <v>0.63636363636363635</v>
      </c>
      <c r="H6" s="95">
        <f>AVERAGEIF('Profiles - Group A '!$E$6:$E$41, "&lt;&gt;Non-Smart", 'Task metrics - Group A'!I$6:I$41)</f>
        <v>0.38636363636363635</v>
      </c>
      <c r="I6" s="95"/>
      <c r="J6" s="95">
        <f>AVERAGE(B6:I6)</f>
        <v>0.41666666666666669</v>
      </c>
      <c r="K6" s="96"/>
      <c r="L6" s="95">
        <f>AVERAGEIF('Profiles - Group A '!$E$6:$E$41, "&lt;&gt;Non-Smart", 'Task Time Calcs - Group A'!B$6:B$41)</f>
        <v>132.30000000000001</v>
      </c>
      <c r="M6" s="95"/>
      <c r="N6" s="95">
        <f>AVERAGEIF('Profiles - Group A '!$E$6:$E$41, "&lt;&gt;Non-Smart", 'Task Time Calcs - Group A'!D$6:D$41)</f>
        <v>115.52941176470588</v>
      </c>
      <c r="O6" s="95">
        <f>AVERAGEIF('Profiles - Group A '!$E$6:$E$41, "&lt;&gt;Non-Smart", 'Task Time Calcs - Group A'!E$6:E$41)</f>
        <v>74.599999999999994</v>
      </c>
      <c r="P6" s="95">
        <f>AVERAGEIF('Profiles - Group A '!$E$6:$E$41, "&lt;&gt;Non-Smart", 'Task Time Calcs - Group A'!F$6:F$41)</f>
        <v>67.857142857142861</v>
      </c>
      <c r="Q6" s="95">
        <f>AVERAGEIF('Profiles - Group A '!$E$6:$E$41, "&lt;&gt;Non-Smart", 'Task Time Calcs - Group A'!G$6:G$41)</f>
        <v>58.571428571428569</v>
      </c>
      <c r="R6" s="95">
        <f>AVERAGEIF('Profiles - Group A '!$E$6:$E$41, "&lt;&gt;Non-Smart", 'Task Time Calcs - Group A'!H$6:H$41)</f>
        <v>45.5</v>
      </c>
      <c r="S6" s="95"/>
      <c r="T6" s="95">
        <f>AVERAGE(L6:S6)</f>
        <v>82.392997198879542</v>
      </c>
      <c r="V6" s="95">
        <f>AVERAGEIF('Profiles - Group A '!$E$6:$E$41, "&lt;&gt;Non-Smart", 'Task metrics - Group A'!W$6:W$41)</f>
        <v>4.2272727272727275</v>
      </c>
      <c r="W6" s="95"/>
      <c r="X6" s="95">
        <f>AVERAGEIF('Profiles - Group A '!$E$6:$E$41, "&lt;&gt;Non-Smart", 'Task metrics - Group A'!Y$6:Y$41)</f>
        <v>3.3181818181818183</v>
      </c>
      <c r="Y6" s="95">
        <f>AVERAGEIF('Profiles - Group A '!$E$6:$E$41, "&lt;&gt;Non-Smart", 'Task metrics - Group A'!Z$6:Z$41)</f>
        <v>3.0909090909090908</v>
      </c>
      <c r="Z6" s="95">
        <f>AVERAGEIF('Profiles - Group A '!$E$6:$E$41, "&lt;&gt;Non-Smart", 'Task metrics - Group A'!AA$6:AA$41)</f>
        <v>2.9545454545454546</v>
      </c>
      <c r="AA6" s="95">
        <f>AVERAGEIF('Profiles - Group A '!$E$6:$E$41, "&lt;&gt;Non-Smart", 'Task metrics - Group A'!AB$6:AB$41)</f>
        <v>3.6818181818181817</v>
      </c>
      <c r="AB6" s="95">
        <f>AVERAGEIF('Profiles - Group A '!$E$6:$E$41, "&lt;&gt;Non-Smart", 'Task metrics - Group A'!AC$6:AC$41)</f>
        <v>4.0454545454545459</v>
      </c>
      <c r="AC6" s="95"/>
      <c r="AD6" s="95">
        <f>AVERAGE(V6:AC6)</f>
        <v>3.5530303030303032</v>
      </c>
      <c r="AP6" s="95">
        <f>AVERAGEIF('Profiles - Group A '!$E$6:$E$41, "&lt;&gt;Non-Smart", 'Task metrics - Group A'!AQ$6:AQ$41)</f>
        <v>66.25</v>
      </c>
    </row>
    <row r="8" spans="1:43">
      <c r="B8" s="47" t="s">
        <v>27</v>
      </c>
      <c r="C8" s="47" t="s">
        <v>28</v>
      </c>
      <c r="D8" s="47" t="s">
        <v>2</v>
      </c>
      <c r="E8" s="47" t="s">
        <v>3</v>
      </c>
      <c r="F8" s="47" t="s">
        <v>4</v>
      </c>
      <c r="G8" s="47" t="s">
        <v>5</v>
      </c>
      <c r="H8" s="47" t="s">
        <v>6</v>
      </c>
      <c r="I8" s="47" t="s">
        <v>7</v>
      </c>
      <c r="J8" s="47" t="s">
        <v>31</v>
      </c>
      <c r="L8" s="47" t="s">
        <v>27</v>
      </c>
      <c r="M8" s="47" t="s">
        <v>28</v>
      </c>
      <c r="N8" s="47" t="s">
        <v>2</v>
      </c>
      <c r="O8" s="47" t="s">
        <v>3</v>
      </c>
      <c r="P8" s="47" t="s">
        <v>4</v>
      </c>
      <c r="Q8" s="47" t="s">
        <v>5</v>
      </c>
      <c r="R8" s="47" t="s">
        <v>6</v>
      </c>
      <c r="S8" s="47" t="s">
        <v>7</v>
      </c>
      <c r="T8" s="47" t="s">
        <v>31</v>
      </c>
      <c r="V8" s="47" t="s">
        <v>27</v>
      </c>
      <c r="W8" s="47" t="s">
        <v>28</v>
      </c>
      <c r="X8" s="47" t="s">
        <v>2</v>
      </c>
      <c r="Y8" s="47" t="s">
        <v>3</v>
      </c>
      <c r="Z8" s="47" t="s">
        <v>4</v>
      </c>
      <c r="AA8" s="47" t="s">
        <v>5</v>
      </c>
      <c r="AB8" s="47" t="s">
        <v>6</v>
      </c>
      <c r="AC8" s="47" t="s">
        <v>7</v>
      </c>
      <c r="AD8" s="47" t="s">
        <v>31</v>
      </c>
    </row>
    <row r="9" spans="1:43">
      <c r="A9" s="96" t="s">
        <v>117</v>
      </c>
      <c r="B9" s="95">
        <f>AVERAGEIF('Profiles - Group A '!$C$6:$C$41, "18 to 25", 'Task metrics - Group A'!C$6:C$41)</f>
        <v>0.55000000000000004</v>
      </c>
      <c r="C9" s="95"/>
      <c r="D9" s="95">
        <f>AVERAGEIF('Profiles - Group A '!$C$6:$C$41, "18 to 25", 'Task metrics - Group A'!E$6:E$41)</f>
        <v>0.35</v>
      </c>
      <c r="E9" s="95">
        <f>AVERAGEIF('Profiles - Group A '!$C$6:$C$41, "18 to 25", 'Task metrics - Group A'!F$6:F$41)</f>
        <v>0</v>
      </c>
      <c r="F9" s="95">
        <f>AVERAGEIF('Profiles - Group A '!$C$6:$C$41, "18 to 25", 'Task metrics - Group A'!G$6:G$41)</f>
        <v>0.6</v>
      </c>
      <c r="G9" s="95">
        <f>AVERAGEIF('Profiles - Group A '!$C$6:$C$41, "18 to 25", 'Task metrics - Group A'!H$6:H$41)</f>
        <v>0.6</v>
      </c>
      <c r="H9" s="95">
        <f>AVERAGEIF('Profiles - Group A '!$C$6:$C$41, "18 to 25", 'Task metrics - Group A'!I$6:I$41)</f>
        <v>0.4</v>
      </c>
      <c r="I9" s="95"/>
      <c r="J9" s="95">
        <f t="shared" ref="J9:J14" si="0">AVERAGE(B9:I9)</f>
        <v>0.41666666666666669</v>
      </c>
      <c r="L9" s="95">
        <f>AVERAGEIF('Profiles - Group A '!$C$6:$C$41, "18 to 25", 'Task Time Calcs - Group A'!B$6:B$41)</f>
        <v>136.6</v>
      </c>
      <c r="M9" s="95"/>
      <c r="N9" s="95">
        <f>AVERAGEIF('Profiles - Group A '!$C$6:$C$41, "18 to 25", 'Task Time Calcs - Group A'!D$6:D$41)</f>
        <v>135</v>
      </c>
      <c r="O9" s="95"/>
      <c r="P9" s="95">
        <f>AVERAGEIF('Profiles - Group A '!$C$6:$C$41, "18 to 25", 'Task Time Calcs - Group A'!F$6:F$41)</f>
        <v>51.333333333333336</v>
      </c>
      <c r="Q9" s="95">
        <f>AVERAGEIF('Profiles - Group A '!$C$6:$C$41, "18 to 25", 'Task Time Calcs - Group A'!G$6:G$41)</f>
        <v>67.666666666666671</v>
      </c>
      <c r="R9" s="95">
        <f>AVERAGEIF('Profiles - Group A '!$C$6:$C$41, "18 to 25", 'Task Time Calcs - Group A'!H$6:H$41)</f>
        <v>53.5</v>
      </c>
      <c r="S9" s="95"/>
      <c r="T9" s="95">
        <f t="shared" ref="T9:T14" si="1">AVERAGE(L9:S9)</f>
        <v>88.820000000000007</v>
      </c>
      <c r="V9" s="95">
        <f>AVERAGEIF('Profiles - Group A '!$C$6:$C$41, "18 to 25", 'Task metrics - Group A'!W$6:W$41)</f>
        <v>4</v>
      </c>
      <c r="W9" s="95"/>
      <c r="X9" s="95">
        <f>AVERAGEIF('Profiles - Group A '!$C$6:$C$41, "18 to 25", 'Task metrics - Group A'!Y$6:Y$41)</f>
        <v>3</v>
      </c>
      <c r="Y9" s="95">
        <f>AVERAGEIF('Profiles - Group A '!$C$6:$C$41, "18 to 25", 'Task metrics - Group A'!Z$6:Z$41)</f>
        <v>2.8</v>
      </c>
      <c r="Z9" s="95">
        <f>AVERAGEIF('Profiles - Group A '!$C$6:$C$41, "18 to 25", 'Task metrics - Group A'!AA$6:AA$41)</f>
        <v>3.2</v>
      </c>
      <c r="AA9" s="95">
        <f>AVERAGEIF('Profiles - Group A '!$C$6:$C$41, "18 to 25", 'Task metrics - Group A'!AB$6:AB$41)</f>
        <v>3.8</v>
      </c>
      <c r="AB9" s="95">
        <f>AVERAGEIF('Profiles - Group A '!$C$6:$C$41, "18 to 25", 'Task metrics - Group A'!AC$6:AC$41)</f>
        <v>4.4000000000000004</v>
      </c>
      <c r="AC9" s="95"/>
      <c r="AD9" s="95">
        <f t="shared" ref="AD9:AD14" si="2">AVERAGE(V9:AC9)</f>
        <v>3.5333333333333337</v>
      </c>
      <c r="AP9" s="95">
        <f>AVERAGEIF('Profiles - Group A '!$C$6:$C$41, "18 to 25", 'Task metrics - Group A'!AQ$6:AQ$41)</f>
        <v>62.5</v>
      </c>
    </row>
    <row r="10" spans="1:43">
      <c r="A10" s="96" t="s">
        <v>118</v>
      </c>
      <c r="B10" s="95">
        <f>AVERAGEIF('Profiles - Group A '!$C$6:$C$41, "26 to 35", 'Task metrics - Group A'!C$6:C$41)</f>
        <v>0.7</v>
      </c>
      <c r="C10" s="95"/>
      <c r="D10" s="95">
        <f>AVERAGEIF('Profiles - Group A '!$C$6:$C$41, "26 to 35", 'Task metrics - Group A'!E$6:E$41)</f>
        <v>0.7</v>
      </c>
      <c r="E10" s="95">
        <f>AVERAGEIF('Profiles - Group A '!$C$6:$C$41, "26 to 35", 'Task metrics - Group A'!F$6:F$41)</f>
        <v>0.3</v>
      </c>
      <c r="F10" s="95">
        <f>AVERAGEIF('Profiles - Group A '!$C$6:$C$41, "26 to 35", 'Task metrics - Group A'!G$6:G$41)</f>
        <v>0.25</v>
      </c>
      <c r="G10" s="95">
        <f>AVERAGEIF('Profiles - Group A '!$C$6:$C$41, "26 to 35", 'Task metrics - Group A'!H$6:H$41)</f>
        <v>0.8</v>
      </c>
      <c r="H10" s="95">
        <f>AVERAGEIF('Profiles - Group A '!$C$6:$C$41, "26 to 35", 'Task metrics - Group A'!I$6:I$41)</f>
        <v>0.6</v>
      </c>
      <c r="I10" s="95"/>
      <c r="J10" s="95">
        <f t="shared" si="0"/>
        <v>0.55833333333333335</v>
      </c>
      <c r="K10" s="95"/>
      <c r="L10" s="95">
        <f>AVERAGEIF('Profiles - Group A '!$C$6:$C$41, "26 to 35", 'Task Time Calcs - Group A'!B$6:B$41)</f>
        <v>118</v>
      </c>
      <c r="M10" s="95"/>
      <c r="N10" s="95">
        <f>AVERAGEIF('Profiles - Group A '!$C$6:$C$41, "26 to 35", 'Task Time Calcs - Group A'!D$6:D$41)</f>
        <v>85.8</v>
      </c>
      <c r="O10" s="95">
        <f>AVERAGEIF('Profiles - Group A '!$C$6:$C$41, "26 to 35", 'Task Time Calcs - Group A'!E$6:E$41)</f>
        <v>54</v>
      </c>
      <c r="P10" s="95">
        <f>AVERAGEIF('Profiles - Group A '!$C$6:$C$41, "26 to 35", 'Task Time Calcs - Group A'!F$6:F$41)</f>
        <v>59</v>
      </c>
      <c r="Q10" s="95">
        <f>AVERAGEIF('Profiles - Group A '!$C$6:$C$41, "26 to 35", 'Task Time Calcs - Group A'!G$6:G$41)</f>
        <v>25</v>
      </c>
      <c r="R10" s="95">
        <f>AVERAGEIF('Profiles - Group A '!$C$6:$C$41, "26 to 35", 'Task Time Calcs - Group A'!H$6:H$41)</f>
        <v>23</v>
      </c>
      <c r="S10" s="95"/>
      <c r="T10" s="95">
        <f t="shared" si="1"/>
        <v>60.800000000000004</v>
      </c>
      <c r="U10" s="95"/>
      <c r="V10" s="95">
        <f>AVERAGEIF('Profiles - Group A '!$C$6:$C$41, "26 to 35", 'Task metrics - Group A'!W$6:W$41)</f>
        <v>4.4000000000000004</v>
      </c>
      <c r="W10" s="95"/>
      <c r="X10" s="95">
        <f>AVERAGEIF('Profiles - Group A '!$C$6:$C$41, "26 to 35", 'Task metrics - Group A'!Y$6:Y$41)</f>
        <v>3.8</v>
      </c>
      <c r="Y10" s="95">
        <f>AVERAGEIF('Profiles - Group A '!$C$6:$C$41, "26 to 35", 'Task metrics - Group A'!Z$6:Z$41)</f>
        <v>4.4000000000000004</v>
      </c>
      <c r="Z10" s="95">
        <f>AVERAGEIF('Profiles - Group A '!$C$6:$C$41, "26 to 35", 'Task metrics - Group A'!AA$6:AA$41)</f>
        <v>3</v>
      </c>
      <c r="AA10" s="95">
        <f>AVERAGEIF('Profiles - Group A '!$C$6:$C$41, "26 to 35", 'Task metrics - Group A'!AB$6:AB$41)</f>
        <v>4.2</v>
      </c>
      <c r="AB10" s="95">
        <f>AVERAGEIF('Profiles - Group A '!$C$6:$C$41, "26 to 35", 'Task metrics - Group A'!AC$6:AC$41)</f>
        <v>5</v>
      </c>
      <c r="AC10" s="95"/>
      <c r="AD10" s="95">
        <f t="shared" si="2"/>
        <v>4.1333333333333337</v>
      </c>
      <c r="AE10" s="95"/>
      <c r="AP10" s="95">
        <f>AVERAGEIF('Profiles - Group A '!$C$6:$C$41, "26 to 35", 'Task metrics - Group A'!AQ$6:AQ$41)</f>
        <v>68</v>
      </c>
      <c r="AQ10" s="95"/>
    </row>
    <row r="11" spans="1:43">
      <c r="A11" s="96" t="s">
        <v>119</v>
      </c>
      <c r="B11" s="95">
        <f>AVERAGEIF('Profiles - Group A '!$C$6:$C$41, "36 to 45", 'Task metrics - Group A'!C$6:C$41)</f>
        <v>0.5</v>
      </c>
      <c r="C11" s="95"/>
      <c r="D11" s="95">
        <f>AVERAGEIF('Profiles - Group A '!$C$6:$C$41, "36 to 45", 'Task metrics - Group A'!E$6:E$41)</f>
        <v>3.5714285714285712E-2</v>
      </c>
      <c r="E11" s="95">
        <f>AVERAGEIF('Profiles - Group A '!$C$6:$C$41, "36 to 45", 'Task metrics - Group A'!F$6:F$41)</f>
        <v>0.2857142857142857</v>
      </c>
      <c r="F11" s="95">
        <f>AVERAGEIF('Profiles - Group A '!$C$6:$C$41, "36 to 45", 'Task metrics - Group A'!G$6:G$41)</f>
        <v>0.42857142857142855</v>
      </c>
      <c r="G11" s="95">
        <f>AVERAGEIF('Profiles - Group A '!$C$6:$C$41, "36 to 45", 'Task metrics - Group A'!H$6:H$41)</f>
        <v>0.7142857142857143</v>
      </c>
      <c r="H11" s="95">
        <f>AVERAGEIF('Profiles - Group A '!$C$6:$C$41, "36 to 45", 'Task metrics - Group A'!I$6:I$41)</f>
        <v>0.14285714285714285</v>
      </c>
      <c r="I11" s="95"/>
      <c r="J11" s="95">
        <f t="shared" si="0"/>
        <v>0.35119047619047622</v>
      </c>
      <c r="L11" s="95">
        <f>AVERAGEIF('Profiles - Group A '!$C$6:$C$41, "36 to 45", 'Task Time Calcs - Group A'!B$6:B$41)</f>
        <v>160</v>
      </c>
      <c r="M11" s="95"/>
      <c r="N11" s="95">
        <f>AVERAGEIF('Profiles - Group A '!$C$6:$C$41, "36 to 45", 'Task Time Calcs - Group A'!D$6:D$41)</f>
        <v>95</v>
      </c>
      <c r="O11" s="95">
        <f>AVERAGEIF('Profiles - Group A '!$C$6:$C$41, "36 to 45", 'Task Time Calcs - Group A'!E$6:E$41)</f>
        <v>131</v>
      </c>
      <c r="P11" s="95">
        <f>AVERAGEIF('Profiles - Group A '!$C$6:$C$41, "36 to 45", 'Task Time Calcs - Group A'!F$6:F$41)</f>
        <v>120</v>
      </c>
      <c r="Q11" s="95">
        <f>AVERAGEIF('Profiles - Group A '!$C$6:$C$41, "36 to 45", 'Task Time Calcs - Group A'!G$6:G$41)</f>
        <v>82</v>
      </c>
      <c r="R11" s="95">
        <f>AVERAGEIF('Profiles - Group A '!$C$6:$C$41, "36 to 45", 'Task Time Calcs - Group A'!H$6:H$41)</f>
        <v>27</v>
      </c>
      <c r="S11" s="95"/>
      <c r="T11" s="95">
        <f t="shared" si="1"/>
        <v>102.5</v>
      </c>
      <c r="V11" s="95">
        <f>AVERAGEIF('Profiles - Group A '!$C$6:$C$41, "36 to 45", 'Task metrics - Group A'!W$6:W$41)</f>
        <v>3.7142857142857144</v>
      </c>
      <c r="W11" s="95"/>
      <c r="X11" s="95">
        <f>AVERAGEIF('Profiles - Group A '!$C$6:$C$41, "36 to 45", 'Task metrics - Group A'!Y$6:Y$41)</f>
        <v>2.8571428571428572</v>
      </c>
      <c r="Y11" s="95">
        <f>AVERAGEIF('Profiles - Group A '!$C$6:$C$41, "36 to 45", 'Task metrics - Group A'!Z$6:Z$41)</f>
        <v>2.8571428571428572</v>
      </c>
      <c r="Z11" s="95">
        <f>AVERAGEIF('Profiles - Group A '!$C$6:$C$41, "36 to 45", 'Task metrics - Group A'!AA$6:AA$41)</f>
        <v>2.7142857142857144</v>
      </c>
      <c r="AA11" s="95">
        <f>AVERAGEIF('Profiles - Group A '!$C$6:$C$41, "36 to 45", 'Task metrics - Group A'!AB$6:AB$41)</f>
        <v>3.1428571428571428</v>
      </c>
      <c r="AB11" s="95">
        <f>AVERAGEIF('Profiles - Group A '!$C$6:$C$41, "36 to 45", 'Task metrics - Group A'!AC$6:AC$41)</f>
        <v>3.1428571428571428</v>
      </c>
      <c r="AC11" s="95"/>
      <c r="AD11" s="95">
        <f t="shared" si="2"/>
        <v>3.0714285714285712</v>
      </c>
      <c r="AP11" s="95">
        <f>AVERAGEIF('Profiles - Group A '!$C$6:$C$41, "36 to 45", 'Task metrics - Group A'!AQ$6:AQ$41)</f>
        <v>55.357142857142854</v>
      </c>
    </row>
    <row r="12" spans="1:43">
      <c r="A12" s="96" t="s">
        <v>120</v>
      </c>
      <c r="B12" s="95">
        <f>AVERAGEIF('Profiles - Group A '!$C$6:$C$41, "46 to 55", 'Task metrics - Group A'!C$6:C$41)</f>
        <v>0.6875</v>
      </c>
      <c r="C12" s="95"/>
      <c r="D12" s="95">
        <f>AVERAGEIF('Profiles - Group A '!$C$6:$C$41, "46 to 55", 'Task metrics - Group A'!E$6:E$41)</f>
        <v>0.3125</v>
      </c>
      <c r="E12" s="95">
        <f>AVERAGEIF('Profiles - Group A '!$C$6:$C$41, "46 to 55", 'Task metrics - Group A'!F$6:F$41)</f>
        <v>3.125E-2</v>
      </c>
      <c r="F12" s="95">
        <f>AVERAGEIF('Profiles - Group A '!$C$6:$C$41, "46 to 55", 'Task metrics - Group A'!G$6:G$41)</f>
        <v>0.125</v>
      </c>
      <c r="G12" s="95">
        <f>AVERAGEIF('Profiles - Group A '!$C$6:$C$41, "46 to 55", 'Task metrics - Group A'!H$6:H$41)</f>
        <v>0.75</v>
      </c>
      <c r="H12" s="95">
        <f>AVERAGEIF('Profiles - Group A '!$C$6:$C$41, "46 to 55", 'Task metrics - Group A'!I$6:I$41)</f>
        <v>0.28125</v>
      </c>
      <c r="I12" s="95"/>
      <c r="J12" s="95">
        <f t="shared" si="0"/>
        <v>0.36458333333333331</v>
      </c>
      <c r="K12" s="95"/>
      <c r="L12" s="95">
        <f>AVERAGEIF('Profiles - Group A '!$C$6:$C$41, "46 to 55", 'Task Time Calcs - Group A'!B$6:B$41)</f>
        <v>133</v>
      </c>
      <c r="M12" s="95"/>
      <c r="N12" s="95">
        <f>AVERAGEIF('Profiles - Group A '!$C$6:$C$41, "46 to 55", 'Task Time Calcs - Group A'!D$6:D$41)</f>
        <v>131.5</v>
      </c>
      <c r="O12" s="95">
        <f>AVERAGEIF('Profiles - Group A '!$C$6:$C$41, "46 to 55", 'Task Time Calcs - Group A'!E$6:E$41)</f>
        <v>107</v>
      </c>
      <c r="P12" s="95">
        <f>AVERAGEIF('Profiles - Group A '!$C$6:$C$41, "46 to 55", 'Task Time Calcs - Group A'!F$6:F$41)</f>
        <v>83</v>
      </c>
      <c r="Q12" s="95">
        <f>AVERAGEIF('Profiles - Group A '!$C$6:$C$41, "46 to 55", 'Task Time Calcs - Group A'!G$6:G$41)</f>
        <v>50.166666666666664</v>
      </c>
      <c r="R12" s="95">
        <f>AVERAGEIF('Profiles - Group A '!$C$6:$C$41, "46 to 55", 'Task Time Calcs - Group A'!H$6:H$41)</f>
        <v>74.666666666666671</v>
      </c>
      <c r="S12" s="95"/>
      <c r="T12" s="95">
        <f t="shared" si="1"/>
        <v>96.555555555555557</v>
      </c>
      <c r="U12" s="95"/>
      <c r="V12" s="95">
        <f>AVERAGEIF('Profiles - Group A '!$C$6:$C$41, "46 to 55", 'Task metrics - Group A'!W$6:W$41)</f>
        <v>4.375</v>
      </c>
      <c r="W12" s="95"/>
      <c r="X12" s="95">
        <f>AVERAGEIF('Profiles - Group A '!$C$6:$C$41, "46 to 55", 'Task metrics - Group A'!Y$6:Y$41)</f>
        <v>2.875</v>
      </c>
      <c r="Y12" s="95">
        <f>AVERAGEIF('Profiles - Group A '!$C$6:$C$41, "46 to 55", 'Task metrics - Group A'!Z$6:Z$41)</f>
        <v>3</v>
      </c>
      <c r="Z12" s="95">
        <f>AVERAGEIF('Profiles - Group A '!$C$6:$C$41, "46 to 55", 'Task metrics - Group A'!AA$6:AA$41)</f>
        <v>1.75</v>
      </c>
      <c r="AA12" s="95">
        <f>AVERAGEIF('Profiles - Group A '!$C$6:$C$41, "46 to 55", 'Task metrics - Group A'!AB$6:AB$41)</f>
        <v>4.25</v>
      </c>
      <c r="AB12" s="95">
        <f>AVERAGEIF('Profiles - Group A '!$C$6:$C$41, "46 to 55", 'Task metrics - Group A'!AC$6:AC$41)</f>
        <v>3.625</v>
      </c>
      <c r="AC12" s="95"/>
      <c r="AD12" s="95">
        <f t="shared" si="2"/>
        <v>3.3125</v>
      </c>
      <c r="AE12" s="95"/>
      <c r="AP12" s="95">
        <f>AVERAGEIF('Profiles - Group A '!$C$6:$C$41, "46 to 55", 'Task metrics - Group A'!AQ$6:AQ$41)</f>
        <v>62.8125</v>
      </c>
      <c r="AQ12" s="95"/>
    </row>
    <row r="13" spans="1:43">
      <c r="A13" s="96" t="s">
        <v>121</v>
      </c>
      <c r="B13" s="95">
        <f>AVERAGEIF('Profiles - Group A '!$C$6:$C$41, "56 to 65", 'Task metrics - Group A'!C$6:C$41)</f>
        <v>0.58333333333333337</v>
      </c>
      <c r="C13" s="95"/>
      <c r="D13" s="95">
        <f>AVERAGEIF('Profiles - Group A '!$C$6:$C$41, "56 to 65", 'Task metrics - Group A'!E$6:E$41)</f>
        <v>0.375</v>
      </c>
      <c r="E13" s="95">
        <f>AVERAGEIF('Profiles - Group A '!$C$6:$C$41, "56 to 65", 'Task metrics - Group A'!F$6:F$41)</f>
        <v>4.1666666666666664E-2</v>
      </c>
      <c r="F13" s="95">
        <f>AVERAGEIF('Profiles - Group A '!$C$6:$C$41, "56 to 65", 'Task metrics - Group A'!G$6:G$41)</f>
        <v>0</v>
      </c>
      <c r="G13" s="95">
        <f>AVERAGEIF('Profiles - Group A '!$C$6:$C$41, "56 to 65", 'Task metrics - Group A'!H$6:H$41)</f>
        <v>0.66666666666666663</v>
      </c>
      <c r="H13" s="95">
        <f>AVERAGEIF('Profiles - Group A '!$C$6:$C$41, "56 to 65", 'Task metrics - Group A'!I$6:I$41)</f>
        <v>8.3333333333333329E-2</v>
      </c>
      <c r="I13" s="95"/>
      <c r="J13" s="95">
        <f t="shared" si="0"/>
        <v>0.29166666666666663</v>
      </c>
      <c r="L13" s="95">
        <f>AVERAGEIF('Profiles - Group A '!$C$6:$C$41, "56 to 65", 'Task Time Calcs - Group A'!B$6:B$41)</f>
        <v>196.2</v>
      </c>
      <c r="M13" s="95"/>
      <c r="N13" s="95">
        <f>AVERAGEIF('Profiles - Group A '!$C$6:$C$41, "56 to 65", 'Task Time Calcs - Group A'!D$6:D$41)</f>
        <v>179.66666666666666</v>
      </c>
      <c r="O13" s="95">
        <f>AVERAGEIF('Profiles - Group A '!$C$6:$C$41, "56 to 65", 'Task Time Calcs - Group A'!E$6:E$41)</f>
        <v>100</v>
      </c>
      <c r="P13" s="95"/>
      <c r="Q13" s="95">
        <f>AVERAGEIF('Profiles - Group A '!$C$6:$C$41, "56 to 65", 'Task Time Calcs - Group A'!G$6:G$41)</f>
        <v>79</v>
      </c>
      <c r="R13" s="95">
        <f>AVERAGEIF('Profiles - Group A '!$C$6:$C$41, "56 to 65", 'Task Time Calcs - Group A'!H$6:H$41)</f>
        <v>57.5</v>
      </c>
      <c r="S13" s="95"/>
      <c r="T13" s="95">
        <f t="shared" si="1"/>
        <v>122.47333333333333</v>
      </c>
      <c r="V13" s="95">
        <f>AVERAGEIF('Profiles - Group A '!$C$6:$C$41, "56 to 65", 'Task metrics - Group A'!W$6:W$41)</f>
        <v>3.8333333333333335</v>
      </c>
      <c r="W13" s="95"/>
      <c r="X13" s="95">
        <f>AVERAGEIF('Profiles - Group A '!$C$6:$C$41, "56 to 65", 'Task metrics - Group A'!Y$6:Y$41)</f>
        <v>2.3333333333333335</v>
      </c>
      <c r="Y13" s="95">
        <f>AVERAGEIF('Profiles - Group A '!$C$6:$C$41, "56 to 65", 'Task metrics - Group A'!Z$6:Z$41)</f>
        <v>2.6666666666666665</v>
      </c>
      <c r="Z13" s="95">
        <f>AVERAGEIF('Profiles - Group A '!$C$6:$C$41, "56 to 65", 'Task metrics - Group A'!AA$6:AA$41)</f>
        <v>2.3333333333333335</v>
      </c>
      <c r="AA13" s="95">
        <f>AVERAGEIF('Profiles - Group A '!$C$6:$C$41, "56 to 65", 'Task metrics - Group A'!AB$6:AB$41)</f>
        <v>3.3333333333333335</v>
      </c>
      <c r="AB13" s="95">
        <f>AVERAGEIF('Profiles - Group A '!$C$6:$C$41, "56 to 65", 'Task metrics - Group A'!AC$6:AC$41)</f>
        <v>3.5</v>
      </c>
      <c r="AC13" s="95"/>
      <c r="AD13" s="95">
        <f t="shared" si="2"/>
        <v>3</v>
      </c>
      <c r="AP13" s="95">
        <f>AVERAGEIF('Profiles - Group A '!$C$6:$C$41, "56 to 65", 'Task metrics - Group A'!AQ$6:AQ$41)</f>
        <v>50</v>
      </c>
    </row>
    <row r="14" spans="1:43">
      <c r="A14" s="96" t="s">
        <v>122</v>
      </c>
      <c r="B14" s="95">
        <f>AVERAGEIF('Profiles - Group A '!$C$6:$C$41, "66 to 75", 'Task metrics - Group A'!C$6:C$41)</f>
        <v>0.2</v>
      </c>
      <c r="C14" s="95"/>
      <c r="D14" s="95">
        <f>AVERAGEIF('Profiles - Group A '!$C$6:$C$41, "66 to 75", 'Task metrics - Group A'!E$6:E$41)</f>
        <v>0.5</v>
      </c>
      <c r="E14" s="95">
        <f>AVERAGEIF('Profiles - Group A '!$C$6:$C$41, "66 to 75", 'Task metrics - Group A'!F$6:F$41)</f>
        <v>0.2</v>
      </c>
      <c r="F14" s="95">
        <f>AVERAGEIF('Profiles - Group A '!$C$6:$C$41, "66 to 75", 'Task metrics - Group A'!G$6:G$41)</f>
        <v>0.4</v>
      </c>
      <c r="G14" s="95">
        <f>AVERAGEIF('Profiles - Group A '!$C$6:$C$41, "66 to 75", 'Task metrics - Group A'!H$6:H$41)</f>
        <v>0.6</v>
      </c>
      <c r="H14" s="95">
        <f>AVERAGEIF('Profiles - Group A '!$C$6:$C$41, "66 to 75", 'Task metrics - Group A'!I$6:I$41)</f>
        <v>0.4</v>
      </c>
      <c r="I14" s="95"/>
      <c r="J14" s="95">
        <f t="shared" si="0"/>
        <v>0.3833333333333333</v>
      </c>
      <c r="K14" s="95"/>
      <c r="L14" s="95">
        <f>AVERAGEIF('Profiles - Group A '!$C$6:$C$41, "66 to 75", 'Task Time Calcs - Group A'!B$6:B$41)</f>
        <v>170</v>
      </c>
      <c r="M14" s="95"/>
      <c r="N14" s="95">
        <f>AVERAGEIF('Profiles - Group A '!$C$6:$C$41, "66 to 75", 'Task Time Calcs - Group A'!D$6:D$41)</f>
        <v>130</v>
      </c>
      <c r="O14" s="95">
        <f>AVERAGEIF('Profiles - Group A '!$C$6:$C$41, "66 to 75", 'Task Time Calcs - Group A'!E$6:E$41)</f>
        <v>31</v>
      </c>
      <c r="P14" s="95">
        <f>AVERAGEIF('Profiles - Group A '!$C$6:$C$41, "66 to 75", 'Task Time Calcs - Group A'!F$6:F$41)</f>
        <v>66.5</v>
      </c>
      <c r="Q14" s="95">
        <f>AVERAGEIF('Profiles - Group A '!$C$6:$C$41, "66 to 75", 'Task Time Calcs - Group A'!G$6:G$41)</f>
        <v>59.666666666666664</v>
      </c>
      <c r="R14" s="95">
        <f>AVERAGEIF('Profiles - Group A '!$C$6:$C$41, "66 to 75", 'Task Time Calcs - Group A'!H$6:H$41)</f>
        <v>11.5</v>
      </c>
      <c r="S14" s="95"/>
      <c r="T14" s="95">
        <f t="shared" si="1"/>
        <v>78.111111111111114</v>
      </c>
      <c r="U14" s="95"/>
      <c r="V14" s="95">
        <f>AVERAGEIF('Profiles - Group A '!$C$6:$C$41, "66 to 75", 'Task metrics - Group A'!W$6:W$41)</f>
        <v>3.6</v>
      </c>
      <c r="W14" s="95"/>
      <c r="X14" s="95">
        <f>AVERAGEIF('Profiles - Group A '!$C$6:$C$41, "66 to 75", 'Task metrics - Group A'!Y$6:Y$41)</f>
        <v>3</v>
      </c>
      <c r="Y14" s="95">
        <f>AVERAGEIF('Profiles - Group A '!$C$6:$C$41, "66 to 75", 'Task metrics - Group A'!Z$6:Z$41)</f>
        <v>1.8</v>
      </c>
      <c r="Z14" s="95">
        <f>AVERAGEIF('Profiles - Group A '!$C$6:$C$41, "66 to 75", 'Task metrics - Group A'!AA$6:AA$41)</f>
        <v>3.2</v>
      </c>
      <c r="AA14" s="95">
        <f>AVERAGEIF('Profiles - Group A '!$C$6:$C$41, "66 to 75", 'Task metrics - Group A'!AB$6:AB$41)</f>
        <v>3</v>
      </c>
      <c r="AB14" s="95">
        <f>AVERAGEIF('Profiles - Group A '!$C$6:$C$41, "66 to 75", 'Task metrics - Group A'!AC$6:AC$41)</f>
        <v>3.4</v>
      </c>
      <c r="AC14" s="95"/>
      <c r="AD14" s="95">
        <f t="shared" si="2"/>
        <v>3</v>
      </c>
      <c r="AE14" s="95"/>
      <c r="AP14" s="95">
        <f>AVERAGEIF('Profiles - Group A '!$C$6:$C$41, "66 to 75", 'Task metrics - Group A'!AQ$6:AQ$41)</f>
        <v>39</v>
      </c>
      <c r="AQ14" s="95"/>
    </row>
    <row r="15" spans="1:43">
      <c r="A15" s="96"/>
    </row>
    <row r="16" spans="1:43">
      <c r="A16" s="96"/>
      <c r="B16" s="47" t="s">
        <v>27</v>
      </c>
      <c r="C16" s="47" t="s">
        <v>28</v>
      </c>
      <c r="D16" s="47" t="s">
        <v>2</v>
      </c>
      <c r="E16" s="47" t="s">
        <v>3</v>
      </c>
      <c r="F16" s="47" t="s">
        <v>4</v>
      </c>
      <c r="G16" s="47" t="s">
        <v>5</v>
      </c>
      <c r="H16" s="47" t="s">
        <v>6</v>
      </c>
      <c r="I16" s="47" t="s">
        <v>7</v>
      </c>
      <c r="J16" s="47" t="s">
        <v>31</v>
      </c>
      <c r="L16" s="47" t="s">
        <v>27</v>
      </c>
      <c r="M16" s="47" t="s">
        <v>28</v>
      </c>
      <c r="N16" s="47" t="s">
        <v>2</v>
      </c>
      <c r="O16" s="47" t="s">
        <v>3</v>
      </c>
      <c r="P16" s="47" t="s">
        <v>4</v>
      </c>
      <c r="Q16" s="47" t="s">
        <v>5</v>
      </c>
      <c r="R16" s="47" t="s">
        <v>6</v>
      </c>
      <c r="S16" s="47" t="s">
        <v>7</v>
      </c>
      <c r="T16" s="47" t="s">
        <v>31</v>
      </c>
      <c r="V16" s="47" t="s">
        <v>27</v>
      </c>
      <c r="W16" s="47" t="s">
        <v>28</v>
      </c>
      <c r="X16" s="47" t="s">
        <v>2</v>
      </c>
      <c r="Y16" s="47" t="s">
        <v>3</v>
      </c>
      <c r="Z16" s="47" t="s">
        <v>4</v>
      </c>
      <c r="AA16" s="47" t="s">
        <v>5</v>
      </c>
      <c r="AB16" s="47" t="s">
        <v>6</v>
      </c>
      <c r="AC16" s="47" t="s">
        <v>7</v>
      </c>
      <c r="AD16" s="47" t="s">
        <v>31</v>
      </c>
    </row>
    <row r="17" spans="1:43">
      <c r="A17" s="96" t="s">
        <v>55</v>
      </c>
      <c r="B17" s="95">
        <f>AVERAGEIF('Profiles - Group A '!$F$6:$F$41, "Below £12,000", 'Task metrics - Group A'!C$6:C$41)</f>
        <v>0.83333333333333337</v>
      </c>
      <c r="C17" s="95"/>
      <c r="D17" s="95">
        <f>AVERAGEIF('Profiles - Group A '!$F$6:$F$41, "Below £12,000", 'Task metrics - Group A'!E$6:E$41)</f>
        <v>0.54166666666666663</v>
      </c>
      <c r="E17" s="95">
        <f>AVERAGEIF('Profiles - Group A '!$F$6:$F$41, "Below £12,000", 'Task metrics - Group A'!F$6:F$41)</f>
        <v>0.25</v>
      </c>
      <c r="F17" s="95">
        <f>AVERAGEIF('Profiles - Group A '!$F$6:$F$41, "Below £12,000", 'Task metrics - Group A'!G$6:G$41)</f>
        <v>0.16666666666666666</v>
      </c>
      <c r="G17" s="95">
        <f>AVERAGEIF('Profiles - Group A '!$F$6:$F$41, "Below £12,000", 'Task metrics - Group A'!H$6:H$41)</f>
        <v>0.66666666666666663</v>
      </c>
      <c r="H17" s="95">
        <f>AVERAGEIF('Profiles - Group A '!$F$6:$F$41, "Below £12,000", 'Task metrics - Group A'!I$6:I$41)</f>
        <v>0.16666666666666666</v>
      </c>
      <c r="I17" s="95"/>
      <c r="J17" s="95">
        <f>AVERAGE(B17:I17)</f>
        <v>0.4375</v>
      </c>
      <c r="L17" s="95">
        <f>AVERAGEIF('Profiles - Group A '!$F$6:$F$41, "Below £12,000", 'Task Time Calcs - Group A'!B$6:B$41)</f>
        <v>162.6</v>
      </c>
      <c r="M17" s="95"/>
      <c r="N17" s="95">
        <f>AVERAGEIF('Profiles - Group A '!$F$6:$F$41, "Below £12,000", 'Task Time Calcs - Group A'!D$6:D$41)</f>
        <v>98.75</v>
      </c>
      <c r="O17" s="95">
        <f>AVERAGEIF('Profiles - Group A '!$F$6:$F$41, "Below £12,000", 'Task Time Calcs - Group A'!E$6:E$41)</f>
        <v>88.666666666666671</v>
      </c>
      <c r="P17" s="95">
        <f>AVERAGEIF('Profiles - Group A '!$F$6:$F$41, "Below £12,000", 'Task Time Calcs - Group A'!F$6:F$41)</f>
        <v>89</v>
      </c>
      <c r="Q17" s="95">
        <f>AVERAGEIF('Profiles - Group A '!$F$6:$F$41, "Below £12,000", 'Task Time Calcs - Group A'!G$6:G$41)</f>
        <v>38.25</v>
      </c>
      <c r="R17" s="95">
        <f>AVERAGEIF('Profiles - Group A '!$F$6:$F$41, "Below £12,000", 'Task Time Calcs - Group A'!H$6:H$41)</f>
        <v>20</v>
      </c>
      <c r="S17" s="95"/>
      <c r="T17" s="95">
        <f>AVERAGE(L17:S17)</f>
        <v>82.87777777777778</v>
      </c>
      <c r="V17" s="95">
        <f>AVERAGEIF('Profiles - Group A '!$F$6:$F$41, "Below £12,000", 'Task metrics - Group A'!W$6:W$41)</f>
        <v>3.8333333333333335</v>
      </c>
      <c r="W17" s="95"/>
      <c r="X17" s="95">
        <f>AVERAGEIF('Profiles - Group A '!$F$6:$F$41, "Below £12,000", 'Task metrics - Group A'!Y$6:Y$41)</f>
        <v>3.3333333333333335</v>
      </c>
      <c r="Y17" s="95">
        <f>AVERAGEIF('Profiles - Group A '!$F$6:$F$41, "Below £12,000", 'Task metrics - Group A'!Z$6:Z$41)</f>
        <v>3.8333333333333335</v>
      </c>
      <c r="Z17" s="95">
        <f>AVERAGEIF('Profiles - Group A '!$F$6:$F$41, "Below £12,000", 'Task metrics - Group A'!AA$6:AA$41)</f>
        <v>2.1666666666666665</v>
      </c>
      <c r="AA17" s="95">
        <f>AVERAGEIF('Profiles - Group A '!$F$6:$F$41, "Below £12,000", 'Task metrics - Group A'!AB$6:AB$41)</f>
        <v>4.666666666666667</v>
      </c>
      <c r="AB17" s="95">
        <f>AVERAGEIF('Profiles - Group A '!$F$6:$F$41, "Below £12,000", 'Task metrics - Group A'!AC$6:AC$41)</f>
        <v>4.333333333333333</v>
      </c>
      <c r="AC17" s="95"/>
      <c r="AD17" s="95">
        <f>AVERAGE(V17:AC17)</f>
        <v>3.6944444444444442</v>
      </c>
      <c r="AP17" s="95">
        <f>AVERAGEIF('Profiles - Group A '!$F$6:$F$41, "Below £12,000", 'Task metrics - Group A'!AQ$6:AQ$41)</f>
        <v>50.416666666666664</v>
      </c>
    </row>
    <row r="18" spans="1:43">
      <c r="A18" s="96" t="s">
        <v>49</v>
      </c>
      <c r="B18" s="95">
        <f>AVERAGEIF('Profiles - Group A '!$F$6:$F$41, "£12,001 - £30,000", 'Task metrics - Group A'!C$6:C$41)</f>
        <v>0.36538461538461536</v>
      </c>
      <c r="C18" s="95"/>
      <c r="D18" s="95">
        <f>AVERAGEIF('Profiles - Group A '!$F$6:$F$41, "£12,001 - £30,000", 'Task metrics - Group A'!E$6:E$41)</f>
        <v>0.11538461538461539</v>
      </c>
      <c r="E18" s="95">
        <f>AVERAGEIF('Profiles - Group A '!$F$6:$F$41, "£12,001 - £30,000", 'Task metrics - Group A'!F$6:F$41)</f>
        <v>9.6153846153846159E-2</v>
      </c>
      <c r="F18" s="95">
        <f>AVERAGEIF('Profiles - Group A '!$F$6:$F$41, "£12,001 - £30,000", 'Task metrics - Group A'!G$6:G$41)</f>
        <v>0.30769230769230771</v>
      </c>
      <c r="G18" s="95">
        <f>AVERAGEIF('Profiles - Group A '!$F$6:$F$41, "£12,001 - £30,000", 'Task metrics - Group A'!H$6:H$41)</f>
        <v>0.61538461538461542</v>
      </c>
      <c r="H18" s="95">
        <f>AVERAGEIF('Profiles - Group A '!$F$6:$F$41, "£12,001 - £30,000", 'Task metrics - Group A'!I$6:I$41)</f>
        <v>0.32692307692307693</v>
      </c>
      <c r="I18" s="95"/>
      <c r="J18" s="95">
        <f>AVERAGE(B18:I18)</f>
        <v>0.30448717948717946</v>
      </c>
      <c r="L18" s="95">
        <f>AVERAGEIF('Profiles - Group A '!$F$6:$F$41, "£12,001 - £30,000", 'Task Time Calcs - Group A'!B$6:B$41)</f>
        <v>169.6</v>
      </c>
      <c r="M18" s="95"/>
      <c r="N18" s="95">
        <f>AVERAGEIF('Profiles - Group A '!$F$6:$F$41, "£12,001 - £30,000", 'Task Time Calcs - Group A'!D$6:D$41)</f>
        <v>158</v>
      </c>
      <c r="O18" s="95">
        <f>AVERAGEIF('Profiles - Group A '!$F$6:$F$41, "£12,001 - £30,000", 'Task Time Calcs - Group A'!E$6:E$41)</f>
        <v>121.5</v>
      </c>
      <c r="P18" s="95">
        <f>AVERAGEIF('Profiles - Group A '!$F$6:$F$41, "£12,001 - £30,000", 'Task Time Calcs - Group A'!F$6:F$41)</f>
        <v>83</v>
      </c>
      <c r="Q18" s="95">
        <f>AVERAGEIF('Profiles - Group A '!$F$6:$F$41, "£12,001 - £30,000", 'Task Time Calcs - Group A'!G$6:G$41)</f>
        <v>75.875</v>
      </c>
      <c r="R18" s="95">
        <f>AVERAGEIF('Profiles - Group A '!$F$6:$F$41, "£12,001 - £30,000", 'Task Time Calcs - Group A'!H$6:H$41)</f>
        <v>40.6</v>
      </c>
      <c r="S18" s="95"/>
      <c r="T18" s="95">
        <f>AVERAGE(L18:S18)</f>
        <v>108.09583333333335</v>
      </c>
      <c r="V18" s="95">
        <f>AVERAGEIF('Profiles - Group A '!$F$6:$F$41, "£12,001 - £30,000", 'Task metrics - Group A'!W$6:W$41)</f>
        <v>3.6153846153846154</v>
      </c>
      <c r="W18" s="95"/>
      <c r="X18" s="95">
        <f>AVERAGEIF('Profiles - Group A '!$F$6:$F$41, "£12,001 - £30,000", 'Task metrics - Group A'!Y$6:Y$41)</f>
        <v>2.4615384615384617</v>
      </c>
      <c r="Y18" s="95">
        <f>AVERAGEIF('Profiles - Group A '!$F$6:$F$41, "£12,001 - £30,000", 'Task metrics - Group A'!Z$6:Z$41)</f>
        <v>2.6923076923076925</v>
      </c>
      <c r="Z18" s="95">
        <f>AVERAGEIF('Profiles - Group A '!$F$6:$F$41, "£12,001 - £30,000", 'Task metrics - Group A'!AA$6:AA$41)</f>
        <v>2.7692307692307692</v>
      </c>
      <c r="AA18" s="95">
        <f>AVERAGEIF('Profiles - Group A '!$F$6:$F$41, "£12,001 - £30,000", 'Task metrics - Group A'!AB$6:AB$41)</f>
        <v>3.3076923076923075</v>
      </c>
      <c r="AB18" s="95">
        <f>AVERAGEIF('Profiles - Group A '!$F$6:$F$41, "£12,001 - £30,000", 'Task metrics - Group A'!AC$6:AC$41)</f>
        <v>3.6923076923076925</v>
      </c>
      <c r="AC18" s="95"/>
      <c r="AD18" s="95">
        <f>AVERAGE(V18:AC18)</f>
        <v>3.0897435897435899</v>
      </c>
      <c r="AP18" s="95">
        <f>AVERAGEIF('Profiles - Group A '!$F$6:$F$41, "£12,001 - £30,000", 'Task metrics - Group A'!AQ$6:AQ$41)</f>
        <v>49.42307692307692</v>
      </c>
    </row>
    <row r="19" spans="1:43">
      <c r="A19" s="96" t="s">
        <v>44</v>
      </c>
      <c r="B19" s="95">
        <f>AVERAGEIF('Profiles - Group A '!$F$6:$F$41, "£30,001 - £50,000", 'Task metrics - Group A'!C$6:C$41)</f>
        <v>0.54166666666666663</v>
      </c>
      <c r="C19" s="95"/>
      <c r="D19" s="95">
        <f>AVERAGEIF('Profiles - Group A '!$F$6:$F$41, "£30,001 - £50,000", 'Task metrics - Group A'!E$6:E$41)</f>
        <v>0.52083333333333337</v>
      </c>
      <c r="E19" s="95">
        <f>AVERAGEIF('Profiles - Group A '!$F$6:$F$41, "£30,001 - £50,000", 'Task metrics - Group A'!F$6:F$41)</f>
        <v>0.10416666666666667</v>
      </c>
      <c r="F19" s="95">
        <f>AVERAGEIF('Profiles - Group A '!$F$6:$F$41, "£30,001 - £50,000", 'Task metrics - Group A'!G$6:G$41)</f>
        <v>0.35416666666666669</v>
      </c>
      <c r="G19" s="95">
        <f>AVERAGEIF('Profiles - Group A '!$F$6:$F$41, "£30,001 - £50,000", 'Task metrics - Group A'!H$6:H$41)</f>
        <v>0.91666666666666663</v>
      </c>
      <c r="H19" s="95">
        <f>AVERAGEIF('Profiles - Group A '!$F$6:$F$41, "£30,001 - £50,000", 'Task metrics - Group A'!I$6:I$41)</f>
        <v>0.375</v>
      </c>
      <c r="I19" s="95"/>
      <c r="J19" s="95">
        <f>AVERAGE(B19:I19)</f>
        <v>0.46875</v>
      </c>
      <c r="K19" s="95"/>
      <c r="L19" s="95">
        <f>AVERAGEIF('Profiles - Group A '!$F$6:$F$41, "£30,001 - £50,000", 'Task Time Calcs - Group A'!B$6:B$41)</f>
        <v>136</v>
      </c>
      <c r="M19" s="95"/>
      <c r="N19" s="95">
        <f>AVERAGEIF('Profiles - Group A '!$F$6:$F$41, "£30,001 - £50,000", 'Task Time Calcs - Group A'!D$6:D$41)</f>
        <v>111.57142857142857</v>
      </c>
      <c r="O19" s="95">
        <f>AVERAGEIF('Profiles - Group A '!$F$6:$F$41, "£30,001 - £50,000", 'Task Time Calcs - Group A'!E$6:E$41)</f>
        <v>35.5</v>
      </c>
      <c r="P19" s="95">
        <f>AVERAGEIF('Profiles - Group A '!$F$6:$F$41, "£30,001 - £50,000", 'Task Time Calcs - Group A'!F$6:F$41)</f>
        <v>66.8</v>
      </c>
      <c r="Q19" s="95">
        <f>AVERAGEIF('Profiles - Group A '!$F$6:$F$41, "£30,001 - £50,000", 'Task Time Calcs - Group A'!G$6:G$41)</f>
        <v>56.727272727272727</v>
      </c>
      <c r="R19" s="95">
        <f>AVERAGEIF('Profiles - Group A '!$F$6:$F$41, "£30,001 - £50,000", 'Task Time Calcs - Group A'!H$6:H$41)</f>
        <v>28.333333333333332</v>
      </c>
      <c r="S19" s="95"/>
      <c r="T19" s="95">
        <f>AVERAGE(L19:S19)</f>
        <v>72.488672438672438</v>
      </c>
      <c r="U19" s="95"/>
      <c r="V19" s="95">
        <f>AVERAGEIF('Profiles - Group A '!$F$6:$F$41, "£30,001 - £50,000", 'Task metrics - Group A'!W$6:W$41)</f>
        <v>4.25</v>
      </c>
      <c r="W19" s="95"/>
      <c r="X19" s="95">
        <f>AVERAGEIF('Profiles - Group A '!$F$6:$F$41, "£30,001 - £50,000", 'Task metrics - Group A'!Y$6:Y$41)</f>
        <v>3.25</v>
      </c>
      <c r="Y19" s="95">
        <f>AVERAGEIF('Profiles - Group A '!$F$6:$F$41, "£30,001 - £50,000", 'Task metrics - Group A'!Z$6:Z$41)</f>
        <v>3.0833333333333335</v>
      </c>
      <c r="Z19" s="95">
        <f>AVERAGEIF('Profiles - Group A '!$F$6:$F$41, "£30,001 - £50,000", 'Task metrics - Group A'!AA$6:AA$41)</f>
        <v>2.6666666666666665</v>
      </c>
      <c r="AA19" s="95">
        <f>AVERAGEIF('Profiles - Group A '!$F$6:$F$41, "£30,001 - £50,000", 'Task metrics - Group A'!AB$6:AB$41)</f>
        <v>3.5833333333333335</v>
      </c>
      <c r="AB19" s="95">
        <f>AVERAGEIF('Profiles - Group A '!$F$6:$F$41, "£30,001 - £50,000", 'Task metrics - Group A'!AC$6:AC$41)</f>
        <v>3.9166666666666665</v>
      </c>
      <c r="AC19" s="95"/>
      <c r="AD19" s="95">
        <f>AVERAGE(V19:AC19)</f>
        <v>3.4583333333333335</v>
      </c>
      <c r="AE19" s="95"/>
      <c r="AP19" s="95">
        <f>AVERAGEIF('Profiles - Group A '!$F$6:$F$41, "£30,001 - £50,000", 'Task metrics - Group A'!AQ$6:AQ$41)</f>
        <v>67.5</v>
      </c>
    </row>
    <row r="20" spans="1:43">
      <c r="A20" s="96" t="s">
        <v>56</v>
      </c>
      <c r="B20" s="95">
        <f>AVERAGEIF('Profiles - Group A '!$F$6:$F$41, "Above £50,000", 'Task metrics - Group A'!C$6:C$41)</f>
        <v>0.7</v>
      </c>
      <c r="C20" s="95"/>
      <c r="D20" s="95">
        <f>AVERAGEIF('Profiles - Group A '!$F$6:$F$41, "Above £50,000", 'Task metrics - Group A'!E$6:E$41)</f>
        <v>0.35</v>
      </c>
      <c r="E20" s="95">
        <f>AVERAGEIF('Profiles - Group A '!$F$6:$F$41, "Above £50,000", 'Task metrics - Group A'!F$6:F$41)</f>
        <v>0.2</v>
      </c>
      <c r="F20" s="95">
        <f>AVERAGEIF('Profiles - Group A '!$F$6:$F$41, "Above £50,000", 'Task metrics - Group A'!G$6:G$41)</f>
        <v>0.2</v>
      </c>
      <c r="G20" s="95">
        <f>AVERAGEIF('Profiles - Group A '!$F$6:$F$41, "Above £50,000", 'Task metrics - Group A'!H$6:H$41)</f>
        <v>0.4</v>
      </c>
      <c r="H20" s="95">
        <f>AVERAGEIF('Profiles - Group A '!$F$6:$F$41, "Above £50,000", 'Task metrics - Group A'!I$6:I$41)</f>
        <v>0.2</v>
      </c>
      <c r="I20" s="95"/>
      <c r="J20" s="95">
        <f>AVERAGE(B20:I20)</f>
        <v>0.34166666666666662</v>
      </c>
      <c r="L20" s="95">
        <f>AVERAGEIF('Profiles - Group A '!$F$6:$F$41, "Above £50,000", 'Task Time Calcs - Group A'!B$6:B$41)</f>
        <v>132</v>
      </c>
      <c r="M20" s="95"/>
      <c r="N20" s="95">
        <f>AVERAGEIF('Profiles - Group A '!$F$6:$F$41, "Above £50,000", 'Task Time Calcs - Group A'!D$6:D$41)</f>
        <v>131.25</v>
      </c>
      <c r="O20" s="95">
        <f>AVERAGEIF('Profiles - Group A '!$F$6:$F$41, "Above £50,000", 'Task Time Calcs - Group A'!E$6:E$41)</f>
        <v>82</v>
      </c>
      <c r="P20" s="95">
        <f>AVERAGEIF('Profiles - Group A '!$F$6:$F$41, "Above £50,000", 'Task Time Calcs - Group A'!F$6:F$41)</f>
        <v>93</v>
      </c>
      <c r="Q20" s="95">
        <f>AVERAGEIF('Profiles - Group A '!$F$6:$F$41, "Above £50,000", 'Task Time Calcs - Group A'!G$6:G$41)</f>
        <v>62.5</v>
      </c>
      <c r="R20" s="95">
        <f>AVERAGEIF('Profiles - Group A '!$F$6:$F$41, "Above £50,000", 'Task Time Calcs - Group A'!H$6:H$41)</f>
        <v>172</v>
      </c>
      <c r="S20" s="95"/>
      <c r="T20" s="95">
        <f>AVERAGE(L20:S20)</f>
        <v>112.125</v>
      </c>
      <c r="V20" s="95">
        <f>AVERAGEIF('Profiles - Group A '!$F$6:$F$41, "Above £50,000", 'Task metrics - Group A'!W$6:W$41)</f>
        <v>4.5999999999999996</v>
      </c>
      <c r="W20" s="95"/>
      <c r="X20" s="95">
        <f>AVERAGEIF('Profiles - Group A '!$F$6:$F$41, "Above £50,000", 'Task metrics - Group A'!Y$6:Y$41)</f>
        <v>3</v>
      </c>
      <c r="Y20" s="95">
        <f>AVERAGEIF('Profiles - Group A '!$F$6:$F$41, "Above £50,000", 'Task metrics - Group A'!Z$6:Z$41)</f>
        <v>2</v>
      </c>
      <c r="Z20" s="95">
        <f>AVERAGEIF('Profiles - Group A '!$F$6:$F$41, "Above £50,000", 'Task metrics - Group A'!AA$6:AA$41)</f>
        <v>2.6</v>
      </c>
      <c r="AA20" s="95">
        <f>AVERAGEIF('Profiles - Group A '!$F$6:$F$41, "Above £50,000", 'Task metrics - Group A'!AB$6:AB$41)</f>
        <v>3.4</v>
      </c>
      <c r="AB20" s="95">
        <f>AVERAGEIF('Profiles - Group A '!$F$6:$F$41, "Above £50,000", 'Task metrics - Group A'!AC$6:AC$41)</f>
        <v>3</v>
      </c>
      <c r="AC20" s="95"/>
      <c r="AD20" s="95">
        <f>AVERAGE(V20:AC20)</f>
        <v>3.1</v>
      </c>
      <c r="AP20" s="95">
        <f>AVERAGEIF('Profiles - Group A '!$F$6:$F$41, "Above £50,000", 'Task metrics - Group A'!AQ$6:AQ$41)</f>
        <v>56.5</v>
      </c>
    </row>
    <row r="21" spans="1:43">
      <c r="A21" s="96"/>
    </row>
    <row r="22" spans="1:43">
      <c r="A22" s="96"/>
      <c r="B22" s="47" t="s">
        <v>27</v>
      </c>
      <c r="C22" s="47" t="s">
        <v>28</v>
      </c>
      <c r="D22" s="47" t="s">
        <v>2</v>
      </c>
      <c r="E22" s="47" t="s">
        <v>3</v>
      </c>
      <c r="F22" s="47" t="s">
        <v>4</v>
      </c>
      <c r="G22" s="47" t="s">
        <v>5</v>
      </c>
      <c r="H22" s="47" t="s">
        <v>6</v>
      </c>
      <c r="I22" s="47" t="s">
        <v>7</v>
      </c>
      <c r="J22" s="47" t="s">
        <v>31</v>
      </c>
      <c r="L22" s="47" t="s">
        <v>27</v>
      </c>
      <c r="M22" s="47" t="s">
        <v>28</v>
      </c>
      <c r="N22" s="47" t="s">
        <v>2</v>
      </c>
      <c r="O22" s="47" t="s">
        <v>3</v>
      </c>
      <c r="P22" s="47" t="s">
        <v>4</v>
      </c>
      <c r="Q22" s="47" t="s">
        <v>5</v>
      </c>
      <c r="R22" s="47" t="s">
        <v>6</v>
      </c>
      <c r="S22" s="47" t="s">
        <v>7</v>
      </c>
      <c r="T22" s="47" t="s">
        <v>31</v>
      </c>
      <c r="V22" s="47" t="s">
        <v>27</v>
      </c>
      <c r="W22" s="47" t="s">
        <v>28</v>
      </c>
      <c r="X22" s="47" t="s">
        <v>2</v>
      </c>
      <c r="Y22" s="47" t="s">
        <v>3</v>
      </c>
      <c r="Z22" s="47" t="s">
        <v>4</v>
      </c>
      <c r="AA22" s="47" t="s">
        <v>5</v>
      </c>
      <c r="AB22" s="47" t="s">
        <v>6</v>
      </c>
      <c r="AC22" s="47" t="s">
        <v>7</v>
      </c>
      <c r="AD22" s="47" t="s">
        <v>31</v>
      </c>
    </row>
    <row r="23" spans="1:43">
      <c r="A23" s="97" t="s">
        <v>42</v>
      </c>
      <c r="B23" s="95">
        <f>AVERAGEIF('Profiles - Group A '!$D$6:$D$41, "Below or completed GCSE", 'Task metrics - Group A'!C$6:C$41)</f>
        <v>0.35</v>
      </c>
      <c r="C23" s="95"/>
      <c r="D23" s="95">
        <f>AVERAGEIF('Profiles - Group A '!$D$6:$D$41, "Below or completed GCSE", 'Task metrics - Group A'!E$6:E$41)</f>
        <v>0.45</v>
      </c>
      <c r="E23" s="95">
        <f>AVERAGEIF('Profiles - Group A '!$D$6:$D$41, "Below or completed GCSE", 'Task metrics - Group A'!F$6:F$41)</f>
        <v>0.125</v>
      </c>
      <c r="F23" s="95">
        <f>AVERAGEIF('Profiles - Group A '!$D$6:$D$41, "Below or completed GCSE", 'Task metrics - Group A'!G$6:G$41)</f>
        <v>0.3</v>
      </c>
      <c r="G23" s="95">
        <f>AVERAGEIF('Profiles - Group A '!$D$6:$D$41, "Below or completed GCSE", 'Task metrics - Group A'!H$6:H$41)</f>
        <v>0.8</v>
      </c>
      <c r="H23" s="95">
        <f>AVERAGEIF('Profiles - Group A '!$D$6:$D$41, "Below or completed GCSE", 'Task metrics - Group A'!I$6:I$41)</f>
        <v>0.125</v>
      </c>
      <c r="I23" s="95"/>
      <c r="J23" s="95">
        <f>AVERAGE(B23:I23)</f>
        <v>0.35833333333333339</v>
      </c>
      <c r="L23" s="95">
        <f>AVERAGEIF('Profiles - Group A '!$D$6:$D$41, "Below or completed GCSE",  'Task Time Calcs - Group A'!B$6:B$41)</f>
        <v>167.5</v>
      </c>
      <c r="M23" s="95"/>
      <c r="N23" s="95">
        <f>AVERAGEIF('Profiles - Group A '!$D$6:$D$41, "Below or completed GCSE",  'Task Time Calcs - Group A'!D$6:D$41)</f>
        <v>149.16666666666666</v>
      </c>
      <c r="O23" s="95">
        <f>AVERAGEIF('Profiles - Group A '!$D$6:$D$41, "Below or completed GCSE",  'Task Time Calcs - Group A'!E$6:E$41)</f>
        <v>65.5</v>
      </c>
      <c r="P23" s="95">
        <f>AVERAGEIF('Profiles - Group A '!$D$6:$D$41, "Below or completed GCSE",  'Task Time Calcs - Group A'!F$6:F$41)</f>
        <v>73.333333333333329</v>
      </c>
      <c r="Q23" s="95">
        <f>AVERAGEIF('Profiles - Group A '!$D$6:$D$41, "Below or completed GCSE",  'Task Time Calcs - Group A'!G$6:G$41)</f>
        <v>82.5</v>
      </c>
      <c r="R23" s="95">
        <f>AVERAGEIF('Profiles - Group A '!$D$6:$D$41, "Below or completed GCSE",  'Task Time Calcs - Group A'!H$6:H$41)</f>
        <v>32</v>
      </c>
      <c r="S23" s="95"/>
      <c r="T23" s="95">
        <f>AVERAGE(L23:S23)</f>
        <v>95</v>
      </c>
      <c r="V23" s="95">
        <f>AVERAGEIF('Profiles - Group A '!$D$6:$D$41, "Below or completed GCSE", 'Task metrics - Group A'!W$6:W$41)</f>
        <v>3.5</v>
      </c>
      <c r="W23" s="95"/>
      <c r="X23" s="95">
        <f>AVERAGEIF('Profiles - Group A '!$D$6:$D$41, "Below or completed GCSE", 'Task metrics - Group A'!Y$6:Y$41)</f>
        <v>2.8</v>
      </c>
      <c r="Y23" s="95">
        <f>AVERAGEIF('Profiles - Group A '!$D$6:$D$41, "Below or completed GCSE", 'Task metrics - Group A'!Z$6:Z$41)</f>
        <v>2.4</v>
      </c>
      <c r="Z23" s="95">
        <f>AVERAGEIF('Profiles - Group A '!$D$6:$D$41, "Below or completed GCSE", 'Task metrics - Group A'!AA$6:AA$41)</f>
        <v>2.7</v>
      </c>
      <c r="AA23" s="95">
        <f>AVERAGEIF('Profiles - Group A '!$D$6:$D$41, "Below or completed GCSE", 'Task metrics - Group A'!AB$6:AB$41)</f>
        <v>3.4</v>
      </c>
      <c r="AB23" s="95">
        <f>AVERAGEIF('Profiles - Group A '!$D$6:$D$41, "Below or completed GCSE", 'Task metrics - Group A'!AC$6:AC$41)</f>
        <v>3.5</v>
      </c>
      <c r="AC23" s="95"/>
      <c r="AD23" s="95">
        <f>AVERAGE(V23:AC23)</f>
        <v>3.0499999999999994</v>
      </c>
      <c r="AP23" s="95">
        <f>AVERAGEIF('Profiles - Group A '!$D$6:$D$41, "Below or completed GCSE", 'Task metrics - Group A'!AQ$6:AQ$41)</f>
        <v>50.75</v>
      </c>
    </row>
    <row r="24" spans="1:43">
      <c r="A24" s="98" t="s">
        <v>50</v>
      </c>
      <c r="B24" s="95">
        <f>AVERAGEIF('Profiles - Group A '!$D$6:$D$41, "Completed A Level", 'Task metrics - Group A'!C$6:C$41)</f>
        <v>0.5892857142857143</v>
      </c>
      <c r="C24" s="95"/>
      <c r="D24" s="95">
        <f>AVERAGEIF('Profiles - Group A '!$D$6:$D$41, "Completed A Level", 'Task metrics - Group A'!E$6:E$41)</f>
        <v>0.23214285714285715</v>
      </c>
      <c r="E24" s="95">
        <f>AVERAGEIF('Profiles - Group A '!$D$6:$D$41, "Completed A Level", 'Task metrics - Group A'!F$6:F$41)</f>
        <v>1.7857142857142856E-2</v>
      </c>
      <c r="F24" s="95">
        <f>AVERAGEIF('Profiles - Group A '!$D$6:$D$41, "Completed A Level", 'Task metrics - Group A'!G$6:G$41)</f>
        <v>0.21428571428571427</v>
      </c>
      <c r="G24" s="95">
        <f>AVERAGEIF('Profiles - Group A '!$D$6:$D$41, "Completed A Level", 'Task metrics - Group A'!H$6:H$41)</f>
        <v>0.5</v>
      </c>
      <c r="H24" s="95">
        <f>AVERAGEIF('Profiles - Group A '!$D$6:$D$41, "Completed A Level", 'Task metrics - Group A'!I$6:I$41)</f>
        <v>0.30357142857142855</v>
      </c>
      <c r="I24" s="95"/>
      <c r="J24" s="95">
        <f>AVERAGE(B24:I24)</f>
        <v>0.30952380952380953</v>
      </c>
      <c r="K24" s="95"/>
      <c r="L24" s="95">
        <f>AVERAGEIF('Profiles - Group A '!$D$6:$D$41, "Completed A Level",  'Task Time Calcs - Group A'!B$6:B$41)</f>
        <v>163.08333333333334</v>
      </c>
      <c r="M24" s="95"/>
      <c r="N24" s="95">
        <f>AVERAGEIF('Profiles - Group A '!$D$6:$D$41, "Completed A Level",  'Task Time Calcs - Group A'!D$6:D$41)</f>
        <v>133</v>
      </c>
      <c r="O24" s="95">
        <f>AVERAGEIF('Profiles - Group A '!$D$6:$D$41, "Completed A Level",  'Task Time Calcs - Group A'!E$6:E$41)</f>
        <v>107</v>
      </c>
      <c r="P24" s="95">
        <f>AVERAGEIF('Profiles - Group A '!$D$6:$D$41, "Completed A Level",  'Task Time Calcs - Group A'!F$6:F$41)</f>
        <v>49.333333333333336</v>
      </c>
      <c r="Q24" s="95">
        <f>AVERAGEIF('Profiles - Group A '!$D$6:$D$41, "Completed A Level",  'Task Time Calcs - Group A'!G$6:G$41)</f>
        <v>37.857142857142854</v>
      </c>
      <c r="R24" s="95">
        <f>AVERAGEIF('Profiles - Group A '!$D$6:$D$41, "Completed A Level",  'Task Time Calcs - Group A'!H$6:H$41)</f>
        <v>60.6</v>
      </c>
      <c r="S24" s="95"/>
      <c r="T24" s="95">
        <f>AVERAGE(L24:S24)</f>
        <v>91.81230158730159</v>
      </c>
      <c r="U24" s="95"/>
      <c r="V24" s="95">
        <f>AVERAGEIF('Profiles - Group A '!$D$6:$D$41, "Completed A Level", 'Task metrics - Group A'!W$6:W$41)</f>
        <v>3.7857142857142856</v>
      </c>
      <c r="W24" s="95"/>
      <c r="X24" s="95">
        <f>AVERAGEIF('Profiles - Group A '!$D$6:$D$41, "Completed A Level", 'Task metrics - Group A'!Y$6:Y$41)</f>
        <v>2.5714285714285716</v>
      </c>
      <c r="Y24" s="95">
        <f>AVERAGEIF('Profiles - Group A '!$D$6:$D$41, "Completed A Level", 'Task metrics - Group A'!Z$6:Z$41)</f>
        <v>2.7142857142857144</v>
      </c>
      <c r="Z24" s="95">
        <f>AVERAGEIF('Profiles - Group A '!$D$6:$D$41, "Completed A Level", 'Task metrics - Group A'!AA$6:AA$41)</f>
        <v>2.3571428571428572</v>
      </c>
      <c r="AA24" s="95">
        <f>AVERAGEIF('Profiles - Group A '!$D$6:$D$41, "Completed A Level", 'Task metrics - Group A'!AB$6:AB$41)</f>
        <v>3.4285714285714284</v>
      </c>
      <c r="AB24" s="95">
        <f>AVERAGEIF('Profiles - Group A '!$D$6:$D$41, "Completed A Level", 'Task metrics - Group A'!AC$6:AC$41)</f>
        <v>3.4285714285714284</v>
      </c>
      <c r="AC24" s="95"/>
      <c r="AD24" s="95">
        <f>AVERAGE(V24:AC24)</f>
        <v>3.0476190476190479</v>
      </c>
      <c r="AE24" s="95"/>
      <c r="AP24" s="95">
        <f>AVERAGEIF('Profiles - Group A '!$D$6:$D$41, "Completed A Level", 'Task metrics - Group A'!AQ$6:AQ$41)</f>
        <v>50.178571428571431</v>
      </c>
      <c r="AQ24" s="95"/>
    </row>
    <row r="25" spans="1:43">
      <c r="A25" s="98" t="s">
        <v>51</v>
      </c>
      <c r="B25" s="95">
        <f>AVERAGEIF('Profiles - Group A '!$D$6:$D$41, "Undergraduate", 'Task metrics - Group A'!C$6:C$41)</f>
        <v>0.72222222222222221</v>
      </c>
      <c r="C25" s="95"/>
      <c r="D25" s="95">
        <f>AVERAGEIF('Profiles - Group A '!$D$6:$D$41, "Undergraduate", 'Task metrics - Group A'!E$6:E$41)</f>
        <v>0.41666666666666669</v>
      </c>
      <c r="E25" s="95">
        <f>AVERAGEIF('Profiles - Group A '!$D$6:$D$41, "Undergraduate", 'Task metrics - Group A'!F$6:F$41)</f>
        <v>0.3888888888888889</v>
      </c>
      <c r="F25" s="95">
        <f>AVERAGEIF('Profiles - Group A '!$D$6:$D$41, "Undergraduate", 'Task metrics - Group A'!G$6:G$41)</f>
        <v>0.3611111111111111</v>
      </c>
      <c r="G25" s="95">
        <f>AVERAGEIF('Profiles - Group A '!$D$6:$D$41, "Undergraduate", 'Task metrics - Group A'!H$6:H$41)</f>
        <v>0.77777777777777779</v>
      </c>
      <c r="H25" s="95">
        <f>AVERAGEIF('Profiles - Group A '!$D$6:$D$41, "Undergraduate", 'Task metrics - Group A'!I$6:I$41)</f>
        <v>0.47222222222222221</v>
      </c>
      <c r="I25" s="95"/>
      <c r="J25" s="95">
        <f>AVERAGE(B25:I25)</f>
        <v>0.52314814814814814</v>
      </c>
      <c r="L25" s="95">
        <f>AVERAGEIF('Profiles - Group A '!$D$6:$D$41, "Undergraduate",  'Task Time Calcs - Group A'!B$6:B$41)</f>
        <v>109.75</v>
      </c>
      <c r="M25" s="95"/>
      <c r="N25" s="95">
        <f>AVERAGEIF('Profiles - Group A '!$D$6:$D$41, "Undergraduate",  'Task Time Calcs - Group A'!D$6:D$41)</f>
        <v>89.166666666666671</v>
      </c>
      <c r="O25" s="95">
        <f>AVERAGEIF('Profiles - Group A '!$D$6:$D$41, "Undergraduate",  'Task Time Calcs - Group A'!E$6:E$41)</f>
        <v>84.8</v>
      </c>
      <c r="P25" s="95">
        <f>AVERAGEIF('Profiles - Group A '!$D$6:$D$41, "Undergraduate",  'Task Time Calcs - Group A'!F$6:F$41)</f>
        <v>97.75</v>
      </c>
      <c r="Q25" s="95">
        <f>AVERAGEIF('Profiles - Group A '!$D$6:$D$41, "Undergraduate",  'Task Time Calcs - Group A'!G$6:G$41)</f>
        <v>48.285714285714285</v>
      </c>
      <c r="R25" s="95">
        <f>AVERAGEIF('Profiles - Group A '!$D$6:$D$41, "Undergraduate",  'Task Time Calcs - Group A'!H$6:H$41)</f>
        <v>22.4</v>
      </c>
      <c r="S25" s="95"/>
      <c r="T25" s="95">
        <f>AVERAGE(L25:S25)</f>
        <v>75.358730158730154</v>
      </c>
      <c r="V25" s="95">
        <f>AVERAGEIF('Profiles - Group A '!$D$6:$D$41, "Undergraduate", 'Task metrics - Group A'!W$6:W$41)</f>
        <v>4.7777777777777777</v>
      </c>
      <c r="W25" s="95"/>
      <c r="X25" s="95">
        <f>AVERAGEIF('Profiles - Group A '!$D$6:$D$41, "Undergraduate", 'Task metrics - Group A'!Y$6:Y$41)</f>
        <v>3.4444444444444446</v>
      </c>
      <c r="Y25" s="95">
        <f>AVERAGEIF('Profiles - Group A '!$D$6:$D$41, "Undergraduate", 'Task metrics - Group A'!Z$6:Z$41)</f>
        <v>3.7777777777777777</v>
      </c>
      <c r="Z25" s="95">
        <f>AVERAGEIF('Profiles - Group A '!$D$6:$D$41, "Undergraduate", 'Task metrics - Group A'!AA$6:AA$41)</f>
        <v>2.8888888888888888</v>
      </c>
      <c r="AA25" s="95">
        <f>AVERAGEIF('Profiles - Group A '!$D$6:$D$41, "Undergraduate", 'Task metrics - Group A'!AB$6:AB$41)</f>
        <v>4.2222222222222223</v>
      </c>
      <c r="AB25" s="95">
        <f>AVERAGEIF('Profiles - Group A '!$D$6:$D$41, "Undergraduate", 'Task metrics - Group A'!AC$6:AC$41)</f>
        <v>4.666666666666667</v>
      </c>
      <c r="AC25" s="95"/>
      <c r="AD25" s="95">
        <f>AVERAGE(V25:AC25)</f>
        <v>3.9629629629629632</v>
      </c>
      <c r="AP25" s="95">
        <f>AVERAGEIF('Profiles - Group A '!$D$6:$D$41, "Undergraduate", 'Task metrics - Group A'!AQ$6:AQ$41)</f>
        <v>69.444444444444443</v>
      </c>
    </row>
    <row r="26" spans="1:43">
      <c r="A26" s="99" t="s">
        <v>53</v>
      </c>
      <c r="B26" s="95">
        <f>AVERAGEIF('Profiles - Group A '!$D$6:$D$41, "Graduate (Masters or above)", 'Task metrics - Group A'!C$6:C$41)</f>
        <v>0.5</v>
      </c>
      <c r="C26" s="95"/>
      <c r="D26" s="95">
        <f>AVERAGEIF('Profiles - Group A '!$D$6:$D$41, "Graduate (Masters or above)", 'Task metrics - Group A'!E$6:E$41)</f>
        <v>0.41666666666666669</v>
      </c>
      <c r="E26" s="95">
        <f>AVERAGEIF('Profiles - Group A '!$D$6:$D$41, "Graduate (Masters or above)", 'Task metrics - Group A'!F$6:F$41)</f>
        <v>0</v>
      </c>
      <c r="F26" s="95">
        <f>AVERAGEIF('Profiles - Group A '!$D$6:$D$41, "Graduate (Masters or above)", 'Task metrics - Group A'!G$6:G$41)</f>
        <v>0.33333333333333331</v>
      </c>
      <c r="G26" s="95">
        <f>AVERAGEIF('Profiles - Group A '!$D$6:$D$41, "Graduate (Masters or above)", 'Task metrics - Group A'!H$6:H$41)</f>
        <v>1</v>
      </c>
      <c r="H26" s="95">
        <f>AVERAGEIF('Profiles - Group A '!$D$6:$D$41, "Graduate (Masters or above)", 'Task metrics - Group A'!I$6:I$41)</f>
        <v>0.33333333333333331</v>
      </c>
      <c r="I26" s="95"/>
      <c r="J26" s="95">
        <f>AVERAGE(B26:I26)</f>
        <v>0.43055555555555558</v>
      </c>
      <c r="K26" s="95"/>
      <c r="L26" s="95">
        <f>AVERAGEIF('Profiles - Group A '!$D$6:$D$41, "Graduate (Masters or above)",  'Task Time Calcs - Group A'!B$6:B$41)</f>
        <v>163.33333333333334</v>
      </c>
      <c r="M26" s="95"/>
      <c r="N26" s="95">
        <f>AVERAGEIF('Profiles - Group A '!$D$6:$D$41, "Graduate (Masters or above)",  'Task Time Calcs - Group A'!D$6:D$41)</f>
        <v>144</v>
      </c>
      <c r="O26" s="95"/>
      <c r="P26" s="95">
        <f>AVERAGEIF('Profiles - Group A '!$D$6:$D$41, "Graduate (Masters or above)",  'Task Time Calcs - Group A'!F$6:F$41)</f>
        <v>89</v>
      </c>
      <c r="Q26" s="95">
        <f>AVERAGEIF('Profiles - Group A '!$D$6:$D$41, "Graduate (Masters or above)",  'Task Time Calcs - Group A'!G$6:G$41)</f>
        <v>82</v>
      </c>
      <c r="R26" s="95">
        <f>AVERAGEIF('Profiles - Group A '!$D$6:$D$41, "Graduate (Masters or above)",  'Task Time Calcs - Group A'!H$6:H$41)</f>
        <v>86</v>
      </c>
      <c r="S26" s="95"/>
      <c r="T26" s="95">
        <f>AVERAGE(L26:S26)</f>
        <v>112.86666666666667</v>
      </c>
      <c r="U26" s="95"/>
      <c r="V26" s="95">
        <f>AVERAGEIF('Profiles - Group A '!$D$6:$D$41, "Graduate (Masters or above)", 'Task metrics - Group A'!W$6:W$41)</f>
        <v>4.333333333333333</v>
      </c>
      <c r="W26" s="95"/>
      <c r="X26" s="95">
        <f>AVERAGEIF('Profiles - Group A '!$D$6:$D$41, "Graduate (Masters or above)", 'Task metrics - Group A'!Y$6:Y$41)</f>
        <v>3.6666666666666665</v>
      </c>
      <c r="Y26" s="95">
        <f>AVERAGEIF('Profiles - Group A '!$D$6:$D$41, "Graduate (Masters or above)", 'Task metrics - Group A'!Z$6:Z$41)</f>
        <v>3</v>
      </c>
      <c r="Z26" s="95">
        <f>AVERAGEIF('Profiles - Group A '!$D$6:$D$41, "Graduate (Masters or above)", 'Task metrics - Group A'!AA$6:AA$41)</f>
        <v>2.6666666666666665</v>
      </c>
      <c r="AA26" s="95">
        <f>AVERAGEIF('Profiles - Group A '!$D$6:$D$41, "Graduate (Masters or above)", 'Task metrics - Group A'!AB$6:AB$41)</f>
        <v>3.6666666666666665</v>
      </c>
      <c r="AB26" s="95">
        <f>AVERAGEIF('Profiles - Group A '!$D$6:$D$41, "Graduate (Masters or above)", 'Task metrics - Group A'!AC$6:AC$41)</f>
        <v>3.6666666666666665</v>
      </c>
      <c r="AC26" s="95"/>
      <c r="AD26" s="95">
        <f>AVERAGE(V26:AC26)</f>
        <v>3.5</v>
      </c>
      <c r="AE26" s="95"/>
      <c r="AP26" s="95">
        <f>AVERAGEIF('Profiles - Group A '!$D$6:$D$41, "Graduate (Masters or above)", 'Task metrics - Group A'!AQ$6:AQ$41)</f>
        <v>67.5</v>
      </c>
      <c r="AQ26" s="95"/>
    </row>
    <row r="28" spans="1:43">
      <c r="B28" s="47" t="s">
        <v>27</v>
      </c>
      <c r="C28" s="47" t="s">
        <v>28</v>
      </c>
      <c r="D28" s="47" t="s">
        <v>2</v>
      </c>
      <c r="E28" s="47" t="s">
        <v>3</v>
      </c>
      <c r="F28" s="47" t="s">
        <v>4</v>
      </c>
      <c r="G28" s="47" t="s">
        <v>5</v>
      </c>
      <c r="H28" s="47" t="s">
        <v>6</v>
      </c>
      <c r="I28" s="47" t="s">
        <v>7</v>
      </c>
      <c r="J28" s="47" t="s">
        <v>31</v>
      </c>
      <c r="L28" s="47" t="s">
        <v>27</v>
      </c>
      <c r="M28" s="47" t="s">
        <v>28</v>
      </c>
      <c r="N28" s="47" t="s">
        <v>2</v>
      </c>
      <c r="O28" s="47" t="s">
        <v>3</v>
      </c>
      <c r="P28" s="47" t="s">
        <v>4</v>
      </c>
      <c r="Q28" s="47" t="s">
        <v>5</v>
      </c>
      <c r="R28" s="47" t="s">
        <v>6</v>
      </c>
      <c r="S28" s="47" t="s">
        <v>7</v>
      </c>
      <c r="T28" s="47" t="s">
        <v>31</v>
      </c>
      <c r="V28" s="47" t="s">
        <v>27</v>
      </c>
      <c r="W28" s="47" t="s">
        <v>28</v>
      </c>
      <c r="X28" s="47" t="s">
        <v>2</v>
      </c>
      <c r="Y28" s="47" t="s">
        <v>3</v>
      </c>
      <c r="Z28" s="47" t="s">
        <v>4</v>
      </c>
      <c r="AA28" s="47" t="s">
        <v>5</v>
      </c>
      <c r="AB28" s="47" t="s">
        <v>6</v>
      </c>
      <c r="AC28" s="47" t="s">
        <v>7</v>
      </c>
      <c r="AD28" s="47" t="s">
        <v>31</v>
      </c>
    </row>
    <row r="29" spans="1:43">
      <c r="A29" s="100" t="s">
        <v>123</v>
      </c>
      <c r="B29" s="95">
        <f>AVERAGEIF('Profiles - Group A '!$G$6:$G$41, "&lt;&gt;No", 'Task metrics - Group A'!C$6:C$41)</f>
        <v>0.58333333333333337</v>
      </c>
      <c r="C29" s="95"/>
      <c r="D29" s="95">
        <f>AVERAGEIF('Profiles - Group A '!$G$6:$G$41, "&lt;&gt;No", 'Task metrics - Group A'!E$6:E$41)</f>
        <v>0.375</v>
      </c>
      <c r="E29" s="95">
        <f>AVERAGEIF('Profiles - Group A '!$G$6:$G$41, "&lt;&gt;No", 'Task metrics - Group A'!F$6:F$41)</f>
        <v>4.1666666666666664E-2</v>
      </c>
      <c r="F29" s="95">
        <f>AVERAGEIF('Profiles - Group A '!$G$6:$G$41, "&lt;&gt;No", 'Task metrics - Group A'!G$6:G$41)</f>
        <v>0.16666666666666666</v>
      </c>
      <c r="G29" s="95">
        <f>AVERAGEIF('Profiles - Group A '!$G$6:$G$41, "&lt;&gt;No", 'Task metrics - Group A'!H$6:H$41)</f>
        <v>0.66666666666666663</v>
      </c>
      <c r="H29" s="95">
        <f>AVERAGEIF('Profiles - Group A '!$G$6:$G$41, "&lt;&gt;No", 'Task metrics - Group A'!I$6:I$41)</f>
        <v>0.375</v>
      </c>
      <c r="I29" s="95"/>
      <c r="J29" s="95">
        <f>AVERAGE(B29:I29)</f>
        <v>0.36805555555555558</v>
      </c>
      <c r="L29" s="95">
        <f>AVERAGEIF('Profiles - Group A '!$G$6:$G$41, "&lt;&gt;No", 'Task Time Calcs - Group A'!B$6:B$41)</f>
        <v>199.8</v>
      </c>
      <c r="M29" s="95"/>
      <c r="N29" s="95">
        <f>AVERAGEIF('Profiles - Group A '!$G$6:$G$41, "&lt;&gt;No", 'Task Time Calcs - Group A'!D$6:D$41)</f>
        <v>129.66666666666666</v>
      </c>
      <c r="O29" s="95">
        <f>AVERAGEIF('Profiles - Group A '!$G$6:$G$41, "&lt;&gt;No", 'Task Time Calcs - Group A'!E$6:E$41)</f>
        <v>100</v>
      </c>
      <c r="P29" s="95">
        <f>AVERAGEIF('Profiles - Group A '!$G$6:$G$41, "&lt;&gt;No", 'Task Time Calcs - Group A'!F$6:F$41)</f>
        <v>57</v>
      </c>
      <c r="Q29" s="95">
        <f>AVERAGEIF('Profiles - Group A '!$G$6:$G$41, "&lt;&gt;No", 'Task Time Calcs - Group A'!G$6:G$41)</f>
        <v>54.75</v>
      </c>
      <c r="R29" s="95">
        <f>AVERAGEIF('Profiles - Group A '!$G$6:$G$41, "&lt;&gt;No", 'Task Time Calcs - Group A'!H$6:H$41)</f>
        <v>88.666666666666671</v>
      </c>
      <c r="S29" s="95"/>
      <c r="T29" s="95">
        <f>AVERAGE(L29:S29)</f>
        <v>104.98055555555555</v>
      </c>
      <c r="V29" s="95">
        <f>AVERAGEIF('Profiles - Group A '!$G$6:$G$41, "&lt;&gt;No", 'Task metrics - Group A'!W$6:W$41)</f>
        <v>4.333333333333333</v>
      </c>
      <c r="W29" s="95"/>
      <c r="X29" s="95">
        <f>AVERAGEIF('Profiles - Group A '!$G$6:$G$41, "&lt;&gt;No", 'Task metrics - Group A'!Y$6:Y$41)</f>
        <v>3.6666666666666665</v>
      </c>
      <c r="Y29" s="95">
        <f>AVERAGEIF('Profiles - Group A '!$G$6:$G$41, "&lt;&gt;No", 'Task metrics - Group A'!Z$6:Z$41)</f>
        <v>3.1666666666666665</v>
      </c>
      <c r="Z29" s="95">
        <f>AVERAGEIF('Profiles - Group A '!$G$6:$G$41, "&lt;&gt;No", 'Task metrics - Group A'!AA$6:AA$41)</f>
        <v>3</v>
      </c>
      <c r="AA29" s="95">
        <f>AVERAGEIF('Profiles - Group A '!$G$6:$G$41, "&lt;&gt;No", 'Task metrics - Group A'!AB$6:AB$41)</f>
        <v>3.5</v>
      </c>
      <c r="AB29" s="95">
        <f>AVERAGEIF('Profiles - Group A '!$G$6:$G$41, "&lt;&gt;No", 'Task metrics - Group A'!AC$6:AC$41)</f>
        <v>4</v>
      </c>
      <c r="AC29" s="95"/>
      <c r="AD29" s="95">
        <f>AVERAGE(V29:AC29)</f>
        <v>3.6111111111111107</v>
      </c>
      <c r="AP29" s="95">
        <f>AVERAGEIF('Profiles - Group A '!$G$6:$G$41, "&lt;&gt;No", 'Task metrics - Group A'!AQ$6:AQ$41)</f>
        <v>59.166666666666664</v>
      </c>
    </row>
    <row r="30" spans="1:43">
      <c r="A30" s="100" t="s">
        <v>124</v>
      </c>
      <c r="B30" s="95">
        <f>AVERAGEIF('Profiles - Group A '!$G$6:$G$41, "No", 'Task metrics - Group A'!C$6:C$41)</f>
        <v>0.54166666666666663</v>
      </c>
      <c r="C30" s="95"/>
      <c r="D30" s="95">
        <f>AVERAGEIF('Profiles - Group A '!$G$6:$G$41, "No", 'Task metrics - Group A'!E$6:E$41)</f>
        <v>0.35</v>
      </c>
      <c r="E30" s="95">
        <f>AVERAGEIF('Profiles - Group A '!$G$6:$G$41, "No", 'Task metrics - Group A'!F$6:F$41)</f>
        <v>0.15833333333333333</v>
      </c>
      <c r="F30" s="95">
        <f>AVERAGEIF('Profiles - Group A '!$G$6:$G$41, "No", 'Task metrics - Group A'!G$6:G$41)</f>
        <v>0.30833333333333335</v>
      </c>
      <c r="G30" s="95">
        <f>AVERAGEIF('Profiles - Group A '!$G$6:$G$41, "No", 'Task metrics - Group A'!H$6:H$41)</f>
        <v>0.7</v>
      </c>
      <c r="H30" s="95">
        <f>AVERAGEIF('Profiles - Group A '!$G$6:$G$41, "No", 'Task metrics - Group A'!I$6:I$41)</f>
        <v>0.28333333333333333</v>
      </c>
      <c r="I30" s="95"/>
      <c r="J30" s="95">
        <f>AVERAGE(B30:I30)</f>
        <v>0.39027777777777772</v>
      </c>
      <c r="L30" s="95">
        <f>AVERAGEIF('Profiles - Group A '!$G$6:$G$41, "No", 'Task Time Calcs - Group A'!B$6:B$41)</f>
        <v>141</v>
      </c>
      <c r="M30" s="95"/>
      <c r="N30" s="95">
        <f>AVERAGEIF('Profiles - Group A '!$G$6:$G$41, "No", 'Task Time Calcs - Group A'!D$6:D$41)</f>
        <v>125.55555555555556</v>
      </c>
      <c r="O30" s="95"/>
      <c r="P30" s="95">
        <f>AVERAGEIF('Profiles - Group A '!$G$6:$G$41, "No", 'Task Time Calcs - Group A'!F$6:F$41)</f>
        <v>79.099999999999994</v>
      </c>
      <c r="Q30" s="95">
        <f>AVERAGEIF('Profiles - Group A '!$G$6:$G$41, "No", 'Task Time Calcs - Group A'!G$6:G$41)</f>
        <v>61.428571428571431</v>
      </c>
      <c r="R30" s="95">
        <f>AVERAGEIF('Profiles - Group A '!$G$6:$G$41, "No", 'Task Time Calcs - Group A'!H$6:H$41)</f>
        <v>29.9</v>
      </c>
      <c r="S30" s="95"/>
      <c r="T30" s="95">
        <f>AVERAGE(L30:S30)</f>
        <v>87.396825396825392</v>
      </c>
      <c r="V30" s="95">
        <f>AVERAGEIF('Profiles - Group A '!$G$6:$G$41, "No", 'Task metrics - Group A'!W$6:W$41)</f>
        <v>3.9333333333333331</v>
      </c>
      <c r="W30" s="95"/>
      <c r="X30" s="95">
        <f>AVERAGEIF('Profiles - Group A '!$G$6:$G$41, "No", 'Task metrics - Group A'!Y$6:Y$41)</f>
        <v>2.8</v>
      </c>
      <c r="Y30" s="95">
        <f>AVERAGEIF('Profiles - Group A '!$G$6:$G$41, "No", 'Task metrics - Group A'!Z$6:Z$41)</f>
        <v>2.8666666666666667</v>
      </c>
      <c r="Z30" s="95">
        <f>AVERAGEIF('Profiles - Group A '!$G$6:$G$41, "No", 'Task metrics - Group A'!AA$6:AA$41)</f>
        <v>2.5333333333333332</v>
      </c>
      <c r="AA30" s="95">
        <f>AVERAGEIF('Profiles - Group A '!$G$6:$G$41, "No", 'Task metrics - Group A'!AB$6:AB$41)</f>
        <v>3.6666666666666665</v>
      </c>
      <c r="AB30" s="95">
        <f>AVERAGEIF('Profiles - Group A '!$G$6:$G$41, "No", 'Task metrics - Group A'!AC$6:AC$41)</f>
        <v>3.7333333333333334</v>
      </c>
      <c r="AC30" s="95"/>
      <c r="AD30" s="95">
        <f>AVERAGE(V30:AC30)</f>
        <v>3.2555555555555551</v>
      </c>
      <c r="AP30" s="95">
        <f>AVERAGEIF('Profiles - Group A '!$G$6:$G$41, "No", 'Task metrics - Group A'!AQ$6:AQ$41)</f>
        <v>56.083333333333336</v>
      </c>
    </row>
    <row r="33" spans="1:11">
      <c r="A33" s="47"/>
    </row>
    <row r="34" spans="1:11">
      <c r="B34" s="47"/>
      <c r="C34" s="47"/>
      <c r="D34" s="47"/>
      <c r="E34" s="47"/>
      <c r="F34" s="47"/>
      <c r="G34" s="47"/>
      <c r="H34" s="47"/>
      <c r="I34" s="47"/>
      <c r="J34" s="47"/>
    </row>
    <row r="35" spans="1:11">
      <c r="A35" s="96"/>
      <c r="B35" s="95"/>
      <c r="C35" s="95"/>
      <c r="D35" s="95"/>
      <c r="E35" s="95"/>
      <c r="F35" s="95"/>
      <c r="G35" s="95"/>
      <c r="H35" s="95"/>
      <c r="I35" s="95"/>
      <c r="J35" s="95"/>
    </row>
    <row r="36" spans="1:11">
      <c r="A36" s="96"/>
      <c r="B36" s="95"/>
      <c r="C36" s="95"/>
      <c r="D36" s="95"/>
      <c r="E36" s="95"/>
      <c r="F36" s="95"/>
      <c r="G36" s="95"/>
      <c r="H36" s="95"/>
      <c r="I36" s="95"/>
      <c r="J36" s="95"/>
    </row>
    <row r="38" spans="1:11">
      <c r="B38" s="47"/>
      <c r="C38" s="47"/>
      <c r="D38" s="47"/>
      <c r="E38" s="47"/>
      <c r="F38" s="47"/>
      <c r="G38" s="47"/>
      <c r="H38" s="47"/>
      <c r="I38" s="47"/>
      <c r="J38" s="47"/>
    </row>
    <row r="39" spans="1:11">
      <c r="A39" s="96"/>
      <c r="B39" s="95"/>
      <c r="C39" s="95"/>
      <c r="D39" s="95"/>
      <c r="E39" s="95"/>
      <c r="F39" s="95"/>
      <c r="G39" s="95"/>
      <c r="H39" s="95"/>
      <c r="I39" s="95"/>
      <c r="J39" s="95"/>
    </row>
    <row r="40" spans="1:11">
      <c r="A40" s="96"/>
      <c r="B40" s="95"/>
      <c r="C40" s="95"/>
      <c r="D40" s="95"/>
      <c r="E40" s="95"/>
      <c r="F40" s="95"/>
      <c r="G40" s="95"/>
      <c r="H40" s="95"/>
      <c r="I40" s="95"/>
      <c r="J40" s="95"/>
      <c r="K40" s="95"/>
    </row>
    <row r="41" spans="1:11">
      <c r="A41" s="96"/>
      <c r="B41" s="95"/>
      <c r="C41" s="95"/>
      <c r="D41" s="95"/>
      <c r="E41" s="95"/>
      <c r="F41" s="95"/>
      <c r="G41" s="95"/>
      <c r="H41" s="95"/>
      <c r="I41" s="95"/>
      <c r="J41" s="95"/>
    </row>
    <row r="42" spans="1:11">
      <c r="A42" s="96"/>
      <c r="B42" s="95"/>
      <c r="C42" s="95"/>
      <c r="D42" s="95"/>
      <c r="E42" s="95"/>
      <c r="F42" s="95"/>
      <c r="G42" s="95"/>
      <c r="H42" s="95"/>
      <c r="I42" s="95"/>
      <c r="J42" s="95"/>
      <c r="K42" s="95"/>
    </row>
    <row r="43" spans="1:11">
      <c r="A43" s="96"/>
      <c r="B43" s="95"/>
      <c r="C43" s="95"/>
      <c r="D43" s="95"/>
      <c r="E43" s="95"/>
      <c r="F43" s="95"/>
      <c r="G43" s="95"/>
      <c r="H43" s="95"/>
      <c r="I43" s="95"/>
      <c r="J43" s="95"/>
    </row>
    <row r="44" spans="1:11">
      <c r="A44" s="96"/>
      <c r="B44" s="95"/>
      <c r="C44" s="95"/>
      <c r="D44" s="95"/>
      <c r="E44" s="95"/>
      <c r="F44" s="95"/>
      <c r="G44" s="95"/>
      <c r="H44" s="95"/>
      <c r="I44" s="95"/>
      <c r="J44" s="95"/>
      <c r="K44" s="95"/>
    </row>
    <row r="45" spans="1:11">
      <c r="A45" s="96"/>
    </row>
    <row r="46" spans="1:11">
      <c r="A46" s="96"/>
      <c r="B46" s="47"/>
      <c r="C46" s="47"/>
      <c r="D46" s="47"/>
      <c r="E46" s="47"/>
      <c r="F46" s="47"/>
      <c r="G46" s="47"/>
      <c r="H46" s="47"/>
      <c r="I46" s="47"/>
      <c r="J46" s="47"/>
    </row>
    <row r="47" spans="1:11">
      <c r="A47" s="96"/>
      <c r="B47" s="95"/>
      <c r="C47" s="95"/>
      <c r="D47" s="95"/>
      <c r="E47" s="95"/>
      <c r="F47" s="95"/>
      <c r="G47" s="95"/>
      <c r="H47" s="95"/>
      <c r="I47" s="95"/>
      <c r="J47" s="95"/>
    </row>
    <row r="48" spans="1:11">
      <c r="A48" s="96"/>
      <c r="B48" s="95"/>
      <c r="C48" s="95"/>
      <c r="D48" s="95"/>
      <c r="E48" s="95"/>
      <c r="F48" s="95"/>
      <c r="G48" s="95"/>
      <c r="H48" s="95"/>
      <c r="I48" s="95"/>
      <c r="J48" s="95"/>
    </row>
    <row r="49" spans="1:11">
      <c r="A49" s="96"/>
      <c r="B49" s="95"/>
      <c r="C49" s="95"/>
      <c r="D49" s="95"/>
      <c r="E49" s="95"/>
      <c r="F49" s="95"/>
      <c r="G49" s="95"/>
      <c r="H49" s="95"/>
      <c r="I49" s="95"/>
      <c r="J49" s="95"/>
      <c r="K49" s="95"/>
    </row>
    <row r="50" spans="1:11">
      <c r="A50" s="96"/>
      <c r="B50" s="95"/>
      <c r="C50" s="95"/>
      <c r="D50" s="95"/>
      <c r="E50" s="95"/>
      <c r="F50" s="95"/>
      <c r="G50" s="95"/>
      <c r="H50" s="95"/>
      <c r="I50" s="95"/>
      <c r="J50" s="95"/>
    </row>
    <row r="51" spans="1:11">
      <c r="A51" s="96"/>
    </row>
    <row r="52" spans="1:11">
      <c r="A52" s="96"/>
      <c r="B52" s="47"/>
      <c r="C52" s="47"/>
      <c r="D52" s="47"/>
      <c r="E52" s="47"/>
      <c r="F52" s="47"/>
      <c r="G52" s="47"/>
      <c r="H52" s="47"/>
      <c r="I52" s="47"/>
      <c r="J52" s="47"/>
    </row>
    <row r="53" spans="1:11">
      <c r="A53" s="97"/>
      <c r="B53" s="95"/>
      <c r="C53" s="95"/>
      <c r="D53" s="95"/>
      <c r="E53" s="95"/>
      <c r="F53" s="95"/>
      <c r="G53" s="95"/>
      <c r="H53" s="95"/>
      <c r="I53" s="95"/>
      <c r="J53" s="95"/>
    </row>
    <row r="54" spans="1:11">
      <c r="A54" s="98"/>
      <c r="B54" s="95"/>
      <c r="C54" s="95"/>
      <c r="D54" s="95"/>
      <c r="E54" s="95"/>
      <c r="F54" s="95"/>
      <c r="G54" s="95"/>
      <c r="H54" s="95"/>
      <c r="I54" s="95"/>
      <c r="J54" s="95"/>
      <c r="K54" s="95"/>
    </row>
    <row r="55" spans="1:11">
      <c r="A55" s="98"/>
      <c r="B55" s="95"/>
      <c r="C55" s="95"/>
      <c r="D55" s="95"/>
      <c r="E55" s="95"/>
      <c r="F55" s="95"/>
      <c r="G55" s="95"/>
      <c r="H55" s="95"/>
      <c r="I55" s="95"/>
      <c r="J55" s="95"/>
    </row>
    <row r="56" spans="1:11">
      <c r="A56" s="99"/>
      <c r="B56" s="95"/>
      <c r="C56" s="95"/>
      <c r="D56" s="95"/>
      <c r="E56" s="95"/>
      <c r="F56" s="95"/>
      <c r="G56" s="95"/>
      <c r="H56" s="95"/>
      <c r="I56" s="95"/>
      <c r="J56" s="95"/>
      <c r="K56" s="95"/>
    </row>
    <row r="58" spans="1:11">
      <c r="B58" s="47"/>
      <c r="C58" s="47"/>
      <c r="D58" s="47"/>
      <c r="E58" s="47"/>
      <c r="F58" s="47"/>
      <c r="G58" s="47"/>
      <c r="H58" s="47"/>
      <c r="I58" s="47"/>
      <c r="J58" s="47"/>
    </row>
    <row r="59" spans="1:11">
      <c r="A59" s="100"/>
      <c r="B59" s="95"/>
      <c r="C59" s="95"/>
      <c r="D59" s="95"/>
      <c r="E59" s="95"/>
      <c r="F59" s="95"/>
      <c r="G59" s="95"/>
      <c r="H59" s="95"/>
      <c r="I59" s="95"/>
      <c r="J59" s="95"/>
    </row>
    <row r="60" spans="1:11">
      <c r="A60" s="100"/>
      <c r="B60" s="95"/>
      <c r="C60" s="95"/>
      <c r="D60" s="95"/>
      <c r="E60" s="95"/>
      <c r="F60" s="95"/>
      <c r="G60" s="95"/>
      <c r="H60" s="95"/>
      <c r="I60" s="95"/>
      <c r="J60" s="95"/>
    </row>
    <row r="63" spans="1:11">
      <c r="A63" s="47"/>
    </row>
    <row r="64" spans="1:11">
      <c r="B64" s="47"/>
      <c r="C64" s="47"/>
      <c r="D64" s="47"/>
      <c r="E64" s="47"/>
      <c r="F64" s="47"/>
      <c r="G64" s="47"/>
      <c r="H64" s="47"/>
      <c r="I64" s="47"/>
      <c r="J64" s="47"/>
    </row>
    <row r="65" spans="1:11">
      <c r="A65" s="96"/>
      <c r="B65" s="95"/>
      <c r="C65" s="95"/>
      <c r="D65" s="95"/>
      <c r="E65" s="95"/>
      <c r="F65" s="95"/>
      <c r="G65" s="95"/>
      <c r="H65" s="95"/>
      <c r="I65" s="95"/>
      <c r="J65" s="95"/>
    </row>
    <row r="66" spans="1:11">
      <c r="A66" s="96"/>
      <c r="B66" s="95"/>
      <c r="C66" s="95"/>
      <c r="D66" s="95"/>
      <c r="E66" s="95"/>
      <c r="F66" s="95"/>
      <c r="G66" s="95"/>
      <c r="H66" s="95"/>
      <c r="I66" s="95"/>
      <c r="J66" s="95"/>
    </row>
    <row r="68" spans="1:11">
      <c r="B68" s="47"/>
      <c r="C68" s="47"/>
      <c r="D68" s="47"/>
      <c r="E68" s="47"/>
      <c r="F68" s="47"/>
      <c r="G68" s="47"/>
      <c r="H68" s="47"/>
      <c r="I68" s="47"/>
      <c r="J68" s="47"/>
    </row>
    <row r="69" spans="1:11">
      <c r="A69" s="96"/>
      <c r="B69" s="95"/>
      <c r="C69" s="95"/>
      <c r="D69" s="95"/>
      <c r="E69" s="95"/>
      <c r="F69" s="95"/>
      <c r="G69" s="95"/>
      <c r="H69" s="95"/>
      <c r="I69" s="95"/>
      <c r="J69" s="95"/>
    </row>
    <row r="70" spans="1:11">
      <c r="A70" s="96"/>
      <c r="B70" s="95"/>
      <c r="C70" s="95"/>
      <c r="D70" s="95"/>
      <c r="E70" s="95"/>
      <c r="F70" s="95"/>
      <c r="G70" s="95"/>
      <c r="H70" s="95"/>
      <c r="I70" s="95"/>
      <c r="J70" s="95"/>
      <c r="K70" s="95"/>
    </row>
    <row r="71" spans="1:11">
      <c r="A71" s="96"/>
      <c r="B71" s="95"/>
      <c r="C71" s="95"/>
      <c r="D71" s="95"/>
      <c r="E71" s="95"/>
      <c r="F71" s="95"/>
      <c r="G71" s="95"/>
      <c r="H71" s="95"/>
      <c r="I71" s="95"/>
      <c r="J71" s="95"/>
    </row>
    <row r="72" spans="1:11">
      <c r="A72" s="96"/>
      <c r="B72" s="95"/>
      <c r="C72" s="95"/>
      <c r="D72" s="95"/>
      <c r="E72" s="95"/>
      <c r="F72" s="95"/>
      <c r="G72" s="95"/>
      <c r="H72" s="95"/>
      <c r="I72" s="95"/>
      <c r="J72" s="95"/>
      <c r="K72" s="95"/>
    </row>
    <row r="73" spans="1:11">
      <c r="A73" s="96"/>
      <c r="B73" s="95"/>
      <c r="C73" s="95"/>
      <c r="D73" s="95"/>
      <c r="E73" s="95"/>
      <c r="F73" s="95"/>
      <c r="G73" s="95"/>
      <c r="H73" s="95"/>
      <c r="I73" s="95"/>
      <c r="J73" s="95"/>
    </row>
    <row r="74" spans="1:11">
      <c r="A74" s="96"/>
      <c r="B74" s="95"/>
      <c r="C74" s="95"/>
      <c r="D74" s="95"/>
      <c r="E74" s="95"/>
      <c r="F74" s="95"/>
      <c r="G74" s="95"/>
      <c r="H74" s="95"/>
      <c r="I74" s="95"/>
      <c r="J74" s="95"/>
      <c r="K74" s="95"/>
    </row>
    <row r="75" spans="1:11">
      <c r="A75" s="96"/>
    </row>
    <row r="76" spans="1:11">
      <c r="A76" s="96"/>
      <c r="B76" s="47"/>
      <c r="C76" s="47"/>
      <c r="D76" s="47"/>
      <c r="E76" s="47"/>
      <c r="F76" s="47"/>
      <c r="G76" s="47"/>
      <c r="H76" s="47"/>
      <c r="I76" s="47"/>
      <c r="J76" s="47"/>
    </row>
    <row r="77" spans="1:11">
      <c r="A77" s="96"/>
      <c r="B77" s="95"/>
      <c r="C77" s="95"/>
      <c r="D77" s="95"/>
      <c r="E77" s="95"/>
      <c r="F77" s="95"/>
      <c r="G77" s="95"/>
      <c r="H77" s="95"/>
      <c r="I77" s="95"/>
      <c r="J77" s="95"/>
    </row>
    <row r="78" spans="1:11">
      <c r="A78" s="96"/>
      <c r="B78" s="95"/>
      <c r="C78" s="95"/>
      <c r="D78" s="95"/>
      <c r="E78" s="95"/>
      <c r="F78" s="95"/>
      <c r="G78" s="95"/>
      <c r="H78" s="95"/>
      <c r="I78" s="95"/>
      <c r="J78" s="95"/>
    </row>
    <row r="79" spans="1:11">
      <c r="A79" s="96"/>
      <c r="B79" s="95"/>
      <c r="C79" s="95"/>
      <c r="D79" s="95"/>
      <c r="E79" s="95"/>
      <c r="F79" s="95"/>
      <c r="G79" s="95"/>
      <c r="H79" s="95"/>
      <c r="I79" s="95"/>
      <c r="J79" s="95"/>
      <c r="K79" s="95"/>
    </row>
    <row r="80" spans="1:11">
      <c r="A80" s="96"/>
      <c r="B80" s="95"/>
      <c r="C80" s="95"/>
      <c r="D80" s="95"/>
      <c r="E80" s="95"/>
      <c r="F80" s="95"/>
      <c r="G80" s="95"/>
      <c r="H80" s="95"/>
      <c r="I80" s="95"/>
      <c r="J80" s="95"/>
    </row>
    <row r="81" spans="1:11">
      <c r="A81" s="96"/>
    </row>
    <row r="82" spans="1:11">
      <c r="A82" s="96"/>
      <c r="B82" s="47"/>
      <c r="C82" s="47"/>
      <c r="D82" s="47"/>
      <c r="E82" s="47"/>
      <c r="F82" s="47"/>
      <c r="G82" s="47"/>
      <c r="H82" s="47"/>
      <c r="I82" s="47"/>
      <c r="J82" s="47"/>
    </row>
    <row r="83" spans="1:11">
      <c r="A83" s="97"/>
      <c r="B83" s="95"/>
      <c r="C83" s="95"/>
      <c r="D83" s="95"/>
      <c r="E83" s="95"/>
      <c r="F83" s="95"/>
      <c r="G83" s="95"/>
      <c r="H83" s="95"/>
      <c r="I83" s="95"/>
      <c r="J83" s="95"/>
    </row>
    <row r="84" spans="1:11">
      <c r="A84" s="98"/>
      <c r="B84" s="95"/>
      <c r="C84" s="95"/>
      <c r="D84" s="95"/>
      <c r="E84" s="95"/>
      <c r="F84" s="95"/>
      <c r="G84" s="95"/>
      <c r="H84" s="95"/>
      <c r="I84" s="95"/>
      <c r="J84" s="95"/>
      <c r="K84" s="95"/>
    </row>
    <row r="85" spans="1:11">
      <c r="A85" s="98"/>
      <c r="B85" s="95"/>
      <c r="C85" s="95"/>
      <c r="D85" s="95"/>
      <c r="E85" s="95"/>
      <c r="F85" s="95"/>
      <c r="G85" s="95"/>
      <c r="H85" s="95"/>
      <c r="I85" s="95"/>
      <c r="J85" s="95"/>
    </row>
    <row r="86" spans="1:11">
      <c r="A86" s="99"/>
      <c r="B86" s="95"/>
      <c r="C86" s="95"/>
      <c r="D86" s="95"/>
      <c r="E86" s="95"/>
      <c r="F86" s="95"/>
      <c r="G86" s="95"/>
      <c r="H86" s="95"/>
      <c r="I86" s="95"/>
      <c r="J86" s="95"/>
      <c r="K86" s="95"/>
    </row>
    <row r="88" spans="1:11">
      <c r="B88" s="47"/>
      <c r="C88" s="47"/>
      <c r="D88" s="47"/>
      <c r="E88" s="47"/>
      <c r="F88" s="47"/>
      <c r="G88" s="47"/>
      <c r="H88" s="47"/>
      <c r="I88" s="47"/>
      <c r="J88" s="47"/>
    </row>
    <row r="89" spans="1:11">
      <c r="A89" s="100"/>
      <c r="B89" s="95"/>
      <c r="C89" s="95"/>
      <c r="D89" s="95"/>
      <c r="E89" s="95"/>
      <c r="F89" s="95"/>
      <c r="G89" s="95"/>
      <c r="H89" s="95"/>
      <c r="I89" s="95"/>
      <c r="J89" s="95"/>
    </row>
    <row r="90" spans="1:11">
      <c r="A90" s="100"/>
      <c r="B90" s="95"/>
      <c r="C90" s="95"/>
      <c r="D90" s="95"/>
      <c r="E90" s="95"/>
      <c r="F90" s="95"/>
      <c r="G90" s="95"/>
      <c r="H90" s="95"/>
      <c r="I90" s="95"/>
      <c r="J90" s="95"/>
    </row>
    <row r="1048576" spans="2:2">
      <c r="B1048576" s="95"/>
    </row>
  </sheetData>
  <mergeCells count="3">
    <mergeCell ref="A3:J3"/>
    <mergeCell ref="L3:T3"/>
    <mergeCell ref="V3:AD3"/>
  </mergeCells>
  <pageMargins left="0.7" right="0.7" top="0.75" bottom="0.75" header="0.3" footer="0.3"/>
  <tableParts count="3">
    <tablePart r:id="rId1"/>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48576"/>
  <sheetViews>
    <sheetView workbookViewId="0">
      <selection activeCell="V3" sqref="V3:AP3"/>
    </sheetView>
  </sheetViews>
  <sheetFormatPr defaultRowHeight="15"/>
  <cols>
    <col min="1" max="1" width="28.5703125" bestFit="1" customWidth="1"/>
    <col min="2" max="2" width="9.42578125" customWidth="1"/>
    <col min="3" max="3" width="9.5703125" customWidth="1"/>
    <col min="10" max="10" width="9.5703125" customWidth="1"/>
    <col min="12" max="12" width="9.42578125" customWidth="1"/>
    <col min="13" max="13" width="9.5703125" customWidth="1"/>
    <col min="20" max="20" width="9.5703125" customWidth="1"/>
    <col min="22" max="22" width="9.42578125" customWidth="1"/>
    <col min="23" max="23" width="9.5703125" customWidth="1"/>
    <col min="30" max="30" width="9.5703125" customWidth="1"/>
    <col min="31" max="41" width="0" hidden="1" customWidth="1"/>
  </cols>
  <sheetData>
    <row r="1" spans="1:43" ht="28.5">
      <c r="A1" s="125" t="s">
        <v>190</v>
      </c>
      <c r="B1" s="125"/>
      <c r="C1" s="125"/>
      <c r="D1" s="125"/>
      <c r="E1" s="125"/>
      <c r="F1" s="125"/>
      <c r="G1" s="125"/>
      <c r="H1" s="125"/>
      <c r="I1" s="125"/>
      <c r="J1" s="125"/>
    </row>
    <row r="3" spans="1:43" ht="28.5">
      <c r="A3" s="159" t="s">
        <v>8</v>
      </c>
      <c r="B3" s="159"/>
      <c r="C3" s="159"/>
      <c r="D3" s="159"/>
      <c r="E3" s="159"/>
      <c r="F3" s="159"/>
      <c r="G3" s="159"/>
      <c r="H3" s="159"/>
      <c r="I3" s="159"/>
      <c r="J3" s="159"/>
      <c r="L3" s="159" t="s">
        <v>125</v>
      </c>
      <c r="M3" s="159"/>
      <c r="N3" s="159"/>
      <c r="O3" s="159"/>
      <c r="P3" s="159"/>
      <c r="Q3" s="159"/>
      <c r="R3" s="159"/>
      <c r="S3" s="159"/>
      <c r="T3" s="159"/>
      <c r="V3" s="159" t="s">
        <v>10</v>
      </c>
      <c r="W3" s="159"/>
      <c r="X3" s="159"/>
      <c r="Y3" s="159"/>
      <c r="Z3" s="159"/>
      <c r="AA3" s="159"/>
      <c r="AB3" s="159"/>
      <c r="AC3" s="159"/>
      <c r="AD3" s="159"/>
      <c r="AE3" s="159"/>
      <c r="AF3" s="159"/>
      <c r="AG3" s="159"/>
      <c r="AH3" s="159"/>
      <c r="AI3" s="159"/>
      <c r="AJ3" s="159"/>
      <c r="AK3" s="159"/>
      <c r="AL3" s="159"/>
      <c r="AM3" s="159"/>
      <c r="AN3" s="159"/>
      <c r="AO3" s="159"/>
      <c r="AP3" s="159"/>
    </row>
    <row r="4" spans="1:43">
      <c r="A4" t="s">
        <v>114</v>
      </c>
      <c r="B4" s="47" t="s">
        <v>27</v>
      </c>
      <c r="C4" s="47" t="s">
        <v>28</v>
      </c>
      <c r="D4" s="47" t="s">
        <v>2</v>
      </c>
      <c r="E4" s="47" t="s">
        <v>3</v>
      </c>
      <c r="F4" s="47" t="s">
        <v>4</v>
      </c>
      <c r="G4" s="47" t="s">
        <v>5</v>
      </c>
      <c r="H4" s="47" t="s">
        <v>6</v>
      </c>
      <c r="I4" s="47" t="s">
        <v>7</v>
      </c>
      <c r="J4" s="47" t="s">
        <v>31</v>
      </c>
      <c r="L4" s="47" t="s">
        <v>27</v>
      </c>
      <c r="M4" s="47" t="s">
        <v>28</v>
      </c>
      <c r="N4" s="47" t="s">
        <v>2</v>
      </c>
      <c r="O4" s="47" t="s">
        <v>3</v>
      </c>
      <c r="P4" s="47" t="s">
        <v>4</v>
      </c>
      <c r="Q4" s="47" t="s">
        <v>5</v>
      </c>
      <c r="R4" s="47" t="s">
        <v>6</v>
      </c>
      <c r="S4" s="47" t="s">
        <v>7</v>
      </c>
      <c r="T4" s="47" t="s">
        <v>31</v>
      </c>
      <c r="V4" s="47" t="s">
        <v>27</v>
      </c>
      <c r="W4" s="47" t="s">
        <v>28</v>
      </c>
      <c r="X4" s="47" t="s">
        <v>2</v>
      </c>
      <c r="Y4" s="47" t="s">
        <v>3</v>
      </c>
      <c r="Z4" s="47" t="s">
        <v>4</v>
      </c>
      <c r="AA4" s="47" t="s">
        <v>5</v>
      </c>
      <c r="AB4" s="47" t="s">
        <v>6</v>
      </c>
      <c r="AC4" s="47" t="s">
        <v>7</v>
      </c>
      <c r="AD4" s="47" t="s">
        <v>31</v>
      </c>
      <c r="AP4" s="47" t="s">
        <v>12</v>
      </c>
    </row>
    <row r="5" spans="1:43">
      <c r="A5" s="96" t="s">
        <v>116</v>
      </c>
      <c r="B5" s="95">
        <f>AVERAGEIF('Profiles - Group A '!$E$6:$E$41, "Non-Smart", 'Task metrics - Group A'!CK$6:CK$41)</f>
        <v>3.5714285714285712E-2</v>
      </c>
      <c r="C5" s="95">
        <f>AVERAGEIF('Profiles - Group A '!$E$6:$E$41, "Non-Smart", 'Task metrics - Group A'!CL$6:CL$41)</f>
        <v>1.7857142857142856E-2</v>
      </c>
      <c r="D5" s="95">
        <f>AVERAGEIF('Profiles - Group A '!$E$6:$E$41, "Non-Smart", 'Task metrics - Group A'!CM$6:CM$41)</f>
        <v>0.19642857142857142</v>
      </c>
      <c r="E5" s="95">
        <f>AVERAGEIF('Profiles - Group A '!$E$6:$E$41, "Non-Smart", 'Task metrics - Group A'!CN$6:CN$41)</f>
        <v>0.21428571428571427</v>
      </c>
      <c r="F5" s="95">
        <f>AVERAGEIF('Profiles - Group A '!$E$6:$E$41, "Non-Smart", 'Task metrics - Group A'!CO$6:CO$41)</f>
        <v>0.19642857142857142</v>
      </c>
      <c r="G5" s="95">
        <f>AVERAGEIF('Profiles - Group A '!$E$6:$E$41, "Non-Smart", 'Task metrics - Group A'!CP$6:CP$41)</f>
        <v>0</v>
      </c>
      <c r="H5" s="95">
        <f>AVERAGEIF('Profiles - Group A '!$E$6:$E$41, "Non-Smart", 'Task metrics - Group A'!CQ$6:CQ$41)</f>
        <v>8.9285714285714288E-2</v>
      </c>
      <c r="I5" s="95">
        <f>AVERAGEIF('Profiles - Group A '!$E$6:$E$41, "Non-Smart", 'Task metrics - Group A'!CR$6:CR$41)</f>
        <v>0.6428571428571429</v>
      </c>
      <c r="J5" s="95">
        <f>AVERAGE(B5:I5)</f>
        <v>0.17410714285714285</v>
      </c>
      <c r="K5" s="96"/>
      <c r="L5" s="95">
        <f>AVERAGEIF('Profiles - Group A '!$E$6:$E$41, "Non-Smart", 'Task Time Calcs - Group A'!V$6:V$41)</f>
        <v>279.5</v>
      </c>
      <c r="M5" s="95">
        <f>AVERAGEIF('Profiles - Group A '!$E$6:$E$41, "Non-Smart", 'Task Time Calcs - Group A'!W$6:W$41)</f>
        <v>113</v>
      </c>
      <c r="N5" s="95">
        <f>AVERAGEIF('Profiles - Group A '!$E$6:$E$41, "Non-Smart", 'Task Time Calcs - Group A'!X$6:X$41)</f>
        <v>146.4</v>
      </c>
      <c r="O5" s="95">
        <f>AVERAGEIF('Profiles - Group A '!$E$6:$E$41, "Non-Smart", 'Task Time Calcs - Group A'!Y$6:Y$41)</f>
        <v>82.666666666666671</v>
      </c>
      <c r="P5" s="95">
        <f>AVERAGEIF('Profiles - Group A '!$E$6:$E$41, "Non-Smart", 'Task Time Calcs - Group A'!Z$6:Z$41)</f>
        <v>76.5</v>
      </c>
      <c r="Q5" s="95"/>
      <c r="R5" s="95">
        <f>AVERAGEIF('Profiles - Group A '!$E$6:$E$41, "Non-Smart", 'Task Time Calcs - Group A'!AB$6:AB$41)</f>
        <v>113</v>
      </c>
      <c r="S5" s="95">
        <f>AVERAGEIF('Profiles - Group A '!$E$6:$E$41, "Non-Smart", 'Task Time Calcs - Group A'!AC$6:AC$41)</f>
        <v>56.888888888888886</v>
      </c>
      <c r="T5" s="95">
        <f>AVERAGE(L5:S5)</f>
        <v>123.99365079365079</v>
      </c>
      <c r="V5" s="95">
        <f>AVERAGEIF('Profiles - Group A '!$E$6:$E$41, "Non-Smart", 'Task metrics - Group A'!DE$6:DE$41)</f>
        <v>2.2857142857142856</v>
      </c>
      <c r="W5" s="95">
        <f>AVERAGEIF('Profiles - Group A '!$E$6:$E$41, "Non-Smart", 'Task metrics - Group A'!DF$6:DF$41)</f>
        <v>2.6428571428571428</v>
      </c>
      <c r="X5" s="95">
        <f>AVERAGEIF('Profiles - Group A '!$E$6:$E$41, "Non-Smart", 'Task metrics - Group A'!DG$6:DG$41)</f>
        <v>2.8571428571428572</v>
      </c>
      <c r="Y5" s="95">
        <f>AVERAGEIF('Profiles - Group A '!$E$6:$E$41, "Non-Smart", 'Task metrics - Group A'!DH$6:DH$41)</f>
        <v>2.4285714285714284</v>
      </c>
      <c r="Z5" s="95">
        <f>AVERAGEIF('Profiles - Group A '!$E$6:$E$41, "Non-Smart", 'Task metrics - Group A'!DI$6:DI$41)</f>
        <v>2.9285714285714284</v>
      </c>
      <c r="AA5" s="95">
        <f>AVERAGEIF('Profiles - Group A '!$E$6:$E$41, "Non-Smart", 'Task metrics - Group A'!DJ$6:DJ$41)</f>
        <v>1.6428571428571428</v>
      </c>
      <c r="AB5" s="95">
        <f>AVERAGEIF('Profiles - Group A '!$E$6:$E$41, "Non-Smart", 'Task metrics - Group A'!DK$6:DK$41)</f>
        <v>2.4285714285714284</v>
      </c>
      <c r="AC5" s="95">
        <f>AVERAGEIF('Profiles - Group A '!$E$6:$E$41, "Non-Smart", 'Task metrics - Group A'!DL$6:DL$41)</f>
        <v>3.0714285714285716</v>
      </c>
      <c r="AD5" s="95">
        <f>AVERAGE(V5:AC5)</f>
        <v>2.535714285714286</v>
      </c>
      <c r="AP5" s="95">
        <f>AVERAGEIF('Profiles - Group A '!$E$6:$E$41, "Non-Smart", 'Task metrics - Group A'!DY$6:DY$41)</f>
        <v>28.035714285714285</v>
      </c>
    </row>
    <row r="6" spans="1:43">
      <c r="A6" s="96" t="s">
        <v>115</v>
      </c>
      <c r="B6" s="95">
        <f>AVERAGEIF('Profiles - Group A '!$E$6:$E$41, "&lt;&gt;Non-Smart", 'Task metrics - Group A'!CK$6:CK$41)</f>
        <v>7.9545454545454544E-2</v>
      </c>
      <c r="C6" s="95">
        <f>AVERAGEIF('Profiles - Group A '!$E$6:$E$41, "&lt;&gt;Non-Smart", 'Task metrics - Group A'!CL$6:CL$41)</f>
        <v>0.125</v>
      </c>
      <c r="D6" s="95">
        <f>AVERAGEIF('Profiles - Group A '!$E$6:$E$41, "&lt;&gt;Non-Smart", 'Task metrics - Group A'!CM$6:CM$41)</f>
        <v>0.14772727272727273</v>
      </c>
      <c r="E6" s="95">
        <f>AVERAGEIF('Profiles - Group A '!$E$6:$E$41, "&lt;&gt;Non-Smart", 'Task metrics - Group A'!CN$6:CN$41)</f>
        <v>0.46590909090909088</v>
      </c>
      <c r="F6" s="95">
        <f>AVERAGEIF('Profiles - Group A '!$E$6:$E$41, "&lt;&gt;Non-Smart", 'Task metrics - Group A'!CO$6:CO$41)</f>
        <v>0.14772727272727273</v>
      </c>
      <c r="G6" s="95">
        <f>AVERAGEIF('Profiles - Group A '!$E$6:$E$41, "&lt;&gt;Non-Smart", 'Task metrics - Group A'!CP$6:CP$41)</f>
        <v>0.29545454545454547</v>
      </c>
      <c r="H6" s="95">
        <f>AVERAGEIF('Profiles - Group A '!$E$6:$E$41, "&lt;&gt;Non-Smart", 'Task metrics - Group A'!CQ$6:CQ$41)</f>
        <v>0.42045454545454547</v>
      </c>
      <c r="I6" s="95">
        <f>AVERAGEIF('Profiles - Group A '!$E$6:$E$41, "&lt;&gt;Non-Smart", 'Task metrics - Group A'!CR$6:CR$41)</f>
        <v>0.69318181818181823</v>
      </c>
      <c r="J6" s="95">
        <f>AVERAGE(B6:I6)</f>
        <v>0.296875</v>
      </c>
      <c r="K6" s="96"/>
      <c r="L6" s="95">
        <f>AVERAGEIF('Profiles - Group A '!$E$6:$E$41, "&lt;&gt;Non-Smart", 'Task Time Calcs - Group A'!V$6:V$41)</f>
        <v>231.85714285714286</v>
      </c>
      <c r="M6" s="95">
        <f>AVERAGEIF('Profiles - Group A '!$E$6:$E$41, "&lt;&gt;Non-Smart", 'Task Time Calcs - Group A'!W$6:W$41)</f>
        <v>112.5</v>
      </c>
      <c r="N6" s="95">
        <f>AVERAGEIF('Profiles - Group A '!$E$6:$E$41, "&lt;&gt;Non-Smart", 'Task Time Calcs - Group A'!X$6:X$41)</f>
        <v>134.9</v>
      </c>
      <c r="O6" s="95">
        <f>AVERAGEIF('Profiles - Group A '!$E$6:$E$41, "&lt;&gt;Non-Smart", 'Task Time Calcs - Group A'!Y$6:Y$41)</f>
        <v>71.909090909090907</v>
      </c>
      <c r="P6" s="95">
        <f>AVERAGEIF('Profiles - Group A '!$E$6:$E$41, "&lt;&gt;Non-Smart", 'Task Time Calcs - Group A'!Z$6:Z$41)</f>
        <v>87.92307692307692</v>
      </c>
      <c r="Q6" s="95">
        <f>AVERAGEIF('Profiles - Group A '!$E$6:$E$41, "&lt;&gt;Non-Smart", 'Task Time Calcs - Group A'!AA$6:AA$41)</f>
        <v>91.75</v>
      </c>
      <c r="R6" s="95">
        <f>AVERAGEIF('Profiles - Group A '!$E$6:$E$41, "&lt;&gt;Non-Smart", 'Task Time Calcs - Group A'!AB$6:AB$41)</f>
        <v>49.7</v>
      </c>
      <c r="S6" s="95">
        <f>AVERAGEIF('Profiles - Group A '!$E$6:$E$41, "&lt;&gt;Non-Smart", 'Task Time Calcs - Group A'!AC$6:AC$41)</f>
        <v>86.6875</v>
      </c>
      <c r="T6" s="95">
        <f>AVERAGE(L6:S6)</f>
        <v>108.40335133616384</v>
      </c>
      <c r="V6" s="95">
        <f>AVERAGEIF('Profiles - Group A '!$E$6:$E$41, "&lt;&gt;Non-Smart", 'Task metrics - Group A'!DE$6:DE$41)</f>
        <v>2.7272727272727271</v>
      </c>
      <c r="W6" s="95">
        <f>AVERAGEIF('Profiles - Group A '!$E$6:$E$41, "&lt;&gt;Non-Smart", 'Task metrics - Group A'!DF$6:DF$41)</f>
        <v>2.9545454545454546</v>
      </c>
      <c r="X6" s="95">
        <f>AVERAGEIF('Profiles - Group A '!$E$6:$E$41, "&lt;&gt;Non-Smart", 'Task metrics - Group A'!DG$6:DG$41)</f>
        <v>3.0909090909090908</v>
      </c>
      <c r="Y6" s="95">
        <f>AVERAGEIF('Profiles - Group A '!$E$6:$E$41, "&lt;&gt;Non-Smart", 'Task metrics - Group A'!DH$6:DH$41)</f>
        <v>3.2272727272727271</v>
      </c>
      <c r="Z6" s="95">
        <f>AVERAGEIF('Profiles - Group A '!$E$6:$E$41, "&lt;&gt;Non-Smart", 'Task metrics - Group A'!DI$6:DI$41)</f>
        <v>2.7272727272727271</v>
      </c>
      <c r="AA6" s="95">
        <f>AVERAGEIF('Profiles - Group A '!$E$6:$E$41, "&lt;&gt;Non-Smart", 'Task metrics - Group A'!DJ$6:DJ$41)</f>
        <v>2.8636363636363638</v>
      </c>
      <c r="AB6" s="95">
        <f>AVERAGEIF('Profiles - Group A '!$E$6:$E$41, "&lt;&gt;Non-Smart", 'Task metrics - Group A'!DK$6:DK$41)</f>
        <v>3.1818181818181817</v>
      </c>
      <c r="AC6" s="95">
        <f>AVERAGEIF('Profiles - Group A '!$E$6:$E$41, "&lt;&gt;Non-Smart", 'Task metrics - Group A'!DL$6:DL$41)</f>
        <v>3</v>
      </c>
      <c r="AD6" s="95">
        <f>AVERAGE(V6:AC6)</f>
        <v>2.9715909090909092</v>
      </c>
      <c r="AP6" s="95">
        <f>AVERAGEIF('Profiles - Group A '!$E$6:$E$41, "&lt;&gt;Non-Smart", 'Task metrics - Group A'!DY$6:DY$41)</f>
        <v>50.68181818181818</v>
      </c>
    </row>
    <row r="8" spans="1:43">
      <c r="B8" s="47" t="s">
        <v>27</v>
      </c>
      <c r="C8" s="47" t="s">
        <v>28</v>
      </c>
      <c r="D8" s="47" t="s">
        <v>2</v>
      </c>
      <c r="E8" s="47" t="s">
        <v>3</v>
      </c>
      <c r="F8" s="47" t="s">
        <v>4</v>
      </c>
      <c r="G8" s="47" t="s">
        <v>5</v>
      </c>
      <c r="H8" s="47" t="s">
        <v>6</v>
      </c>
      <c r="I8" s="47" t="s">
        <v>7</v>
      </c>
      <c r="J8" s="47" t="s">
        <v>31</v>
      </c>
      <c r="L8" s="47" t="s">
        <v>27</v>
      </c>
      <c r="M8" s="47" t="s">
        <v>28</v>
      </c>
      <c r="N8" s="47" t="s">
        <v>2</v>
      </c>
      <c r="O8" s="47" t="s">
        <v>3</v>
      </c>
      <c r="P8" s="47" t="s">
        <v>4</v>
      </c>
      <c r="Q8" s="47" t="s">
        <v>5</v>
      </c>
      <c r="R8" s="47" t="s">
        <v>6</v>
      </c>
      <c r="S8" s="47" t="s">
        <v>7</v>
      </c>
      <c r="T8" s="47" t="s">
        <v>31</v>
      </c>
      <c r="V8" s="47" t="s">
        <v>27</v>
      </c>
      <c r="W8" s="47" t="s">
        <v>28</v>
      </c>
      <c r="X8" s="47" t="s">
        <v>2</v>
      </c>
      <c r="Y8" s="47" t="s">
        <v>3</v>
      </c>
      <c r="Z8" s="47" t="s">
        <v>4</v>
      </c>
      <c r="AA8" s="47" t="s">
        <v>5</v>
      </c>
      <c r="AB8" s="47" t="s">
        <v>6</v>
      </c>
      <c r="AC8" s="47" t="s">
        <v>7</v>
      </c>
      <c r="AD8" s="47" t="s">
        <v>31</v>
      </c>
    </row>
    <row r="9" spans="1:43">
      <c r="A9" s="96" t="s">
        <v>117</v>
      </c>
      <c r="B9" s="95">
        <f>AVERAGEIF('Profiles - Group A '!$C$6:$C$41, "18 to 25", 'Task metrics - Group A'!CK$6:CK$41)</f>
        <v>0.05</v>
      </c>
      <c r="C9" s="95">
        <f>AVERAGEIF('Profiles - Group A '!$C$6:$C$41, "18 to 25", 'Task metrics - Group A'!CL$6:CL$41)</f>
        <v>0.25</v>
      </c>
      <c r="D9" s="95">
        <f>AVERAGEIF('Profiles - Group A '!$C$6:$C$41, "18 to 25", 'Task metrics - Group A'!CM$6:CM$41)</f>
        <v>0.25</v>
      </c>
      <c r="E9" s="95">
        <f>AVERAGEIF('Profiles - Group A '!$C$6:$C$41, "18 to 25", 'Task metrics - Group A'!CN$6:CN$41)</f>
        <v>0.6</v>
      </c>
      <c r="F9" s="95">
        <f>AVERAGEIF('Profiles - Group A '!$C$6:$C$41, "18 to 25", 'Task metrics - Group A'!CO$6:CO$41)</f>
        <v>0.1</v>
      </c>
      <c r="G9" s="95">
        <f>AVERAGEIF('Profiles - Group A '!$C$6:$C$41, "18 to 25", 'Task metrics - Group A'!CP$6:CP$41)</f>
        <v>0.6</v>
      </c>
      <c r="H9" s="95">
        <f>AVERAGEIF('Profiles - Group A '!$C$6:$C$41, "18 to 25", 'Task metrics - Group A'!CQ$6:CQ$41)</f>
        <v>0.8</v>
      </c>
      <c r="I9" s="95">
        <f>AVERAGEIF('Profiles - Group A '!$C$6:$C$41, "18 to 25", 'Task metrics - Group A'!CR$6:CR$41)</f>
        <v>0.8</v>
      </c>
      <c r="J9" s="95">
        <f t="shared" ref="J9:J14" si="0">AVERAGE(B9:I9)</f>
        <v>0.43125000000000002</v>
      </c>
      <c r="L9" s="95">
        <f>AVERAGEIF('Profiles - Group A '!$C$6:$C$41, "18 to 25", 'Task Time Calcs - Group A'!V$6:V$41)</f>
        <v>153</v>
      </c>
      <c r="M9" s="95">
        <f>AVERAGEIF('Profiles - Group A '!$C$6:$C$41, "18 to 25", 'Task Time Calcs - Group A'!W$6:W$41)</f>
        <v>111.5</v>
      </c>
      <c r="N9" s="95">
        <f>AVERAGEIF('Profiles - Group A '!$C$6:$C$41, "18 to 25", 'Task Time Calcs - Group A'!X$6:X$41)</f>
        <v>138</v>
      </c>
      <c r="O9" s="95">
        <f>AVERAGEIF('Profiles - Group A '!$C$6:$C$41, "18 to 25", 'Task Time Calcs - Group A'!Y$6:Y$41)</f>
        <v>73</v>
      </c>
      <c r="P9" s="95">
        <f>AVERAGEIF('Profiles - Group A '!$C$6:$C$41, "18 to 25", 'Task Time Calcs - Group A'!Z$6:Z$41)</f>
        <v>121</v>
      </c>
      <c r="Q9" s="95">
        <f>AVERAGEIF('Profiles - Group A '!$C$6:$C$41, "18 to 25", 'Task Time Calcs - Group A'!AA$6:AA$41)</f>
        <v>116</v>
      </c>
      <c r="R9" s="95">
        <f>AVERAGEIF('Profiles - Group A '!$C$6:$C$41, "18 to 25", 'Task Time Calcs - Group A'!AB$6:AB$41)</f>
        <v>55</v>
      </c>
      <c r="S9" s="95">
        <f>AVERAGEIF('Profiles - Group A '!$C$6:$C$41, "18 to 25", 'Task Time Calcs - Group A'!AC$6:AC$41)</f>
        <v>115</v>
      </c>
      <c r="T9" s="95">
        <f t="shared" ref="T9:T14" si="1">AVERAGE(L9:S9)</f>
        <v>110.3125</v>
      </c>
      <c r="V9" s="95">
        <f>AVERAGEIF('Profiles - Group A '!$C$6:$C$41, "18 to 25", 'Task metrics - Group A'!DE$6:DE$41)</f>
        <v>3.4</v>
      </c>
      <c r="W9" s="95">
        <f>AVERAGEIF('Profiles - Group A '!$C$6:$C$41, "18 to 25", 'Task metrics - Group A'!DF$6:DF$41)</f>
        <v>3.8</v>
      </c>
      <c r="X9" s="95">
        <f>AVERAGEIF('Profiles - Group A '!$C$6:$C$41, "18 to 25", 'Task metrics - Group A'!DG$6:DG$41)</f>
        <v>4</v>
      </c>
      <c r="Y9" s="95">
        <f>AVERAGEIF('Profiles - Group A '!$C$6:$C$41, "18 to 25", 'Task metrics - Group A'!DH$6:DH$41)</f>
        <v>4.2</v>
      </c>
      <c r="Z9" s="95">
        <f>AVERAGEIF('Profiles - Group A '!$C$6:$C$41, "18 to 25", 'Task metrics - Group A'!DI$6:DI$41)</f>
        <v>2.6</v>
      </c>
      <c r="AA9" s="95">
        <f>AVERAGEIF('Profiles - Group A '!$C$6:$C$41, "18 to 25", 'Task metrics - Group A'!DJ$6:DJ$41)</f>
        <v>3.4</v>
      </c>
      <c r="AB9" s="95">
        <f>AVERAGEIF('Profiles - Group A '!$C$6:$C$41, "18 to 25", 'Task metrics - Group A'!DK$6:DK$41)</f>
        <v>4.4000000000000004</v>
      </c>
      <c r="AC9" s="95">
        <f>AVERAGEIF('Profiles - Group A '!$C$6:$C$41, "18 to 25", 'Task metrics - Group A'!DL$6:DL$41)</f>
        <v>3.6</v>
      </c>
      <c r="AD9" s="95">
        <f t="shared" ref="AD9:AD14" si="2">AVERAGE(V9:AC9)</f>
        <v>3.6749999999999998</v>
      </c>
      <c r="AP9" s="95">
        <f>AVERAGEIF('Profiles - Group A '!$C$6:$C$41, "18 to 25", 'Task metrics - Group A'!DY$6:DY$41)</f>
        <v>74</v>
      </c>
    </row>
    <row r="10" spans="1:43">
      <c r="A10" s="96" t="s">
        <v>118</v>
      </c>
      <c r="B10" s="95">
        <f>AVERAGEIF('Profiles - Group A '!$C$6:$C$41, "26 to 35", 'Task metrics - Group A'!CK$6:CK$41)</f>
        <v>0.15</v>
      </c>
      <c r="C10" s="95">
        <f>AVERAGEIF('Profiles - Group A '!$C$6:$C$41, "26 to 35", 'Task metrics - Group A'!CL$6:CL$41)</f>
        <v>0.1</v>
      </c>
      <c r="D10" s="95">
        <f>AVERAGEIF('Profiles - Group A '!$C$6:$C$41, "26 to 35", 'Task metrics - Group A'!CM$6:CM$41)</f>
        <v>0.15</v>
      </c>
      <c r="E10" s="95">
        <f>AVERAGEIF('Profiles - Group A '!$C$6:$C$41, "26 to 35", 'Task metrics - Group A'!CN$6:CN$41)</f>
        <v>0.8</v>
      </c>
      <c r="F10" s="95">
        <f>AVERAGEIF('Profiles - Group A '!$C$6:$C$41, "26 to 35", 'Task metrics - Group A'!CO$6:CO$41)</f>
        <v>0.25</v>
      </c>
      <c r="G10" s="95">
        <f>AVERAGEIF('Profiles - Group A '!$C$6:$C$41, "26 to 35", 'Task metrics - Group A'!CP$6:CP$41)</f>
        <v>0.4</v>
      </c>
      <c r="H10" s="95">
        <f>AVERAGEIF('Profiles - Group A '!$C$6:$C$41, "26 to 35", 'Task metrics - Group A'!CQ$6:CQ$41)</f>
        <v>0.6</v>
      </c>
      <c r="I10" s="95">
        <f>AVERAGEIF('Profiles - Group A '!$C$6:$C$41, "26 to 35", 'Task metrics - Group A'!CR$6:CR$41)</f>
        <v>0.6</v>
      </c>
      <c r="J10" s="95">
        <f t="shared" si="0"/>
        <v>0.38125000000000003</v>
      </c>
      <c r="K10" s="95"/>
      <c r="L10" s="95">
        <f>AVERAGEIF('Profiles - Group A '!$C$6:$C$41, "26 to 35", 'Task Time Calcs - Group A'!V$6:V$41)</f>
        <v>225.33333333333334</v>
      </c>
      <c r="M10" s="95">
        <f>AVERAGEIF('Profiles - Group A '!$C$6:$C$41, "26 to 35", 'Task Time Calcs - Group A'!W$6:W$41)</f>
        <v>110</v>
      </c>
      <c r="N10" s="95">
        <f>AVERAGEIF('Profiles - Group A '!$C$6:$C$41, "26 to 35", 'Task Time Calcs - Group A'!X$6:X$41)</f>
        <v>96</v>
      </c>
      <c r="O10" s="95">
        <f>AVERAGEIF('Profiles - Group A '!$C$6:$C$41, "26 to 35", 'Task Time Calcs - Group A'!Y$6:Y$41)</f>
        <v>49.75</v>
      </c>
      <c r="P10" s="95">
        <f>AVERAGEIF('Profiles - Group A '!$C$6:$C$41, "26 to 35", 'Task Time Calcs - Group A'!Z$6:Z$41)</f>
        <v>91.6</v>
      </c>
      <c r="Q10" s="95">
        <f>AVERAGEIF('Profiles - Group A '!$C$6:$C$41, "26 to 35", 'Task Time Calcs - Group A'!AA$6:AA$41)</f>
        <v>76</v>
      </c>
      <c r="R10" s="95">
        <f>AVERAGEIF('Profiles - Group A '!$C$6:$C$41, "26 to 35", 'Task Time Calcs - Group A'!AB$6:AB$41)</f>
        <v>35</v>
      </c>
      <c r="S10" s="95">
        <f>AVERAGEIF('Profiles - Group A '!$C$6:$C$41, "26 to 35", 'Task Time Calcs - Group A'!AC$6:AC$41)</f>
        <v>27.333333333333332</v>
      </c>
      <c r="T10" s="95">
        <f t="shared" si="1"/>
        <v>88.877083333333346</v>
      </c>
      <c r="U10" s="95"/>
      <c r="V10" s="95">
        <f>AVERAGEIF('Profiles - Group A '!$C$6:$C$41, "26 to 35", 'Task metrics - Group A'!DE$6:DE$41)</f>
        <v>2</v>
      </c>
      <c r="W10" s="95">
        <f>AVERAGEIF('Profiles - Group A '!$C$6:$C$41, "26 to 35", 'Task metrics - Group A'!DF$6:DF$41)</f>
        <v>2.6</v>
      </c>
      <c r="X10" s="95">
        <f>AVERAGEIF('Profiles - Group A '!$C$6:$C$41, "26 to 35", 'Task metrics - Group A'!DG$6:DG$41)</f>
        <v>3</v>
      </c>
      <c r="Y10" s="95">
        <f>AVERAGEIF('Profiles - Group A '!$C$6:$C$41, "26 to 35", 'Task metrics - Group A'!DH$6:DH$41)</f>
        <v>3.8</v>
      </c>
      <c r="Z10" s="95">
        <f>AVERAGEIF('Profiles - Group A '!$C$6:$C$41, "26 to 35", 'Task metrics - Group A'!DI$6:DI$41)</f>
        <v>3.2</v>
      </c>
      <c r="AA10" s="95">
        <f>AVERAGEIF('Profiles - Group A '!$C$6:$C$41, "26 to 35", 'Task metrics - Group A'!DJ$6:DJ$41)</f>
        <v>2.8</v>
      </c>
      <c r="AB10" s="95">
        <f>AVERAGEIF('Profiles - Group A '!$C$6:$C$41, "26 to 35", 'Task metrics - Group A'!DK$6:DK$41)</f>
        <v>3.8</v>
      </c>
      <c r="AC10" s="95">
        <f>AVERAGEIF('Profiles - Group A '!$C$6:$C$41, "26 to 35", 'Task metrics - Group A'!DL$6:DL$41)</f>
        <v>3.2</v>
      </c>
      <c r="AD10" s="95">
        <f t="shared" si="2"/>
        <v>3.05</v>
      </c>
      <c r="AE10" s="95"/>
      <c r="AP10" s="95">
        <f>AVERAGEIF('Profiles - Group A '!$C$6:$C$41, "26 to 35", 'Task metrics - Group A'!DY$6:DY$41)</f>
        <v>34.5</v>
      </c>
      <c r="AQ10" s="95"/>
    </row>
    <row r="11" spans="1:43">
      <c r="A11" s="96" t="s">
        <v>119</v>
      </c>
      <c r="B11" s="95">
        <f>AVERAGEIF('Profiles - Group A '!$C$6:$C$41, "36 to 45", 'Task metrics - Group A'!CK$6:CK$41)</f>
        <v>3.5714285714285712E-2</v>
      </c>
      <c r="C11" s="95">
        <f>AVERAGEIF('Profiles - Group A '!$C$6:$C$41, "36 to 45", 'Task metrics - Group A'!CL$6:CL$41)</f>
        <v>3.5714285714285712E-2</v>
      </c>
      <c r="D11" s="95">
        <f>AVERAGEIF('Profiles - Group A '!$C$6:$C$41, "36 to 45", 'Task metrics - Group A'!CM$6:CM$41)</f>
        <v>7.1428571428571425E-2</v>
      </c>
      <c r="E11" s="95">
        <f>AVERAGEIF('Profiles - Group A '!$C$6:$C$41, "36 to 45", 'Task metrics - Group A'!CN$6:CN$41)</f>
        <v>0.14285714285714285</v>
      </c>
      <c r="F11" s="95">
        <f>AVERAGEIF('Profiles - Group A '!$C$6:$C$41, "36 to 45", 'Task metrics - Group A'!CO$6:CO$41)</f>
        <v>0.10714285714285714</v>
      </c>
      <c r="G11" s="95">
        <f>AVERAGEIF('Profiles - Group A '!$C$6:$C$41, "36 to 45", 'Task metrics - Group A'!CP$6:CP$41)</f>
        <v>7.1428571428571425E-2</v>
      </c>
      <c r="H11" s="95">
        <f>AVERAGEIF('Profiles - Group A '!$C$6:$C$41, "36 to 45", 'Task metrics - Group A'!CQ$6:CQ$41)</f>
        <v>3.5714285714285712E-2</v>
      </c>
      <c r="I11" s="95">
        <f>AVERAGEIF('Profiles - Group A '!$C$6:$C$41, "36 to 45", 'Task metrics - Group A'!CR$6:CR$41)</f>
        <v>0.7142857142857143</v>
      </c>
      <c r="J11" s="95">
        <f t="shared" si="0"/>
        <v>0.1517857142857143</v>
      </c>
      <c r="L11" s="95">
        <f>AVERAGEIF('Profiles - Group A '!$C$6:$C$41, "36 to 45", 'Task Time Calcs - Group A'!V$6:V$41)</f>
        <v>259</v>
      </c>
      <c r="M11" s="95">
        <f>AVERAGEIF('Profiles - Group A '!$C$6:$C$41, "36 to 45", 'Task Time Calcs - Group A'!W$6:W$41)</f>
        <v>51</v>
      </c>
      <c r="N11" s="95">
        <f>AVERAGEIF('Profiles - Group A '!$C$6:$C$41, "36 to 45", 'Task Time Calcs - Group A'!X$6:X$41)</f>
        <v>124.5</v>
      </c>
      <c r="O11" s="95">
        <f>AVERAGEIF('Profiles - Group A '!$C$6:$C$41, "36 to 45", 'Task Time Calcs - Group A'!Y$6:Y$41)</f>
        <v>81</v>
      </c>
      <c r="P11" s="95">
        <f>AVERAGEIF('Profiles - Group A '!$C$6:$C$41, "36 to 45", 'Task Time Calcs - Group A'!Z$6:Z$41)</f>
        <v>65.666666666666671</v>
      </c>
      <c r="Q11" s="95">
        <f>AVERAGEIF('Profiles - Group A '!$C$6:$C$41, "36 to 45", 'Task Time Calcs - Group A'!AA$6:AA$41)</f>
        <v>85.5</v>
      </c>
      <c r="R11" s="95">
        <f>AVERAGEIF('Profiles - Group A '!$C$6:$C$41, "36 to 45", 'Task Time Calcs - Group A'!AB$6:AB$41)</f>
        <v>47</v>
      </c>
      <c r="S11" s="95">
        <f>AVERAGEIF('Profiles - Group A '!$C$6:$C$41, "36 to 45", 'Task Time Calcs - Group A'!AC$6:AC$41)</f>
        <v>63.2</v>
      </c>
      <c r="T11" s="95">
        <f t="shared" si="1"/>
        <v>97.108333333333334</v>
      </c>
      <c r="V11" s="95">
        <f>AVERAGEIF('Profiles - Group A '!$C$6:$C$41, "36 to 45", 'Task metrics - Group A'!DE$6:DE$41)</f>
        <v>2.7142857142857144</v>
      </c>
      <c r="W11" s="95">
        <f>AVERAGEIF('Profiles - Group A '!$C$6:$C$41, "36 to 45", 'Task metrics - Group A'!DF$6:DF$41)</f>
        <v>3.1428571428571428</v>
      </c>
      <c r="X11" s="95">
        <f>AVERAGEIF('Profiles - Group A '!$C$6:$C$41, "36 to 45", 'Task metrics - Group A'!DG$6:DG$41)</f>
        <v>2.8571428571428572</v>
      </c>
      <c r="Y11" s="95">
        <f>AVERAGEIF('Profiles - Group A '!$C$6:$C$41, "36 to 45", 'Task metrics - Group A'!DH$6:DH$41)</f>
        <v>2.2857142857142856</v>
      </c>
      <c r="Z11" s="95">
        <f>AVERAGEIF('Profiles - Group A '!$C$6:$C$41, "36 to 45", 'Task metrics - Group A'!DI$6:DI$41)</f>
        <v>2.8571428571428572</v>
      </c>
      <c r="AA11" s="95">
        <f>AVERAGEIF('Profiles - Group A '!$C$6:$C$41, "36 to 45", 'Task metrics - Group A'!DJ$6:DJ$41)</f>
        <v>2.7142857142857144</v>
      </c>
      <c r="AB11" s="95">
        <f>AVERAGEIF('Profiles - Group A '!$C$6:$C$41, "36 to 45", 'Task metrics - Group A'!DK$6:DK$41)</f>
        <v>2</v>
      </c>
      <c r="AC11" s="95">
        <f>AVERAGEIF('Profiles - Group A '!$C$6:$C$41, "36 to 45", 'Task metrics - Group A'!DL$6:DL$41)</f>
        <v>3.1428571428571428</v>
      </c>
      <c r="AD11" s="95">
        <f t="shared" si="2"/>
        <v>2.7142857142857144</v>
      </c>
      <c r="AP11" s="95">
        <f>AVERAGEIF('Profiles - Group A '!$C$6:$C$41, "36 to 45", 'Task metrics - Group A'!DY$6:DY$41)</f>
        <v>39.642857142857146</v>
      </c>
    </row>
    <row r="12" spans="1:43">
      <c r="A12" s="96" t="s">
        <v>120</v>
      </c>
      <c r="B12" s="95">
        <f>AVERAGEIF('Profiles - Group A '!$C$6:$C$41, "46 to 55", 'Task metrics - Group A'!CK$6:CK$41)</f>
        <v>6.25E-2</v>
      </c>
      <c r="C12" s="95">
        <f>AVERAGEIF('Profiles - Group A '!$C$6:$C$41, "46 to 55", 'Task metrics - Group A'!CL$6:CL$41)</f>
        <v>0</v>
      </c>
      <c r="D12" s="95">
        <f>AVERAGEIF('Profiles - Group A '!$C$6:$C$41, "46 to 55", 'Task metrics - Group A'!CM$6:CM$41)</f>
        <v>0.15625</v>
      </c>
      <c r="E12" s="95">
        <f>AVERAGEIF('Profiles - Group A '!$C$6:$C$41, "46 to 55", 'Task metrics - Group A'!CN$6:CN$41)</f>
        <v>0.5</v>
      </c>
      <c r="F12" s="95">
        <f>AVERAGEIF('Profiles - Group A '!$C$6:$C$41, "46 to 55", 'Task metrics - Group A'!CO$6:CO$41)</f>
        <v>0.28125</v>
      </c>
      <c r="G12" s="95">
        <f>AVERAGEIF('Profiles - Group A '!$C$6:$C$41, "46 to 55", 'Task metrics - Group A'!CP$6:CP$41)</f>
        <v>0</v>
      </c>
      <c r="H12" s="95">
        <f>AVERAGEIF('Profiles - Group A '!$C$6:$C$41, "46 to 55", 'Task metrics - Group A'!CQ$6:CQ$41)</f>
        <v>0.15625</v>
      </c>
      <c r="I12" s="95">
        <f>AVERAGEIF('Profiles - Group A '!$C$6:$C$41, "46 to 55", 'Task metrics - Group A'!CR$6:CR$41)</f>
        <v>0.65625</v>
      </c>
      <c r="J12" s="95">
        <f t="shared" si="0"/>
        <v>0.2265625</v>
      </c>
      <c r="K12" s="95"/>
      <c r="L12" s="95">
        <f>AVERAGEIF('Profiles - Group A '!$C$6:$C$41, "46 to 55", 'Task Time Calcs - Group A'!V$6:V$41)</f>
        <v>300</v>
      </c>
      <c r="M12" s="95"/>
      <c r="N12" s="95">
        <f>AVERAGEIF('Profiles - Group A '!$C$6:$C$41, "46 to 55", 'Task Time Calcs - Group A'!X$6:X$41)</f>
        <v>240</v>
      </c>
      <c r="O12" s="95">
        <f>AVERAGEIF('Profiles - Group A '!$C$6:$C$41, "46 to 55", 'Task Time Calcs - Group A'!Y$6:Y$41)</f>
        <v>91.75</v>
      </c>
      <c r="P12" s="95">
        <f>AVERAGEIF('Profiles - Group A '!$C$6:$C$41, "46 to 55", 'Task Time Calcs - Group A'!Z$6:Z$41)</f>
        <v>50.166666666666664</v>
      </c>
      <c r="Q12" s="95"/>
      <c r="R12" s="95">
        <f>AVERAGEIF('Profiles - Group A '!$C$6:$C$41, "46 to 55", 'Task Time Calcs - Group A'!AB$6:AB$41)</f>
        <v>55.5</v>
      </c>
      <c r="S12" s="95">
        <f>AVERAGEIF('Profiles - Group A '!$C$6:$C$41, "46 to 55", 'Task Time Calcs - Group A'!AC$6:AC$41)</f>
        <v>63.166666666666664</v>
      </c>
      <c r="T12" s="95">
        <f t="shared" si="1"/>
        <v>133.43055555555554</v>
      </c>
      <c r="U12" s="95"/>
      <c r="V12" s="95">
        <f>AVERAGEIF('Profiles - Group A '!$C$6:$C$41, "46 to 55", 'Task metrics - Group A'!DE$6:DE$41)</f>
        <v>2.125</v>
      </c>
      <c r="W12" s="95">
        <f>AVERAGEIF('Profiles - Group A '!$C$6:$C$41, "46 to 55", 'Task metrics - Group A'!DF$6:DF$41)</f>
        <v>2.375</v>
      </c>
      <c r="X12" s="95">
        <f>AVERAGEIF('Profiles - Group A '!$C$6:$C$41, "46 to 55", 'Task metrics - Group A'!DG$6:DG$41)</f>
        <v>2.625</v>
      </c>
      <c r="Y12" s="95">
        <f>AVERAGEIF('Profiles - Group A '!$C$6:$C$41, "46 to 55", 'Task metrics - Group A'!DH$6:DH$41)</f>
        <v>2.625</v>
      </c>
      <c r="Z12" s="95">
        <f>AVERAGEIF('Profiles - Group A '!$C$6:$C$41, "46 to 55", 'Task metrics - Group A'!DI$6:DI$41)</f>
        <v>2.875</v>
      </c>
      <c r="AA12" s="95">
        <f>AVERAGEIF('Profiles - Group A '!$C$6:$C$41, "46 to 55", 'Task metrics - Group A'!DJ$6:DJ$41)</f>
        <v>1.625</v>
      </c>
      <c r="AB12" s="95">
        <f>AVERAGEIF('Profiles - Group A '!$C$6:$C$41, "46 to 55", 'Task metrics - Group A'!DK$6:DK$41)</f>
        <v>2.625</v>
      </c>
      <c r="AC12" s="95">
        <f>AVERAGEIF('Profiles - Group A '!$C$6:$C$41, "46 to 55", 'Task metrics - Group A'!DL$6:DL$41)</f>
        <v>3</v>
      </c>
      <c r="AD12" s="95">
        <f t="shared" si="2"/>
        <v>2.484375</v>
      </c>
      <c r="AE12" s="95"/>
      <c r="AP12" s="95">
        <f>AVERAGEIF('Profiles - Group A '!$C$6:$C$41, "46 to 55", 'Task metrics - Group A'!DY$6:DY$41)</f>
        <v>23.75</v>
      </c>
      <c r="AQ12" s="95"/>
    </row>
    <row r="13" spans="1:43">
      <c r="A13" s="96" t="s">
        <v>121</v>
      </c>
      <c r="B13" s="95">
        <f>AVERAGEIF('Profiles - Group A '!$C$6:$C$41, "56 to 65", 'Task metrics - Group A'!CK$6:CK$41)</f>
        <v>0</v>
      </c>
      <c r="C13" s="95">
        <f>AVERAGEIF('Profiles - Group A '!$C$6:$C$41, "56 to 65", 'Task metrics - Group A'!CL$6:CL$41)</f>
        <v>8.3333333333333329E-2</v>
      </c>
      <c r="D13" s="95">
        <f>AVERAGEIF('Profiles - Group A '!$C$6:$C$41, "56 to 65", 'Task metrics - Group A'!CM$6:CM$41)</f>
        <v>0.29166666666666669</v>
      </c>
      <c r="E13" s="95">
        <f>AVERAGEIF('Profiles - Group A '!$C$6:$C$41, "56 to 65", 'Task metrics - Group A'!CN$6:CN$41)</f>
        <v>0</v>
      </c>
      <c r="F13" s="95">
        <f>AVERAGEIF('Profiles - Group A '!$C$6:$C$41, "56 to 65", 'Task metrics - Group A'!CO$6:CO$41)</f>
        <v>8.3333333333333329E-2</v>
      </c>
      <c r="G13" s="95">
        <f>AVERAGEIF('Profiles - Group A '!$C$6:$C$41, "56 to 65", 'Task metrics - Group A'!CP$6:CP$41)</f>
        <v>0</v>
      </c>
      <c r="H13" s="95">
        <f>AVERAGEIF('Profiles - Group A '!$C$6:$C$41, "56 to 65", 'Task metrics - Group A'!CQ$6:CQ$41)</f>
        <v>0.16666666666666666</v>
      </c>
      <c r="I13" s="95">
        <f>AVERAGEIF('Profiles - Group A '!$C$6:$C$41, "56 to 65", 'Task metrics - Group A'!CR$6:CR$41)</f>
        <v>0.66666666666666663</v>
      </c>
      <c r="J13" s="95">
        <f t="shared" si="0"/>
        <v>0.16145833333333331</v>
      </c>
      <c r="L13" s="95"/>
      <c r="M13" s="95">
        <f>AVERAGEIF('Profiles - Group A '!$C$6:$C$41, "56 to 65", 'Task Time Calcs - Group A'!W$6:W$41)</f>
        <v>146.5</v>
      </c>
      <c r="N13" s="95">
        <f>AVERAGEIF('Profiles - Group A '!$C$6:$C$41, "56 to 65", 'Task Time Calcs - Group A'!X$6:X$41)</f>
        <v>138</v>
      </c>
      <c r="O13" s="95"/>
      <c r="P13" s="95">
        <f>AVERAGEIF('Profiles - Group A '!$C$6:$C$41, "56 to 65", 'Task Time Calcs - Group A'!Z$6:Z$41)</f>
        <v>77</v>
      </c>
      <c r="Q13" s="95"/>
      <c r="R13" s="95">
        <f>AVERAGEIF('Profiles - Group A '!$C$6:$C$41, "56 to 65", 'Task Time Calcs - Group A'!AB$6:AB$41)</f>
        <v>179</v>
      </c>
      <c r="S13" s="95">
        <f>AVERAGEIF('Profiles - Group A '!$C$6:$C$41, "56 to 65", 'Task Time Calcs - Group A'!AC$6:AC$41)</f>
        <v>84.5</v>
      </c>
      <c r="T13" s="95">
        <f t="shared" si="1"/>
        <v>125</v>
      </c>
      <c r="V13" s="95">
        <f>AVERAGEIF('Profiles - Group A '!$C$6:$C$41, "56 to 65", 'Task metrics - Group A'!DE$6:DE$41)</f>
        <v>2.1666666666666665</v>
      </c>
      <c r="W13" s="95">
        <f>AVERAGEIF('Profiles - Group A '!$C$6:$C$41, "56 to 65", 'Task metrics - Group A'!DF$6:DF$41)</f>
        <v>2.1666666666666665</v>
      </c>
      <c r="X13" s="95">
        <f>AVERAGEIF('Profiles - Group A '!$C$6:$C$41, "56 to 65", 'Task metrics - Group A'!DG$6:DG$41)</f>
        <v>2.8333333333333335</v>
      </c>
      <c r="Y13" s="95">
        <f>AVERAGEIF('Profiles - Group A '!$C$6:$C$41, "56 to 65", 'Task metrics - Group A'!DH$6:DH$41)</f>
        <v>2.5</v>
      </c>
      <c r="Z13" s="95">
        <f>AVERAGEIF('Profiles - Group A '!$C$6:$C$41, "56 to 65", 'Task metrics - Group A'!DI$6:DI$41)</f>
        <v>2.1666666666666665</v>
      </c>
      <c r="AA13" s="95">
        <f>AVERAGEIF('Profiles - Group A '!$C$6:$C$41, "56 to 65", 'Task metrics - Group A'!DJ$6:DJ$41)</f>
        <v>1.6666666666666667</v>
      </c>
      <c r="AB13" s="95">
        <f>AVERAGEIF('Profiles - Group A '!$C$6:$C$41, "56 to 65", 'Task metrics - Group A'!DK$6:DK$41)</f>
        <v>2.6666666666666665</v>
      </c>
      <c r="AC13" s="95">
        <f>AVERAGEIF('Profiles - Group A '!$C$6:$C$41, "56 to 65", 'Task metrics - Group A'!DL$6:DL$41)</f>
        <v>3.1666666666666665</v>
      </c>
      <c r="AD13" s="95">
        <f t="shared" si="2"/>
        <v>2.4166666666666665</v>
      </c>
      <c r="AP13" s="95">
        <f>AVERAGEIF('Profiles - Group A '!$C$6:$C$41, "56 to 65", 'Task metrics - Group A'!DY$6:DY$41)</f>
        <v>46.25</v>
      </c>
    </row>
    <row r="14" spans="1:43">
      <c r="A14" s="96" t="s">
        <v>122</v>
      </c>
      <c r="B14" s="95">
        <f>AVERAGEIF('Profiles - Group A '!$C$6:$C$41, "66 to 75", 'Task metrics - Group A'!CK$6:CK$41)</f>
        <v>0.1</v>
      </c>
      <c r="C14" s="95">
        <f>AVERAGEIF('Profiles - Group A '!$C$6:$C$41, "66 to 75", 'Task metrics - Group A'!CL$6:CL$41)</f>
        <v>0.1</v>
      </c>
      <c r="D14" s="95">
        <f>AVERAGEIF('Profiles - Group A '!$C$6:$C$41, "66 to 75", 'Task metrics - Group A'!CM$6:CM$41)</f>
        <v>0.1</v>
      </c>
      <c r="E14" s="95">
        <f>AVERAGEIF('Profiles - Group A '!$C$6:$C$41, "66 to 75", 'Task metrics - Group A'!CN$6:CN$41)</f>
        <v>0.25</v>
      </c>
      <c r="F14" s="95">
        <f>AVERAGEIF('Profiles - Group A '!$C$6:$C$41, "66 to 75", 'Task metrics - Group A'!CO$6:CO$41)</f>
        <v>0.15</v>
      </c>
      <c r="G14" s="95">
        <f>AVERAGEIF('Profiles - Group A '!$C$6:$C$41, "66 to 75", 'Task metrics - Group A'!CP$6:CP$41)</f>
        <v>0.2</v>
      </c>
      <c r="H14" s="95">
        <f>AVERAGEIF('Profiles - Group A '!$C$6:$C$41, "66 to 75", 'Task metrics - Group A'!CQ$6:CQ$41)</f>
        <v>0.2</v>
      </c>
      <c r="I14" s="95">
        <f>AVERAGEIF('Profiles - Group A '!$C$6:$C$41, "66 to 75", 'Task metrics - Group A'!CR$6:CR$41)</f>
        <v>0.6</v>
      </c>
      <c r="J14" s="95">
        <f t="shared" si="0"/>
        <v>0.21250000000000002</v>
      </c>
      <c r="K14" s="95"/>
      <c r="L14" s="95">
        <f>AVERAGEIF('Profiles - Group A '!$C$6:$C$41, "66 to 75", 'Task Time Calcs - Group A'!V$6:V$41)</f>
        <v>247</v>
      </c>
      <c r="M14" s="95">
        <f>AVERAGEIF('Profiles - Group A '!$C$6:$C$41, "66 to 75", 'Task Time Calcs - Group A'!W$6:W$41)</f>
        <v>113</v>
      </c>
      <c r="N14" s="95">
        <f>AVERAGEIF('Profiles - Group A '!$C$6:$C$41, "66 to 75", 'Task Time Calcs - Group A'!X$6:X$41)</f>
        <v>118</v>
      </c>
      <c r="O14" s="95">
        <f>AVERAGEIF('Profiles - Group A '!$C$6:$C$41, "66 to 75", 'Task Time Calcs - Group A'!Y$6:Y$41)</f>
        <v>86.5</v>
      </c>
      <c r="P14" s="95">
        <f>AVERAGEIF('Profiles - Group A '!$C$6:$C$41, "66 to 75", 'Task Time Calcs - Group A'!Z$6:Z$41)</f>
        <v>134.33333333333334</v>
      </c>
      <c r="Q14" s="95">
        <f>AVERAGEIF('Profiles - Group A '!$C$6:$C$41, "66 to 75", 'Task Time Calcs - Group A'!AA$6:AA$41)</f>
        <v>63</v>
      </c>
      <c r="R14" s="95">
        <f>AVERAGEIF('Profiles - Group A '!$C$6:$C$41, "66 to 75", 'Task Time Calcs - Group A'!AB$6:AB$41)</f>
        <v>61</v>
      </c>
      <c r="S14" s="95">
        <f>AVERAGEIF('Profiles - Group A '!$C$6:$C$41, "66 to 75", 'Task Time Calcs - Group A'!AC$6:AC$41)</f>
        <v>108</v>
      </c>
      <c r="T14" s="95">
        <f t="shared" si="1"/>
        <v>116.35416666666667</v>
      </c>
      <c r="U14" s="95"/>
      <c r="V14" s="95">
        <f>AVERAGEIF('Profiles - Group A '!$C$6:$C$41, "66 to 75", 'Task metrics - Group A'!DE$6:DE$41)</f>
        <v>3.2</v>
      </c>
      <c r="W14" s="95">
        <f>AVERAGEIF('Profiles - Group A '!$C$6:$C$41, "66 to 75", 'Task metrics - Group A'!DF$6:DF$41)</f>
        <v>3.2</v>
      </c>
      <c r="X14" s="95">
        <f>AVERAGEIF('Profiles - Group A '!$C$6:$C$41, "66 to 75", 'Task metrics - Group A'!DG$6:DG$41)</f>
        <v>3</v>
      </c>
      <c r="Y14" s="95">
        <f>AVERAGEIF('Profiles - Group A '!$C$6:$C$41, "66 to 75", 'Task metrics - Group A'!DH$6:DH$41)</f>
        <v>2.6</v>
      </c>
      <c r="Z14" s="95">
        <f>AVERAGEIF('Profiles - Group A '!$C$6:$C$41, "66 to 75", 'Task metrics - Group A'!DI$6:DI$41)</f>
        <v>3.2</v>
      </c>
      <c r="AA14" s="95">
        <f>AVERAGEIF('Profiles - Group A '!$C$6:$C$41, "66 to 75", 'Task metrics - Group A'!DJ$6:DJ$41)</f>
        <v>2.6</v>
      </c>
      <c r="AB14" s="95">
        <f>AVERAGEIF('Profiles - Group A '!$C$6:$C$41, "66 to 75", 'Task metrics - Group A'!DK$6:DK$41)</f>
        <v>2.4</v>
      </c>
      <c r="AC14" s="95">
        <f>AVERAGEIF('Profiles - Group A '!$C$6:$C$41, "66 to 75", 'Task metrics - Group A'!DL$6:DL$41)</f>
        <v>2</v>
      </c>
      <c r="AD14" s="95">
        <f t="shared" si="2"/>
        <v>2.7749999999999999</v>
      </c>
      <c r="AE14" s="95"/>
      <c r="AP14" s="95">
        <f>AVERAGEIF('Profiles - Group A '!$C$6:$C$41, "66 to 75", 'Task metrics - Group A'!DY$6:DY$41)</f>
        <v>44</v>
      </c>
      <c r="AQ14" s="95"/>
    </row>
    <row r="15" spans="1:43">
      <c r="A15" s="96"/>
    </row>
    <row r="16" spans="1:43">
      <c r="A16" s="96"/>
      <c r="B16" s="47" t="s">
        <v>27</v>
      </c>
      <c r="C16" s="47" t="s">
        <v>28</v>
      </c>
      <c r="D16" s="47" t="s">
        <v>2</v>
      </c>
      <c r="E16" s="47" t="s">
        <v>3</v>
      </c>
      <c r="F16" s="47" t="s">
        <v>4</v>
      </c>
      <c r="G16" s="47" t="s">
        <v>5</v>
      </c>
      <c r="H16" s="47" t="s">
        <v>6</v>
      </c>
      <c r="I16" s="47" t="s">
        <v>7</v>
      </c>
      <c r="J16" s="47" t="s">
        <v>31</v>
      </c>
      <c r="L16" s="47" t="s">
        <v>27</v>
      </c>
      <c r="M16" s="47" t="s">
        <v>28</v>
      </c>
      <c r="N16" s="47" t="s">
        <v>2</v>
      </c>
      <c r="O16" s="47" t="s">
        <v>3</v>
      </c>
      <c r="P16" s="47" t="s">
        <v>4</v>
      </c>
      <c r="Q16" s="47" t="s">
        <v>5</v>
      </c>
      <c r="R16" s="47" t="s">
        <v>6</v>
      </c>
      <c r="S16" s="47" t="s">
        <v>7</v>
      </c>
      <c r="T16" s="47" t="s">
        <v>31</v>
      </c>
      <c r="V16" s="47" t="s">
        <v>27</v>
      </c>
      <c r="W16" s="47" t="s">
        <v>28</v>
      </c>
      <c r="X16" s="47" t="s">
        <v>2</v>
      </c>
      <c r="Y16" s="47" t="s">
        <v>3</v>
      </c>
      <c r="Z16" s="47" t="s">
        <v>4</v>
      </c>
      <c r="AA16" s="47" t="s">
        <v>5</v>
      </c>
      <c r="AB16" s="47" t="s">
        <v>6</v>
      </c>
      <c r="AC16" s="47" t="s">
        <v>7</v>
      </c>
      <c r="AD16" s="47" t="s">
        <v>31</v>
      </c>
    </row>
    <row r="17" spans="1:43">
      <c r="A17" s="96" t="s">
        <v>55</v>
      </c>
      <c r="B17" s="95">
        <f>AVERAGEIF('Profiles - Group A '!$F$6:$F$41, "Below £12,000", 'Task metrics - Group A'!CK$6:CK$41)</f>
        <v>0</v>
      </c>
      <c r="C17" s="95">
        <f>AVERAGEIF('Profiles - Group A '!$F$6:$F$41, "Below £12,000", 'Task metrics - Group A'!CL$6:CL$41)</f>
        <v>0.16666666666666666</v>
      </c>
      <c r="D17" s="95">
        <f>AVERAGEIF('Profiles - Group A '!$F$6:$F$41, "Below £12,000", 'Task metrics - Group A'!CM$6:CM$41)</f>
        <v>0.33333333333333331</v>
      </c>
      <c r="E17" s="95">
        <f>AVERAGEIF('Profiles - Group A '!$F$6:$F$41, "Below £12,000", 'Task metrics - Group A'!CN$6:CN$41)</f>
        <v>0.33333333333333331</v>
      </c>
      <c r="F17" s="95">
        <f>AVERAGEIF('Profiles - Group A '!$F$6:$F$41, "Below £12,000", 'Task metrics - Group A'!CO$6:CO$41)</f>
        <v>0.25</v>
      </c>
      <c r="G17" s="95">
        <f>AVERAGEIF('Profiles - Group A '!$F$6:$F$41, "Below £12,000", 'Task metrics - Group A'!CP$6:CP$41)</f>
        <v>0.33333333333333331</v>
      </c>
      <c r="H17" s="95">
        <f>AVERAGEIF('Profiles - Group A '!$F$6:$F$41, "Below £12,000", 'Task metrics - Group A'!CQ$6:CQ$41)</f>
        <v>0.54166666666666663</v>
      </c>
      <c r="I17" s="95">
        <f>AVERAGEIF('Profiles - Group A '!$F$6:$F$41, "Below £12,000", 'Task metrics - Group A'!CR$6:CR$41)</f>
        <v>0.66666666666666663</v>
      </c>
      <c r="J17" s="95">
        <f>AVERAGE(B17:I17)</f>
        <v>0.32812499999999994</v>
      </c>
      <c r="L17" s="95"/>
      <c r="M17" s="95">
        <f>AVERAGEIF('Profiles - Group A '!$F$6:$F$41, "Below £12,000", 'Task Time Calcs - Group A'!W$6:W$41)</f>
        <v>180</v>
      </c>
      <c r="N17" s="95">
        <f>AVERAGEIF('Profiles - Group A '!$F$6:$F$41, "Below £12,000", 'Task Time Calcs - Group A'!X$6:X$41)</f>
        <v>145.5</v>
      </c>
      <c r="O17" s="95">
        <f>AVERAGEIF('Profiles - Group A '!$F$6:$F$41, "Below £12,000", 'Task Time Calcs - Group A'!Y$6:Y$41)</f>
        <v>59.5</v>
      </c>
      <c r="P17" s="95">
        <f>AVERAGEIF('Profiles - Group A '!$F$6:$F$41, "Below £12,000", 'Task Time Calcs - Group A'!Z$6:Z$41)</f>
        <v>72.333333333333329</v>
      </c>
      <c r="Q17" s="95">
        <f>AVERAGEIF('Profiles - Group A '!$F$6:$F$41, "Below £12,000", 'Task Time Calcs - Group A'!AA$6:AA$41)</f>
        <v>87.5</v>
      </c>
      <c r="R17" s="95">
        <f>AVERAGEIF('Profiles - Group A '!$F$6:$F$41, "Below £12,000", 'Task Time Calcs - Group A'!AB$6:AB$41)</f>
        <v>79.25</v>
      </c>
      <c r="S17" s="95">
        <f>AVERAGEIF('Profiles - Group A '!$F$6:$F$41, "Below £12,000", 'Task Time Calcs - Group A'!AC$6:AC$41)</f>
        <v>111.25</v>
      </c>
      <c r="T17" s="95">
        <f>AVERAGE(L17:S17)</f>
        <v>105.04761904761904</v>
      </c>
      <c r="V17" s="95">
        <f>AVERAGEIF('Profiles - Group A '!$F$6:$F$41, "Below £12,000", 'Task metrics - Group A'!DE$6:DE$41)</f>
        <v>1.8333333333333333</v>
      </c>
      <c r="W17" s="95">
        <f>AVERAGEIF('Profiles - Group A '!$F$6:$F$41, "Below £12,000", 'Task metrics - Group A'!DF$6:DF$41)</f>
        <v>3</v>
      </c>
      <c r="X17" s="95">
        <f>AVERAGEIF('Profiles - Group A '!$F$6:$F$41, "Below £12,000", 'Task metrics - Group A'!DG$6:DG$41)</f>
        <v>3</v>
      </c>
      <c r="Y17" s="95">
        <f>AVERAGEIF('Profiles - Group A '!$F$6:$F$41, "Below £12,000", 'Task metrics - Group A'!DH$6:DH$41)</f>
        <v>3.1666666666666665</v>
      </c>
      <c r="Z17" s="95">
        <f>AVERAGEIF('Profiles - Group A '!$F$6:$F$41, "Below £12,000", 'Task metrics - Group A'!DI$6:DI$41)</f>
        <v>3.5</v>
      </c>
      <c r="AA17" s="95">
        <f>AVERAGEIF('Profiles - Group A '!$F$6:$F$41, "Below £12,000", 'Task metrics - Group A'!DJ$6:DJ$41)</f>
        <v>2.6666666666666665</v>
      </c>
      <c r="AB17" s="95">
        <f>AVERAGEIF('Profiles - Group A '!$F$6:$F$41, "Below £12,000", 'Task metrics - Group A'!DK$6:DK$41)</f>
        <v>3.6666666666666665</v>
      </c>
      <c r="AC17" s="95">
        <f>AVERAGEIF('Profiles - Group A '!$F$6:$F$41, "Below £12,000", 'Task metrics - Group A'!DL$6:DL$41)</f>
        <v>3.3333333333333335</v>
      </c>
      <c r="AD17" s="95">
        <f>AVERAGE(V17:AC17)</f>
        <v>3.0208333333333335</v>
      </c>
      <c r="AP17" s="95">
        <f>AVERAGEIF('Profiles - Group A '!$F$6:$F$41, "Below £12,000", 'Task metrics - Group A'!DY$6:DY$41)</f>
        <v>42.5</v>
      </c>
    </row>
    <row r="18" spans="1:43">
      <c r="A18" s="96" t="s">
        <v>49</v>
      </c>
      <c r="B18" s="95">
        <f>AVERAGEIF('Profiles - Group A '!$F$6:$F$41, "£12,001 - £30,000", 'Task metrics - Group A'!CK$6:CK$41)</f>
        <v>3.8461538461538464E-2</v>
      </c>
      <c r="C18" s="95">
        <f>AVERAGEIF('Profiles - Group A '!$F$6:$F$41, "£12,001 - £30,000", 'Task metrics - Group A'!CL$6:CL$41)</f>
        <v>7.6923076923076927E-2</v>
      </c>
      <c r="D18" s="95">
        <f>AVERAGEIF('Profiles - Group A '!$F$6:$F$41, "£12,001 - £30,000", 'Task metrics - Group A'!CM$6:CM$41)</f>
        <v>0.11538461538461539</v>
      </c>
      <c r="E18" s="95">
        <f>AVERAGEIF('Profiles - Group A '!$F$6:$F$41, "£12,001 - £30,000", 'Task metrics - Group A'!CN$6:CN$41)</f>
        <v>0.30769230769230771</v>
      </c>
      <c r="F18" s="95">
        <f>AVERAGEIF('Profiles - Group A '!$F$6:$F$41, "£12,001 - £30,000", 'Task metrics - Group A'!CO$6:CO$41)</f>
        <v>9.6153846153846159E-2</v>
      </c>
      <c r="G18" s="95">
        <f>AVERAGEIF('Profiles - Group A '!$F$6:$F$41, "£12,001 - £30,000", 'Task metrics - Group A'!CP$6:CP$41)</f>
        <v>0.25</v>
      </c>
      <c r="H18" s="95">
        <f>AVERAGEIF('Profiles - Group A '!$F$6:$F$41, "£12,001 - £30,000", 'Task metrics - Group A'!CQ$6:CQ$41)</f>
        <v>0.30769230769230771</v>
      </c>
      <c r="I18" s="95">
        <f>AVERAGEIF('Profiles - Group A '!$F$6:$F$41, "£12,001 - £30,000", 'Task metrics - Group A'!CR$6:CR$41)</f>
        <v>0.61538461538461542</v>
      </c>
      <c r="J18" s="95">
        <f>AVERAGE(B18:I18)</f>
        <v>0.22596153846153849</v>
      </c>
      <c r="L18" s="95">
        <f>AVERAGEIF('Profiles - Group A '!$F$6:$F$41, "£12,001 - £30,000", 'Task Time Calcs - Group A'!V$6:V$41)</f>
        <v>226.5</v>
      </c>
      <c r="M18" s="95">
        <f>AVERAGEIF('Profiles - Group A '!$F$6:$F$41, "£12,001 - £30,000", 'Task Time Calcs - Group A'!W$6:W$41)</f>
        <v>129</v>
      </c>
      <c r="N18" s="95">
        <f>AVERAGEIF('Profiles - Group A '!$F$6:$F$41, "£12,001 - £30,000", 'Task Time Calcs - Group A'!X$6:X$41)</f>
        <v>116.33333333333333</v>
      </c>
      <c r="O18" s="95">
        <f>AVERAGEIF('Profiles - Group A '!$F$6:$F$41, "£12,001 - £30,000", 'Task Time Calcs - Group A'!Y$6:Y$41)</f>
        <v>74.75</v>
      </c>
      <c r="P18" s="95">
        <f>AVERAGEIF('Profiles - Group A '!$F$6:$F$41, "£12,001 - £30,000", 'Task Time Calcs - Group A'!Z$6:Z$41)</f>
        <v>74.8</v>
      </c>
      <c r="Q18" s="95">
        <f>AVERAGEIF('Profiles - Group A '!$F$6:$F$41, "£12,001 - £30,000", 'Task Time Calcs - Group A'!AA$6:AA$41)</f>
        <v>94</v>
      </c>
      <c r="R18" s="95">
        <f>AVERAGEIF('Profiles - Group A '!$F$6:$F$41, "£12,001 - £30,000", 'Task Time Calcs - Group A'!AB$6:AB$41)</f>
        <v>49.25</v>
      </c>
      <c r="S18" s="95">
        <f>AVERAGEIF('Profiles - Group A '!$F$6:$F$41, "£12,001 - £30,000", 'Task Time Calcs - Group A'!AC$6:AC$41)</f>
        <v>70.125</v>
      </c>
      <c r="T18" s="95">
        <f>AVERAGE(L18:S18)</f>
        <v>104.34479166666665</v>
      </c>
      <c r="V18" s="95">
        <f>AVERAGEIF('Profiles - Group A '!$F$6:$F$41, "£12,001 - £30,000", 'Task metrics - Group A'!DE$6:DE$41)</f>
        <v>2.7692307692307692</v>
      </c>
      <c r="W18" s="95">
        <f>AVERAGEIF('Profiles - Group A '!$F$6:$F$41, "£12,001 - £30,000", 'Task metrics - Group A'!DF$6:DF$41)</f>
        <v>3</v>
      </c>
      <c r="X18" s="95">
        <f>AVERAGEIF('Profiles - Group A '!$F$6:$F$41, "£12,001 - £30,000", 'Task metrics - Group A'!DG$6:DG$41)</f>
        <v>3.3076923076923075</v>
      </c>
      <c r="Y18" s="95">
        <f>AVERAGEIF('Profiles - Group A '!$F$6:$F$41, "£12,001 - £30,000", 'Task metrics - Group A'!DH$6:DH$41)</f>
        <v>2.5384615384615383</v>
      </c>
      <c r="Z18" s="95">
        <f>AVERAGEIF('Profiles - Group A '!$F$6:$F$41, "£12,001 - £30,000", 'Task metrics - Group A'!DI$6:DI$41)</f>
        <v>2.6153846153846154</v>
      </c>
      <c r="AA18" s="95">
        <f>AVERAGEIF('Profiles - Group A '!$F$6:$F$41, "£12,001 - £30,000", 'Task metrics - Group A'!DJ$6:DJ$41)</f>
        <v>2.6153846153846154</v>
      </c>
      <c r="AB18" s="95">
        <f>AVERAGEIF('Profiles - Group A '!$F$6:$F$41, "£12,001 - £30,000", 'Task metrics - Group A'!DK$6:DK$41)</f>
        <v>2.8461538461538463</v>
      </c>
      <c r="AC18" s="95">
        <f>AVERAGEIF('Profiles - Group A '!$F$6:$F$41, "£12,001 - £30,000", 'Task metrics - Group A'!DL$6:DL$41)</f>
        <v>2.8461538461538463</v>
      </c>
      <c r="AD18" s="95">
        <f>AVERAGE(V18:AC18)</f>
        <v>2.8173076923076925</v>
      </c>
      <c r="AP18" s="95">
        <f>AVERAGEIF('Profiles - Group A '!$F$6:$F$41, "£12,001 - £30,000", 'Task metrics - Group A'!DY$6:DY$41)</f>
        <v>42.884615384615387</v>
      </c>
    </row>
    <row r="19" spans="1:43">
      <c r="A19" s="96" t="s">
        <v>44</v>
      </c>
      <c r="B19" s="95">
        <f>AVERAGEIF('Profiles - Group A '!$F$6:$F$41, "£30,001 - £50,000", 'Task metrics - Group A'!CK$6:CK$41)</f>
        <v>0.125</v>
      </c>
      <c r="C19" s="95">
        <f>AVERAGEIF('Profiles - Group A '!$F$6:$F$41, "£30,001 - £50,000", 'Task metrics - Group A'!CL$6:CL$41)</f>
        <v>4.1666666666666664E-2</v>
      </c>
      <c r="D19" s="95">
        <f>AVERAGEIF('Profiles - Group A '!$F$6:$F$41, "£30,001 - £50,000", 'Task metrics - Group A'!CM$6:CM$41)</f>
        <v>0.16666666666666666</v>
      </c>
      <c r="E19" s="95">
        <f>AVERAGEIF('Profiles - Group A '!$F$6:$F$41, "£30,001 - £50,000", 'Task metrics - Group A'!CN$6:CN$41)</f>
        <v>0.4375</v>
      </c>
      <c r="F19" s="95">
        <f>AVERAGEIF('Profiles - Group A '!$F$6:$F$41, "£30,001 - £50,000", 'Task metrics - Group A'!CO$6:CO$41)</f>
        <v>0.20833333333333334</v>
      </c>
      <c r="G19" s="95">
        <f>AVERAGEIF('Profiles - Group A '!$F$6:$F$41, "£30,001 - £50,000", 'Task metrics - Group A'!CP$6:CP$41)</f>
        <v>0</v>
      </c>
      <c r="H19" s="95">
        <f>AVERAGEIF('Profiles - Group A '!$F$6:$F$41, "£30,001 - £50,000", 'Task metrics - Group A'!CQ$6:CQ$41)</f>
        <v>0.16666666666666666</v>
      </c>
      <c r="I19" s="95">
        <f>AVERAGEIF('Profiles - Group A '!$F$6:$F$41, "£30,001 - £50,000", 'Task metrics - Group A'!CR$6:CR$41)</f>
        <v>0.60416666666666663</v>
      </c>
      <c r="J19" s="95">
        <f>AVERAGE(B19:I19)</f>
        <v>0.21875</v>
      </c>
      <c r="K19" s="95"/>
      <c r="L19" s="95">
        <f>AVERAGEIF('Profiles - Group A '!$F$6:$F$41, "£30,001 - £50,000", 'Task Time Calcs - Group A'!V$6:V$41)</f>
        <v>255.83333333333334</v>
      </c>
      <c r="M19" s="95">
        <f>AVERAGEIF('Profiles - Group A '!$F$6:$F$41, "£30,001 - £50,000", 'Task Time Calcs - Group A'!W$6:W$41)</f>
        <v>72</v>
      </c>
      <c r="N19" s="95">
        <f>AVERAGEIF('Profiles - Group A '!$F$6:$F$41, "£30,001 - £50,000", 'Task Time Calcs - Group A'!X$6:X$41)</f>
        <v>123.6</v>
      </c>
      <c r="O19" s="95">
        <f>AVERAGEIF('Profiles - Group A '!$F$6:$F$41, "£30,001 - £50,000", 'Task Time Calcs - Group A'!Y$6:Y$41)</f>
        <v>89.333333333333329</v>
      </c>
      <c r="P19" s="95">
        <f>AVERAGEIF('Profiles - Group A '!$F$6:$F$41, "£30,001 - £50,000", 'Task Time Calcs - Group A'!Z$6:Z$41)</f>
        <v>104.28571428571429</v>
      </c>
      <c r="Q19" s="95"/>
      <c r="R19" s="95">
        <f>AVERAGEIF('Profiles - Group A '!$F$6:$F$41, "£30,001 - £50,000", 'Task Time Calcs - Group A'!AB$6:AB$41)</f>
        <v>50.5</v>
      </c>
      <c r="S19" s="95">
        <f>AVERAGEIF('Profiles - Group A '!$F$6:$F$41, "£30,001 - £50,000", 'Task Time Calcs - Group A'!AC$6:AC$41)</f>
        <v>69.125</v>
      </c>
      <c r="T19" s="95">
        <f>AVERAGE(L19:S19)</f>
        <v>109.23962585034016</v>
      </c>
      <c r="U19" s="95"/>
      <c r="V19" s="95">
        <f>AVERAGEIF('Profiles - Group A '!$F$6:$F$41, "£30,001 - £50,000", 'Task metrics - Group A'!DE$6:DE$41)</f>
        <v>2.4166666666666665</v>
      </c>
      <c r="W19" s="95">
        <f>AVERAGEIF('Profiles - Group A '!$F$6:$F$41, "£30,001 - £50,000", 'Task metrics - Group A'!DF$6:DF$41)</f>
        <v>2.5</v>
      </c>
      <c r="X19" s="95">
        <f>AVERAGEIF('Profiles - Group A '!$F$6:$F$41, "£30,001 - £50,000", 'Task metrics - Group A'!DG$6:DG$41)</f>
        <v>2.8333333333333335</v>
      </c>
      <c r="Y19" s="95">
        <f>AVERAGEIF('Profiles - Group A '!$F$6:$F$41, "£30,001 - £50,000", 'Task metrics - Group A'!DH$6:DH$41)</f>
        <v>3.0833333333333335</v>
      </c>
      <c r="Z19" s="95">
        <f>AVERAGEIF('Profiles - Group A '!$F$6:$F$41, "£30,001 - £50,000", 'Task metrics - Group A'!DI$6:DI$41)</f>
        <v>2.6666666666666665</v>
      </c>
      <c r="AA19" s="95">
        <f>AVERAGEIF('Profiles - Group A '!$F$6:$F$41, "£30,001 - £50,000", 'Task metrics - Group A'!DJ$6:DJ$41)</f>
        <v>1.9166666666666667</v>
      </c>
      <c r="AB19" s="95">
        <f>AVERAGEIF('Profiles - Group A '!$F$6:$F$41, "£30,001 - £50,000", 'Task metrics - Group A'!DK$6:DK$41)</f>
        <v>2.6666666666666665</v>
      </c>
      <c r="AC19" s="95">
        <f>AVERAGEIF('Profiles - Group A '!$F$6:$F$41, "£30,001 - £50,000", 'Task metrics - Group A'!DL$6:DL$41)</f>
        <v>2.75</v>
      </c>
      <c r="AD19" s="95">
        <f>AVERAGE(V19:AC19)</f>
        <v>2.6041666666666665</v>
      </c>
      <c r="AE19" s="95"/>
      <c r="AP19" s="95">
        <f>AVERAGEIF('Profiles - Group A '!$F$6:$F$41, "£30,001 - £50,000", 'Task metrics - Group A'!DY$6:DY$41)</f>
        <v>36.666666666666664</v>
      </c>
    </row>
    <row r="20" spans="1:43">
      <c r="A20" s="96" t="s">
        <v>56</v>
      </c>
      <c r="B20" s="95">
        <f>AVERAGEIF('Profiles - Group A '!$F$6:$F$41, "Above £50,000", 'Task metrics - Group A'!CK$6:CK$41)</f>
        <v>0.05</v>
      </c>
      <c r="C20" s="95">
        <f>AVERAGEIF('Profiles - Group A '!$F$6:$F$41, "Above £50,000", 'Task metrics - Group A'!CL$6:CL$41)</f>
        <v>0.1</v>
      </c>
      <c r="D20" s="95">
        <f>AVERAGEIF('Profiles - Group A '!$F$6:$F$41, "Above £50,000", 'Task metrics - Group A'!CM$6:CM$41)</f>
        <v>0.1</v>
      </c>
      <c r="E20" s="95">
        <f>AVERAGEIF('Profiles - Group A '!$F$6:$F$41, "Above £50,000", 'Task metrics - Group A'!CN$6:CN$41)</f>
        <v>0.4</v>
      </c>
      <c r="F20" s="95">
        <f>AVERAGEIF('Profiles - Group A '!$F$6:$F$41, "Above £50,000", 'Task metrics - Group A'!CO$6:CO$41)</f>
        <v>0.15</v>
      </c>
      <c r="G20" s="95">
        <f>AVERAGEIF('Profiles - Group A '!$F$6:$F$41, "Above £50,000", 'Task metrics - Group A'!CP$6:CP$41)</f>
        <v>0.25</v>
      </c>
      <c r="H20" s="95">
        <f>AVERAGEIF('Profiles - Group A '!$F$6:$F$41, "Above £50,000", 'Task metrics - Group A'!CQ$6:CQ$41)</f>
        <v>0.25</v>
      </c>
      <c r="I20" s="95">
        <f>AVERAGEIF('Profiles - Group A '!$F$6:$F$41, "Above £50,000", 'Task metrics - Group A'!CR$6:CR$41)</f>
        <v>1</v>
      </c>
      <c r="J20" s="95">
        <f>AVERAGE(B20:I20)</f>
        <v>0.28749999999999998</v>
      </c>
      <c r="L20" s="95">
        <f>AVERAGEIF('Profiles - Group A '!$F$6:$F$41, "Above £50,000", 'Task Time Calcs - Group A'!V$6:V$41)</f>
        <v>194</v>
      </c>
      <c r="M20" s="95">
        <f>AVERAGEIF('Profiles - Group A '!$F$6:$F$41, "Above £50,000", 'Task Time Calcs - Group A'!W$6:W$41)</f>
        <v>86.5</v>
      </c>
      <c r="N20" s="95">
        <f>AVERAGEIF('Profiles - Group A '!$F$6:$F$41, "Above £50,000", 'Task Time Calcs - Group A'!X$6:X$41)</f>
        <v>237</v>
      </c>
      <c r="O20" s="95">
        <f>AVERAGEIF('Profiles - Group A '!$F$6:$F$41, "Above £50,000", 'Task Time Calcs - Group A'!Y$6:Y$41)</f>
        <v>42.5</v>
      </c>
      <c r="P20" s="95">
        <f>AVERAGEIF('Profiles - Group A '!$F$6:$F$41, "Above £50,000", 'Task Time Calcs - Group A'!Z$6:Z$41)</f>
        <v>72.333333333333329</v>
      </c>
      <c r="Q20" s="95">
        <f>AVERAGEIF('Profiles - Group A '!$F$6:$F$41, "Above £50,000", 'Task Time Calcs - Group A'!AA$6:AA$41)</f>
        <v>91.5</v>
      </c>
      <c r="R20" s="95">
        <f>AVERAGEIF('Profiles - Group A '!$F$6:$F$41, "Above £50,000", 'Task Time Calcs - Group A'!AB$6:AB$41)</f>
        <v>54</v>
      </c>
      <c r="S20" s="95">
        <f>AVERAGEIF('Profiles - Group A '!$F$6:$F$41, "Above £50,000", 'Task Time Calcs - Group A'!AC$6:AC$41)</f>
        <v>68</v>
      </c>
      <c r="T20" s="95">
        <f>AVERAGE(L20:S20)</f>
        <v>105.72916666666667</v>
      </c>
      <c r="V20" s="95">
        <f>AVERAGEIF('Profiles - Group A '!$F$6:$F$41, "Above £50,000", 'Task metrics - Group A'!DE$6:DE$41)</f>
        <v>3.2</v>
      </c>
      <c r="W20" s="95">
        <f>AVERAGEIF('Profiles - Group A '!$F$6:$F$41, "Above £50,000", 'Task metrics - Group A'!DF$6:DF$41)</f>
        <v>3</v>
      </c>
      <c r="X20" s="95">
        <f>AVERAGEIF('Profiles - Group A '!$F$6:$F$41, "Above £50,000", 'Task metrics - Group A'!DG$6:DG$41)</f>
        <v>2.6</v>
      </c>
      <c r="Y20" s="95">
        <f>AVERAGEIF('Profiles - Group A '!$F$6:$F$41, "Above £50,000", 'Task metrics - Group A'!DH$6:DH$41)</f>
        <v>3.2</v>
      </c>
      <c r="Z20" s="95">
        <f>AVERAGEIF('Profiles - Group A '!$F$6:$F$41, "Above £50,000", 'Task metrics - Group A'!DI$6:DI$41)</f>
        <v>2.8</v>
      </c>
      <c r="AA20" s="95">
        <f>AVERAGEIF('Profiles - Group A '!$F$6:$F$41, "Above £50,000", 'Task metrics - Group A'!DJ$6:DJ$41)</f>
        <v>2.6</v>
      </c>
      <c r="AB20" s="95">
        <f>AVERAGEIF('Profiles - Group A '!$F$6:$F$41, "Above £50,000", 'Task metrics - Group A'!DK$6:DK$41)</f>
        <v>2.6</v>
      </c>
      <c r="AC20" s="95">
        <f>AVERAGEIF('Profiles - Group A '!$F$6:$F$41, "Above £50,000", 'Task metrics - Group A'!DL$6:DL$41)</f>
        <v>3.8</v>
      </c>
      <c r="AD20" s="95">
        <f>AVERAGE(V20:AC20)</f>
        <v>2.9750000000000005</v>
      </c>
      <c r="AP20" s="95">
        <f>AVERAGEIF('Profiles - Group A '!$F$6:$F$41, "Above £50,000", 'Task metrics - Group A'!DY$6:DY$41)</f>
        <v>51</v>
      </c>
    </row>
    <row r="21" spans="1:43">
      <c r="A21" s="96"/>
    </row>
    <row r="22" spans="1:43">
      <c r="A22" s="96"/>
      <c r="B22" s="47" t="s">
        <v>27</v>
      </c>
      <c r="C22" s="47" t="s">
        <v>28</v>
      </c>
      <c r="D22" s="47" t="s">
        <v>2</v>
      </c>
      <c r="E22" s="47" t="s">
        <v>3</v>
      </c>
      <c r="F22" s="47" t="s">
        <v>4</v>
      </c>
      <c r="G22" s="47" t="s">
        <v>5</v>
      </c>
      <c r="H22" s="47" t="s">
        <v>6</v>
      </c>
      <c r="I22" s="47" t="s">
        <v>7</v>
      </c>
      <c r="J22" s="47" t="s">
        <v>31</v>
      </c>
      <c r="L22" s="47" t="s">
        <v>27</v>
      </c>
      <c r="M22" s="47" t="s">
        <v>28</v>
      </c>
      <c r="N22" s="47" t="s">
        <v>2</v>
      </c>
      <c r="O22" s="47" t="s">
        <v>3</v>
      </c>
      <c r="P22" s="47" t="s">
        <v>4</v>
      </c>
      <c r="Q22" s="47" t="s">
        <v>5</v>
      </c>
      <c r="R22" s="47" t="s">
        <v>6</v>
      </c>
      <c r="S22" s="47" t="s">
        <v>7</v>
      </c>
      <c r="T22" s="47" t="s">
        <v>31</v>
      </c>
      <c r="V22" s="47" t="s">
        <v>27</v>
      </c>
      <c r="W22" s="47" t="s">
        <v>28</v>
      </c>
      <c r="X22" s="47" t="s">
        <v>2</v>
      </c>
      <c r="Y22" s="47" t="s">
        <v>3</v>
      </c>
      <c r="Z22" s="47" t="s">
        <v>4</v>
      </c>
      <c r="AA22" s="47" t="s">
        <v>5</v>
      </c>
      <c r="AB22" s="47" t="s">
        <v>6</v>
      </c>
      <c r="AC22" s="47" t="s">
        <v>7</v>
      </c>
      <c r="AD22" s="47" t="s">
        <v>31</v>
      </c>
    </row>
    <row r="23" spans="1:43">
      <c r="A23" s="97" t="s">
        <v>42</v>
      </c>
      <c r="B23" s="95">
        <f>AVERAGEIF('Profiles - Group A '!$D$6:$D$41, "Below or completed GCSE", 'Task metrics - Group A'!CK$6:CK$41)</f>
        <v>0.05</v>
      </c>
      <c r="C23" s="95">
        <f>AVERAGEIF('Profiles - Group A '!$D$6:$D$41, "Below or completed GCSE", 'Task metrics - Group A'!CL$6:CL$41)</f>
        <v>7.4999999999999997E-2</v>
      </c>
      <c r="D23" s="95">
        <f>AVERAGEIF('Profiles - Group A '!$D$6:$D$41, "Below or completed GCSE", 'Task metrics - Group A'!CM$6:CM$41)</f>
        <v>0.2</v>
      </c>
      <c r="E23" s="95">
        <f>AVERAGEIF('Profiles - Group A '!$D$6:$D$41, "Below or completed GCSE", 'Task metrics - Group A'!CN$6:CN$41)</f>
        <v>0.22500000000000001</v>
      </c>
      <c r="F23" s="95">
        <f>AVERAGEIF('Profiles - Group A '!$D$6:$D$41, "Below or completed GCSE", 'Task metrics - Group A'!CO$6:CO$41)</f>
        <v>0.15</v>
      </c>
      <c r="G23" s="95">
        <f>AVERAGEIF('Profiles - Group A '!$D$6:$D$41, "Below or completed GCSE", 'Task metrics - Group A'!CP$6:CP$41)</f>
        <v>0.1</v>
      </c>
      <c r="H23" s="95">
        <f>AVERAGEIF('Profiles - Group A '!$D$6:$D$41, "Below or completed GCSE", 'Task metrics - Group A'!CQ$6:CQ$41)</f>
        <v>0.2</v>
      </c>
      <c r="I23" s="95">
        <f>AVERAGEIF('Profiles - Group A '!$D$6:$D$41, "Below or completed GCSE", 'Task metrics - Group A'!CR$6:CR$41)</f>
        <v>0.8</v>
      </c>
      <c r="J23" s="95">
        <f>AVERAGE(B23:I23)</f>
        <v>0.22500000000000001</v>
      </c>
      <c r="L23" s="95">
        <f>AVERAGEIF('Profiles - Group A '!$D$6:$D$41, "Below or completed GCSE",  'Task Time Calcs - Group A'!V$6:V$41)</f>
        <v>247</v>
      </c>
      <c r="M23" s="95">
        <f>AVERAGEIF('Profiles - Group A '!$D$6:$D$41, "Below or completed GCSE",  'Task Time Calcs - Group A'!W$6:W$41)</f>
        <v>135.33333333333334</v>
      </c>
      <c r="N23" s="95">
        <f>AVERAGEIF('Profiles - Group A '!$D$6:$D$41, "Below or completed GCSE",  'Task Time Calcs - Group A'!X$6:X$41)</f>
        <v>141.4</v>
      </c>
      <c r="O23" s="95">
        <f>AVERAGEIF('Profiles - Group A '!$D$6:$D$41, "Below or completed GCSE",  'Task Time Calcs - Group A'!Y$6:Y$41)</f>
        <v>84.666666666666671</v>
      </c>
      <c r="P23" s="95">
        <f>AVERAGEIF('Profiles - Group A '!$D$6:$D$41, "Below or completed GCSE",  'Task Time Calcs - Group A'!Z$6:Z$41)</f>
        <v>99.833333333333329</v>
      </c>
      <c r="Q23" s="95">
        <f>AVERAGEIF('Profiles - Group A '!$D$6:$D$41, "Below or completed GCSE",  'Task Time Calcs - Group A'!AA$6:AA$41)</f>
        <v>63</v>
      </c>
      <c r="R23" s="95">
        <f>AVERAGEIF('Profiles - Group A '!$D$6:$D$41, "Below or completed GCSE",  'Task Time Calcs - Group A'!AB$6:AB$41)</f>
        <v>120</v>
      </c>
      <c r="S23" s="95">
        <f>AVERAGEIF('Profiles - Group A '!$D$6:$D$41, "Below or completed GCSE",  'Task Time Calcs - Group A'!AC$6:AC$41)</f>
        <v>83.625</v>
      </c>
      <c r="T23" s="95">
        <f>AVERAGE(L23:S23)</f>
        <v>121.85729166666667</v>
      </c>
      <c r="V23" s="95">
        <f>AVERAGEIF('Profiles - Group A '!$D$6:$D$41, "Below or completed GCSE", 'Task metrics - Group A'!DE$6:DE$41)</f>
        <v>2.6</v>
      </c>
      <c r="W23" s="95">
        <f>AVERAGEIF('Profiles - Group A '!$D$6:$D$41, "Below or completed GCSE", 'Task metrics - Group A'!DF$6:DF$41)</f>
        <v>2.7</v>
      </c>
      <c r="X23" s="95">
        <f>AVERAGEIF('Profiles - Group A '!$D$6:$D$41, "Below or completed GCSE", 'Task metrics - Group A'!DG$6:DG$41)</f>
        <v>2.9</v>
      </c>
      <c r="Y23" s="95">
        <f>AVERAGEIF('Profiles - Group A '!$D$6:$D$41, "Below or completed GCSE", 'Task metrics - Group A'!DH$6:DH$41)</f>
        <v>2.4</v>
      </c>
      <c r="Z23" s="95">
        <f>AVERAGEIF('Profiles - Group A '!$D$6:$D$41, "Below or completed GCSE", 'Task metrics - Group A'!DI$6:DI$41)</f>
        <v>2.6</v>
      </c>
      <c r="AA23" s="95">
        <f>AVERAGEIF('Profiles - Group A '!$D$6:$D$41, "Below or completed GCSE", 'Task metrics - Group A'!DJ$6:DJ$41)</f>
        <v>2.2999999999999998</v>
      </c>
      <c r="AB23" s="95">
        <f>AVERAGEIF('Profiles - Group A '!$D$6:$D$41, "Below or completed GCSE", 'Task metrics - Group A'!DK$6:DK$41)</f>
        <v>2.4</v>
      </c>
      <c r="AC23" s="95">
        <f>AVERAGEIF('Profiles - Group A '!$D$6:$D$41, "Below or completed GCSE", 'Task metrics - Group A'!DL$6:DL$41)</f>
        <v>3</v>
      </c>
      <c r="AD23" s="95">
        <f>AVERAGE(V23:AC23)</f>
        <v>2.6124999999999998</v>
      </c>
      <c r="AP23" s="95">
        <f>AVERAGEIF('Profiles - Group A '!$D$6:$D$41, "Below or completed GCSE", 'Task metrics - Group A'!DY$6:DY$41)</f>
        <v>47</v>
      </c>
    </row>
    <row r="24" spans="1:43">
      <c r="A24" s="98" t="s">
        <v>50</v>
      </c>
      <c r="B24" s="95">
        <f>AVERAGEIF('Profiles - Group A '!$D$6:$D$41, "Completed A Level", 'Task metrics - Group A'!CK$6:CK$41)</f>
        <v>1.7857142857142856E-2</v>
      </c>
      <c r="C24" s="95">
        <f>AVERAGEIF('Profiles - Group A '!$D$6:$D$41, "Completed A Level", 'Task metrics - Group A'!CL$6:CL$41)</f>
        <v>3.5714285714285712E-2</v>
      </c>
      <c r="D24" s="95">
        <f>AVERAGEIF('Profiles - Group A '!$D$6:$D$41, "Completed A Level", 'Task metrics - Group A'!CM$6:CM$41)</f>
        <v>8.9285714285714288E-2</v>
      </c>
      <c r="E24" s="95">
        <f>AVERAGEIF('Profiles - Group A '!$D$6:$D$41, "Completed A Level", 'Task metrics - Group A'!CN$6:CN$41)</f>
        <v>0.35714285714285715</v>
      </c>
      <c r="F24" s="95">
        <f>AVERAGEIF('Profiles - Group A '!$D$6:$D$41, "Completed A Level", 'Task metrics - Group A'!CO$6:CO$41)</f>
        <v>0.21428571428571427</v>
      </c>
      <c r="G24" s="95">
        <f>AVERAGEIF('Profiles - Group A '!$D$6:$D$41, "Completed A Level", 'Task metrics - Group A'!CP$6:CP$41)</f>
        <v>8.9285714285714288E-2</v>
      </c>
      <c r="H24" s="95">
        <f>AVERAGEIF('Profiles - Group A '!$D$6:$D$41, "Completed A Level", 'Task metrics - Group A'!CQ$6:CQ$41)</f>
        <v>0.16071428571428573</v>
      </c>
      <c r="I24" s="95">
        <f>AVERAGEIF('Profiles - Group A '!$D$6:$D$41, "Completed A Level", 'Task metrics - Group A'!CR$6:CR$41)</f>
        <v>0.6428571428571429</v>
      </c>
      <c r="J24" s="95">
        <f>AVERAGE(B24:I24)</f>
        <v>0.20089285714285715</v>
      </c>
      <c r="K24" s="95"/>
      <c r="L24" s="95">
        <f>AVERAGEIF('Profiles - Group A '!$D$6:$D$41, "Completed A Level",  'Task Time Calcs - Group A'!V$6:V$41)</f>
        <v>153</v>
      </c>
      <c r="M24" s="95">
        <f>AVERAGEIF('Profiles - Group A '!$D$6:$D$41, "Completed A Level",  'Task Time Calcs - Group A'!W$6:W$41)</f>
        <v>78</v>
      </c>
      <c r="N24" s="95">
        <f>AVERAGEIF('Profiles - Group A '!$D$6:$D$41, "Completed A Level",  'Task Time Calcs - Group A'!X$6:X$41)</f>
        <v>145.19999999999999</v>
      </c>
      <c r="O24" s="95">
        <f>AVERAGEIF('Profiles - Group A '!$D$6:$D$41, "Completed A Level",  'Task Time Calcs - Group A'!Y$6:Y$41)</f>
        <v>63.2</v>
      </c>
      <c r="P24" s="95">
        <f>AVERAGEIF('Profiles - Group A '!$D$6:$D$41, "Completed A Level",  'Task Time Calcs - Group A'!Z$6:Z$41)</f>
        <v>58.555555555555557</v>
      </c>
      <c r="Q24" s="95">
        <f>AVERAGEIF('Profiles - Group A '!$D$6:$D$41, "Completed A Level",  'Task Time Calcs - Group A'!AA$6:AA$41)</f>
        <v>65</v>
      </c>
      <c r="R24" s="95">
        <f>AVERAGEIF('Profiles - Group A '!$D$6:$D$41, "Completed A Level",  'Task Time Calcs - Group A'!AB$6:AB$41)</f>
        <v>45.666666666666664</v>
      </c>
      <c r="S24" s="95">
        <f>AVERAGEIF('Profiles - Group A '!$D$6:$D$41, "Completed A Level",  'Task Time Calcs - Group A'!AC$6:AC$41)</f>
        <v>59.888888888888886</v>
      </c>
      <c r="T24" s="95">
        <f>AVERAGE(L24:S24)</f>
        <v>83.563888888888883</v>
      </c>
      <c r="U24" s="95"/>
      <c r="V24" s="95">
        <f>AVERAGEIF('Profiles - Group A '!$D$6:$D$41, "Completed A Level", 'Task metrics - Group A'!DE$6:DE$41)</f>
        <v>2.4285714285714284</v>
      </c>
      <c r="W24" s="95">
        <f>AVERAGEIF('Profiles - Group A '!$D$6:$D$41, "Completed A Level", 'Task metrics - Group A'!DF$6:DF$41)</f>
        <v>2.8571428571428572</v>
      </c>
      <c r="X24" s="95">
        <f>AVERAGEIF('Profiles - Group A '!$D$6:$D$41, "Completed A Level", 'Task metrics - Group A'!DG$6:DG$41)</f>
        <v>3.0714285714285716</v>
      </c>
      <c r="Y24" s="95">
        <f>AVERAGEIF('Profiles - Group A '!$D$6:$D$41, "Completed A Level", 'Task metrics - Group A'!DH$6:DH$41)</f>
        <v>2.5714285714285716</v>
      </c>
      <c r="Z24" s="95">
        <f>AVERAGEIF('Profiles - Group A '!$D$6:$D$41, "Completed A Level", 'Task metrics - Group A'!DI$6:DI$41)</f>
        <v>3.0714285714285716</v>
      </c>
      <c r="AA24" s="95">
        <f>AVERAGEIF('Profiles - Group A '!$D$6:$D$41, "Completed A Level", 'Task metrics - Group A'!DJ$6:DJ$41)</f>
        <v>2.1428571428571428</v>
      </c>
      <c r="AB24" s="95">
        <f>AVERAGEIF('Profiles - Group A '!$D$6:$D$41, "Completed A Level", 'Task metrics - Group A'!DK$6:DK$41)</f>
        <v>2.7142857142857144</v>
      </c>
      <c r="AC24" s="95">
        <f>AVERAGEIF('Profiles - Group A '!$D$6:$D$41, "Completed A Level", 'Task metrics - Group A'!DL$6:DL$41)</f>
        <v>3</v>
      </c>
      <c r="AD24" s="95">
        <f>AVERAGE(V24:AC24)</f>
        <v>2.7321428571428572</v>
      </c>
      <c r="AE24" s="95"/>
      <c r="AP24" s="95">
        <f>AVERAGEIF('Profiles - Group A '!$D$6:$D$41, "Completed A Level", 'Task metrics - Group A'!DY$6:DY$41)</f>
        <v>38.035714285714285</v>
      </c>
      <c r="AQ24" s="95"/>
    </row>
    <row r="25" spans="1:43">
      <c r="A25" s="98" t="s">
        <v>51</v>
      </c>
      <c r="B25" s="95">
        <f>AVERAGEIF('Profiles - Group A '!$D$6:$D$41, "Undergraduate", 'Task metrics - Group A'!CK$6:CK$41)</f>
        <v>0.1388888888888889</v>
      </c>
      <c r="C25" s="95">
        <f>AVERAGEIF('Profiles - Group A '!$D$6:$D$41, "Undergraduate", 'Task metrics - Group A'!CL$6:CL$41)</f>
        <v>8.3333333333333329E-2</v>
      </c>
      <c r="D25" s="95">
        <f>AVERAGEIF('Profiles - Group A '!$D$6:$D$41, "Undergraduate", 'Task metrics - Group A'!CM$6:CM$41)</f>
        <v>0.19444444444444445</v>
      </c>
      <c r="E25" s="95">
        <f>AVERAGEIF('Profiles - Group A '!$D$6:$D$41, "Undergraduate", 'Task metrics - Group A'!CN$6:CN$41)</f>
        <v>0.55555555555555558</v>
      </c>
      <c r="F25" s="95">
        <f>AVERAGEIF('Profiles - Group A '!$D$6:$D$41, "Undergraduate", 'Task metrics - Group A'!CO$6:CO$41)</f>
        <v>0.1111111111111111</v>
      </c>
      <c r="G25" s="95">
        <f>AVERAGEIF('Profiles - Group A '!$D$6:$D$41, "Undergraduate", 'Task metrics - Group A'!CP$6:CP$41)</f>
        <v>0.25</v>
      </c>
      <c r="H25" s="95">
        <f>AVERAGEIF('Profiles - Group A '!$D$6:$D$41, "Undergraduate", 'Task metrics - Group A'!CQ$6:CQ$41)</f>
        <v>0.47222222222222221</v>
      </c>
      <c r="I25" s="95">
        <f>AVERAGEIF('Profiles - Group A '!$D$6:$D$41, "Undergraduate", 'Task metrics - Group A'!CR$6:CR$41)</f>
        <v>0.58333333333333337</v>
      </c>
      <c r="J25" s="95">
        <f>AVERAGE(B25:I25)</f>
        <v>0.2986111111111111</v>
      </c>
      <c r="L25" s="95">
        <f>AVERAGEIF('Profiles - Group A '!$D$6:$D$41, "Undergraduate",  'Task Time Calcs - Group A'!V$6:V$41)</f>
        <v>255.2</v>
      </c>
      <c r="M25" s="95">
        <f>AVERAGEIF('Profiles - Group A '!$D$6:$D$41, "Undergraduate",  'Task Time Calcs - Group A'!W$6:W$41)</f>
        <v>90.333333333333329</v>
      </c>
      <c r="N25" s="95">
        <f>AVERAGEIF('Profiles - Group A '!$D$6:$D$41, "Undergraduate",  'Task Time Calcs - Group A'!X$6:X$41)</f>
        <v>117</v>
      </c>
      <c r="O25" s="95">
        <f>AVERAGEIF('Profiles - Group A '!$D$6:$D$41, "Undergraduate",  'Task Time Calcs - Group A'!Y$6:Y$41)</f>
        <v>75.8</v>
      </c>
      <c r="P25" s="95">
        <f>AVERAGEIF('Profiles - Group A '!$D$6:$D$41, "Undergraduate",  'Task Time Calcs - Group A'!Z$6:Z$41)</f>
        <v>92.25</v>
      </c>
      <c r="Q25" s="95">
        <f>AVERAGEIF('Profiles - Group A '!$D$6:$D$41, "Undergraduate",  'Task Time Calcs - Group A'!AA$6:AA$41)</f>
        <v>90.666666666666671</v>
      </c>
      <c r="R25" s="95">
        <f>AVERAGEIF('Profiles - Group A '!$D$6:$D$41, "Undergraduate",  'Task Time Calcs - Group A'!AB$6:AB$41)</f>
        <v>43.2</v>
      </c>
      <c r="S25" s="95">
        <f>AVERAGEIF('Profiles - Group A '!$D$6:$D$41, "Undergraduate",  'Task Time Calcs - Group A'!AC$6:AC$41)</f>
        <v>58.166666666666664</v>
      </c>
      <c r="T25" s="95">
        <f>AVERAGE(L25:S25)</f>
        <v>102.82708333333332</v>
      </c>
      <c r="V25" s="95">
        <f>AVERAGEIF('Profiles - Group A '!$D$6:$D$41, "Undergraduate", 'Task metrics - Group A'!DE$6:DE$41)</f>
        <v>2.5555555555555554</v>
      </c>
      <c r="W25" s="95">
        <f>AVERAGEIF('Profiles - Group A '!$D$6:$D$41, "Undergraduate", 'Task metrics - Group A'!DF$6:DF$41)</f>
        <v>2.6666666666666665</v>
      </c>
      <c r="X25" s="95">
        <f>AVERAGEIF('Profiles - Group A '!$D$6:$D$41, "Undergraduate", 'Task metrics - Group A'!DG$6:DG$41)</f>
        <v>2.7777777777777777</v>
      </c>
      <c r="Y25" s="95">
        <f>AVERAGEIF('Profiles - Group A '!$D$6:$D$41, "Undergraduate", 'Task metrics - Group A'!DH$6:DH$41)</f>
        <v>3.5555555555555554</v>
      </c>
      <c r="Z25" s="95">
        <f>AVERAGEIF('Profiles - Group A '!$D$6:$D$41, "Undergraduate", 'Task metrics - Group A'!DI$6:DI$41)</f>
        <v>2.7777777777777777</v>
      </c>
      <c r="AA25" s="95">
        <f>AVERAGEIF('Profiles - Group A '!$D$6:$D$41, "Undergraduate", 'Task metrics - Group A'!DJ$6:DJ$41)</f>
        <v>2.6666666666666665</v>
      </c>
      <c r="AB25" s="95">
        <f>AVERAGEIF('Profiles - Group A '!$D$6:$D$41, "Undergraduate", 'Task metrics - Group A'!DK$6:DK$41)</f>
        <v>3.5555555555555554</v>
      </c>
      <c r="AC25" s="95">
        <f>AVERAGEIF('Profiles - Group A '!$D$6:$D$41, "Undergraduate", 'Task metrics - Group A'!DL$6:DL$41)</f>
        <v>3.1111111111111112</v>
      </c>
      <c r="AD25" s="95">
        <f>AVERAGE(V25:AC25)</f>
        <v>2.9583333333333335</v>
      </c>
      <c r="AP25" s="95">
        <f>AVERAGEIF('Profiles - Group A '!$D$6:$D$41, "Undergraduate", 'Task metrics - Group A'!DY$6:DY$41)</f>
        <v>35</v>
      </c>
    </row>
    <row r="26" spans="1:43">
      <c r="A26" s="99" t="s">
        <v>53</v>
      </c>
      <c r="B26" s="95">
        <f>AVERAGEIF('Profiles - Group A '!$D$6:$D$41, "Graduate (Masters or above)", 'Task metrics - Group A'!CK$6:CK$41)</f>
        <v>8.3333333333333329E-2</v>
      </c>
      <c r="C26" s="95">
        <f>AVERAGEIF('Profiles - Group A '!$D$6:$D$41, "Graduate (Masters or above)", 'Task metrics - Group A'!CL$6:CL$41)</f>
        <v>0.33333333333333331</v>
      </c>
      <c r="D26" s="95">
        <f>AVERAGEIF('Profiles - Group A '!$D$6:$D$41, "Graduate (Masters or above)", 'Task metrics - Group A'!CM$6:CM$41)</f>
        <v>0.33333333333333331</v>
      </c>
      <c r="E26" s="95">
        <f>AVERAGEIF('Profiles - Group A '!$D$6:$D$41, "Graduate (Masters or above)", 'Task metrics - Group A'!CN$6:CN$41)</f>
        <v>0.33333333333333331</v>
      </c>
      <c r="F26" s="95">
        <f>AVERAGEIF('Profiles - Group A '!$D$6:$D$41, "Graduate (Masters or above)", 'Task metrics - Group A'!CO$6:CO$41)</f>
        <v>0.16666666666666666</v>
      </c>
      <c r="G26" s="95">
        <f>AVERAGEIF('Profiles - Group A '!$D$6:$D$41, "Graduate (Masters or above)", 'Task metrics - Group A'!CP$6:CP$41)</f>
        <v>0.66666666666666663</v>
      </c>
      <c r="H26" s="95">
        <f>AVERAGEIF('Profiles - Group A '!$D$6:$D$41, "Graduate (Masters or above)", 'Task metrics - Group A'!CQ$6:CQ$41)</f>
        <v>0.66666666666666663</v>
      </c>
      <c r="I26" s="95">
        <f>AVERAGEIF('Profiles - Group A '!$D$6:$D$41, "Graduate (Masters or above)", 'Task metrics - Group A'!CR$6:CR$41)</f>
        <v>0.66666666666666663</v>
      </c>
      <c r="J26" s="95">
        <f>AVERAGE(B26:I26)</f>
        <v>0.40624999999999994</v>
      </c>
      <c r="K26" s="95"/>
      <c r="L26" s="95">
        <f>AVERAGEIF('Profiles - Group A '!$D$6:$D$41, "Graduate (Masters or above)",  'Task Time Calcs - Group A'!V$6:V$41)</f>
        <v>259</v>
      </c>
      <c r="M26" s="95">
        <f>AVERAGEIF('Profiles - Group A '!$D$6:$D$41, "Graduate (Masters or above)",  'Task Time Calcs - Group A'!W$6:W$41)</f>
        <v>180</v>
      </c>
      <c r="N26" s="95">
        <f>AVERAGEIF('Profiles - Group A '!$D$6:$D$41, "Graduate (Masters or above)",  'Task Time Calcs - Group A'!X$6:X$41)</f>
        <v>180</v>
      </c>
      <c r="O26" s="95">
        <f>AVERAGEIF('Profiles - Group A '!$D$6:$D$41, "Graduate (Masters or above)",  'Task Time Calcs - Group A'!Y$6:Y$41)</f>
        <v>90</v>
      </c>
      <c r="P26" s="95">
        <f>AVERAGEIF('Profiles - Group A '!$D$6:$D$41, "Graduate (Masters or above)",  'Task Time Calcs - Group A'!Z$6:Z$41)</f>
        <v>130</v>
      </c>
      <c r="Q26" s="95">
        <f>AVERAGEIF('Profiles - Group A '!$D$6:$D$41, "Graduate (Masters or above)",  'Task Time Calcs - Group A'!AA$6:AA$41)</f>
        <v>134.5</v>
      </c>
      <c r="R26" s="95">
        <f>AVERAGEIF('Profiles - Group A '!$D$6:$D$41, "Graduate (Masters or above)",  'Task Time Calcs - Group A'!AB$6:AB$41)</f>
        <v>65</v>
      </c>
      <c r="S26" s="95">
        <f>AVERAGEIF('Profiles - Group A '!$D$6:$D$41, "Graduate (Masters or above)",  'Task Time Calcs - Group A'!AC$6:AC$41)</f>
        <v>171</v>
      </c>
      <c r="T26" s="95">
        <f>AVERAGE(L26:S26)</f>
        <v>151.1875</v>
      </c>
      <c r="U26" s="95"/>
      <c r="V26" s="95">
        <f>AVERAGEIF('Profiles - Group A '!$D$6:$D$41, "Graduate (Masters or above)", 'Task metrics - Group A'!DE$6:DE$41)</f>
        <v>3</v>
      </c>
      <c r="W26" s="95">
        <f>AVERAGEIF('Profiles - Group A '!$D$6:$D$41, "Graduate (Masters or above)", 'Task metrics - Group A'!DF$6:DF$41)</f>
        <v>3.6666666666666665</v>
      </c>
      <c r="X26" s="95">
        <f>AVERAGEIF('Profiles - Group A '!$D$6:$D$41, "Graduate (Masters or above)", 'Task metrics - Group A'!DG$6:DG$41)</f>
        <v>3.6666666666666665</v>
      </c>
      <c r="Y26" s="95">
        <f>AVERAGEIF('Profiles - Group A '!$D$6:$D$41, "Graduate (Masters or above)", 'Task metrics - Group A'!DH$6:DH$41)</f>
        <v>4.333333333333333</v>
      </c>
      <c r="Z26" s="95">
        <f>AVERAGEIF('Profiles - Group A '!$D$6:$D$41, "Graduate (Masters or above)", 'Task metrics - Group A'!DI$6:DI$41)</f>
        <v>2.3333333333333335</v>
      </c>
      <c r="AA26" s="95">
        <f>AVERAGEIF('Profiles - Group A '!$D$6:$D$41, "Graduate (Masters or above)", 'Task metrics - Group A'!DJ$6:DJ$41)</f>
        <v>3</v>
      </c>
      <c r="AB26" s="95">
        <f>AVERAGEIF('Profiles - Group A '!$D$6:$D$41, "Graduate (Masters or above)", 'Task metrics - Group A'!DK$6:DK$41)</f>
        <v>3.3333333333333335</v>
      </c>
      <c r="AC26" s="95">
        <f>AVERAGEIF('Profiles - Group A '!$D$6:$D$41, "Graduate (Masters or above)", 'Task metrics - Group A'!DL$6:DL$41)</f>
        <v>3</v>
      </c>
      <c r="AD26" s="95">
        <f>AVERAGE(V26:AC26)</f>
        <v>3.2916666666666661</v>
      </c>
      <c r="AE26" s="95"/>
      <c r="AP26" s="95">
        <f>AVERAGEIF('Profiles - Group A '!$D$6:$D$41, "Graduate (Masters or above)", 'Task metrics - Group A'!DY$6:DY$41)</f>
        <v>63.333333333333336</v>
      </c>
      <c r="AQ26" s="95"/>
    </row>
    <row r="28" spans="1:43">
      <c r="B28" s="47" t="s">
        <v>27</v>
      </c>
      <c r="C28" s="47" t="s">
        <v>28</v>
      </c>
      <c r="D28" s="47" t="s">
        <v>2</v>
      </c>
      <c r="E28" s="47" t="s">
        <v>3</v>
      </c>
      <c r="F28" s="47" t="s">
        <v>4</v>
      </c>
      <c r="G28" s="47" t="s">
        <v>5</v>
      </c>
      <c r="H28" s="47" t="s">
        <v>6</v>
      </c>
      <c r="I28" s="47" t="s">
        <v>7</v>
      </c>
      <c r="J28" s="47" t="s">
        <v>31</v>
      </c>
      <c r="L28" s="47" t="s">
        <v>27</v>
      </c>
      <c r="M28" s="47" t="s">
        <v>28</v>
      </c>
      <c r="N28" s="47" t="s">
        <v>2</v>
      </c>
      <c r="O28" s="47" t="s">
        <v>3</v>
      </c>
      <c r="P28" s="47" t="s">
        <v>4</v>
      </c>
      <c r="Q28" s="47" t="s">
        <v>5</v>
      </c>
      <c r="R28" s="47" t="s">
        <v>6</v>
      </c>
      <c r="S28" s="47" t="s">
        <v>7</v>
      </c>
      <c r="T28" s="47" t="s">
        <v>31</v>
      </c>
      <c r="V28" s="47" t="s">
        <v>27</v>
      </c>
      <c r="W28" s="47" t="s">
        <v>28</v>
      </c>
      <c r="X28" s="47" t="s">
        <v>2</v>
      </c>
      <c r="Y28" s="47" t="s">
        <v>3</v>
      </c>
      <c r="Z28" s="47" t="s">
        <v>4</v>
      </c>
      <c r="AA28" s="47" t="s">
        <v>5</v>
      </c>
      <c r="AB28" s="47" t="s">
        <v>6</v>
      </c>
      <c r="AC28" s="47" t="s">
        <v>7</v>
      </c>
      <c r="AD28" s="47" t="s">
        <v>31</v>
      </c>
    </row>
    <row r="29" spans="1:43">
      <c r="A29" s="100" t="s">
        <v>123</v>
      </c>
      <c r="B29" s="95">
        <f>AVERAGEIF('Profiles - Group A '!$G$6:$G$41, "&lt;&gt;No", 'Task metrics - Group A'!AT$6:AT$41)</f>
        <v>0.125</v>
      </c>
      <c r="C29" s="95">
        <f>AVERAGEIF('Profiles - Group A '!$G$6:$G$41, "&lt;&gt;No", 'Task metrics - Group A'!AU$6:AU$41)</f>
        <v>0.3</v>
      </c>
      <c r="D29" s="95">
        <f>AVERAGEIF('Profiles - Group A '!$G$6:$G$41, "&lt;&gt;No", 'Task metrics - Group A'!AV$6:AV$41)</f>
        <v>0.16666666666666666</v>
      </c>
      <c r="E29" s="95">
        <f>AVERAGEIF('Profiles - Group A '!$G$6:$G$41, "&lt;&gt;No", 'Task metrics - Group A'!AW$6:AW$41)</f>
        <v>1</v>
      </c>
      <c r="F29" s="95">
        <f>AVERAGEIF('Profiles - Group A '!$G$6:$G$41, "&lt;&gt;No", 'Task metrics - Group A'!AX$6:AX$41)</f>
        <v>0.33333333333333331</v>
      </c>
      <c r="G29" s="95">
        <f>AVERAGEIF('Profiles - Group A '!$G$6:$G$41, "&lt;&gt;No", 'Task metrics - Group A'!AY$6:AY$41)</f>
        <v>0.66666666666666663</v>
      </c>
      <c r="H29" s="95">
        <f>AVERAGEIF('Profiles - Group A '!$G$6:$G$41, "&lt;&gt;No", 'Task metrics - Group A'!AZ$6:AZ$41)</f>
        <v>0.33333333333333331</v>
      </c>
      <c r="I29" s="95">
        <f>AVERAGEIF('Profiles - Group A '!$G$6:$G$41, "&lt;&gt;No", 'Task metrics - Group A'!BA$6:BA$41)</f>
        <v>1</v>
      </c>
      <c r="J29" s="95">
        <f>AVERAGE(B29:I29)</f>
        <v>0.49062500000000003</v>
      </c>
      <c r="L29" s="95">
        <f>AVERAGEIF('Profiles - Group A '!$G$6:$G$41, "&lt;&gt;No", 'Task Time Calcs - Group A'!V$6:V$41)</f>
        <v>214</v>
      </c>
      <c r="M29" s="95">
        <f>AVERAGEIF('Profiles - Group A '!$G$6:$G$41, "&lt;&gt;No", 'Task Time Calcs - Group A'!W$6:W$41)</f>
        <v>40</v>
      </c>
      <c r="N29" s="95">
        <f>AVERAGEIF('Profiles - Group A '!$G$6:$G$41, "&lt;&gt;No", 'Task Time Calcs - Group A'!X$6:X$41)</f>
        <v>182.25</v>
      </c>
      <c r="O29" s="95">
        <f>AVERAGEIF('Profiles - Group A '!$G$6:$G$41, "&lt;&gt;No", 'Task Time Calcs - Group A'!Y$6:Y$41)</f>
        <v>19.5</v>
      </c>
      <c r="P29" s="95">
        <f>AVERAGEIF('Profiles - Group A '!$G$6:$G$41, "&lt;&gt;No", 'Task Time Calcs - Group A'!Z$6:Z$41)</f>
        <v>57.2</v>
      </c>
      <c r="Q29" s="95" t="e">
        <f>AVERAGEIF('Profiles - Group A '!$G$6:$G$41, "&lt;&gt;No", 'Task Time Calcs - Group A'!AA$6:AA$41)</f>
        <v>#DIV/0!</v>
      </c>
      <c r="R29" s="95">
        <f>AVERAGEIF('Profiles - Group A '!$G$6:$G$41, "&lt;&gt;No", 'Task Time Calcs - Group A'!AB$6:AB$41)</f>
        <v>87.666666666666671</v>
      </c>
      <c r="S29" s="95">
        <f>AVERAGEIF('Profiles - Group A '!$G$6:$G$41, "&lt;&gt;No", 'Task Time Calcs - Group A'!AC$6:AC$41)</f>
        <v>58.25</v>
      </c>
      <c r="T29" s="95" t="e">
        <f>AVERAGE(L29:S29)</f>
        <v>#DIV/0!</v>
      </c>
      <c r="V29" s="95">
        <f>AVERAGEIF('Profiles - Group A '!$G$6:$G$41, "&lt;&gt;No", 'Task metrics - Group A'!BN$6:BN$41)</f>
        <v>2.3333333333333335</v>
      </c>
      <c r="W29" s="95">
        <f>AVERAGEIF('Profiles - Group A '!$G$6:$G$41, "&lt;&gt;No", 'Task metrics - Group A'!BO$6:BO$41)</f>
        <v>3</v>
      </c>
      <c r="X29" s="95">
        <f>AVERAGEIF('Profiles - Group A '!$G$6:$G$41, "&lt;&gt;No", 'Task metrics - Group A'!BP$6:BP$41)</f>
        <v>2</v>
      </c>
      <c r="Y29" s="95">
        <f>AVERAGEIF('Profiles - Group A '!$G$6:$G$41, "&lt;&gt;No", 'Task metrics - Group A'!BQ$6:BQ$41)</f>
        <v>3.8333333333333335</v>
      </c>
      <c r="Z29" s="95">
        <f>AVERAGEIF('Profiles - Group A '!$G$6:$G$41, "&lt;&gt;No", 'Task metrics - Group A'!BR$6:BR$41)</f>
        <v>3.8333333333333335</v>
      </c>
      <c r="AA29" s="95">
        <f>AVERAGEIF('Profiles - Group A '!$G$6:$G$41, "&lt;&gt;No", 'Task metrics - Group A'!BS$6:BS$41)</f>
        <v>4.833333333333333</v>
      </c>
      <c r="AB29" s="95">
        <f>AVERAGEIF('Profiles - Group A '!$G$6:$G$41, "&lt;&gt;No", 'Task metrics - Group A'!BT$6:BT$41)</f>
        <v>3.5</v>
      </c>
      <c r="AC29" s="95">
        <f>AVERAGEIF('Profiles - Group A '!$G$6:$G$41, "&lt;&gt;No", 'Task metrics - Group A'!BU$6:BU$41)</f>
        <v>5</v>
      </c>
      <c r="AD29" s="95">
        <f>AVERAGE(V29:AC29)</f>
        <v>3.541666666666667</v>
      </c>
      <c r="AP29" s="95">
        <f>AVERAGEIF('Profiles - Group A '!$G$6:$G$41, "&lt;&gt;No", 'Task metrics - Group A'!CH$6:CH$41)</f>
        <v>44.583333333333336</v>
      </c>
    </row>
    <row r="30" spans="1:43">
      <c r="A30" s="100" t="s">
        <v>124</v>
      </c>
      <c r="B30" s="95">
        <f>AVERAGEIF('Profiles - Group A '!$G$6:$G$41, "No", 'Task metrics - Group A'!AT$6:AT$41)</f>
        <v>0.18333333333333332</v>
      </c>
      <c r="C30" s="95">
        <f>AVERAGEIF('Profiles - Group A '!$G$6:$G$41, "No", 'Task metrics - Group A'!AU$6:AU$41)</f>
        <v>0.46666666666666667</v>
      </c>
      <c r="D30" s="95">
        <f>AVERAGEIF('Profiles - Group A '!$G$6:$G$41, "No", 'Task metrics - Group A'!AV$6:AV$41)</f>
        <v>0.375</v>
      </c>
      <c r="E30" s="95">
        <f>AVERAGEIF('Profiles - Group A '!$G$6:$G$41, "No", 'Task metrics - Group A'!AW$6:AW$41)</f>
        <v>0.70833333333333337</v>
      </c>
      <c r="F30" s="95">
        <f>AVERAGEIF('Profiles - Group A '!$G$6:$G$41, "No", 'Task metrics - Group A'!AX$6:AX$41)</f>
        <v>0.30833333333333335</v>
      </c>
      <c r="G30" s="95">
        <f>AVERAGEIF('Profiles - Group A '!$G$6:$G$41, "No", 'Task metrics - Group A'!AY$6:AY$41)</f>
        <v>0.52500000000000002</v>
      </c>
      <c r="H30" s="95">
        <f>AVERAGEIF('Profiles - Group A '!$G$6:$G$41, "No", 'Task metrics - Group A'!AZ$6:AZ$41)</f>
        <v>0.3</v>
      </c>
      <c r="I30" s="95">
        <f>AVERAGEIF('Profiles - Group A '!$G$6:$G$41, "No", 'Task metrics - Group A'!BA$6:BA$41)</f>
        <v>0.95</v>
      </c>
      <c r="J30" s="95">
        <f>AVERAGE(B30:I30)</f>
        <v>0.4770833333333333</v>
      </c>
      <c r="L30" s="95">
        <f>AVERAGEIF('Profiles - Group A '!$G$6:$G$41, "No", 'Task Time Calcs - Group A'!V$6:V$41)</f>
        <v>246</v>
      </c>
      <c r="M30" s="95">
        <f>AVERAGEIF('Profiles - Group A '!$G$6:$G$41, "No", 'Task Time Calcs - Group A'!W$6:W$41)</f>
        <v>121.625</v>
      </c>
      <c r="N30" s="95">
        <f>AVERAGEIF('Profiles - Group A '!$G$6:$G$41, "No", 'Task Time Calcs - Group A'!X$6:X$41)</f>
        <v>122.90909090909091</v>
      </c>
      <c r="O30" s="95">
        <f>AVERAGEIF('Profiles - Group A '!$G$6:$G$41, "No", 'Task Time Calcs - Group A'!Y$6:Y$41)</f>
        <v>83.333333333333329</v>
      </c>
      <c r="P30" s="95">
        <f>AVERAGEIF('Profiles - Group A '!$G$6:$G$41, "No", 'Task Time Calcs - Group A'!Z$6:Z$41)</f>
        <v>91.8125</v>
      </c>
      <c r="Q30" s="95">
        <f>AVERAGEIF('Profiles - Group A '!$G$6:$G$41, "No", 'Task Time Calcs - Group A'!AA$6:AA$41)</f>
        <v>91.75</v>
      </c>
      <c r="R30" s="95">
        <f>AVERAGEIF('Profiles - Group A '!$G$6:$G$41, "No", 'Task Time Calcs - Group A'!AB$6:AB$41)</f>
        <v>51.111111111111114</v>
      </c>
      <c r="S30" s="95">
        <f>AVERAGEIF('Profiles - Group A '!$G$6:$G$41, "No", 'Task Time Calcs - Group A'!AC$6:AC$41)</f>
        <v>79.333333333333329</v>
      </c>
      <c r="T30" s="95">
        <f>AVERAGE(L30:S30)</f>
        <v>110.98429608585859</v>
      </c>
      <c r="V30" s="95">
        <f>AVERAGEIF('Profiles - Group A '!$G$6:$G$41, "No", 'Task metrics - Group A'!BN$6:BN$41)</f>
        <v>2.5333333333333332</v>
      </c>
      <c r="W30" s="95">
        <f>AVERAGEIF('Profiles - Group A '!$G$6:$G$41, "No", 'Task metrics - Group A'!BO$6:BO$41)</f>
        <v>3.4</v>
      </c>
      <c r="X30" s="95">
        <f>AVERAGEIF('Profiles - Group A '!$G$6:$G$41, "No", 'Task metrics - Group A'!BP$6:BP$41)</f>
        <v>3.0666666666666669</v>
      </c>
      <c r="Y30" s="95">
        <f>AVERAGEIF('Profiles - Group A '!$G$6:$G$41, "No", 'Task metrics - Group A'!BQ$6:BQ$41)</f>
        <v>2.7</v>
      </c>
      <c r="Z30" s="95">
        <f>AVERAGEIF('Profiles - Group A '!$G$6:$G$41, "No", 'Task metrics - Group A'!BR$6:BR$41)</f>
        <v>3.4333333333333331</v>
      </c>
      <c r="AA30" s="95">
        <f>AVERAGEIF('Profiles - Group A '!$G$6:$G$41, "No", 'Task metrics - Group A'!BS$6:BS$41)</f>
        <v>3.4666666666666668</v>
      </c>
      <c r="AB30" s="95">
        <f>AVERAGEIF('Profiles - Group A '!$G$6:$G$41, "No", 'Task metrics - Group A'!BT$6:BT$41)</f>
        <v>2.9666666666666668</v>
      </c>
      <c r="AC30" s="95">
        <f>AVERAGEIF('Profiles - Group A '!$G$6:$G$41, "No", 'Task metrics - Group A'!BU$6:BU$41)</f>
        <v>4.2333333333333334</v>
      </c>
      <c r="AD30" s="95">
        <f>AVERAGE(V30:AC30)</f>
        <v>3.2250000000000005</v>
      </c>
      <c r="AP30" s="95">
        <f>AVERAGEIF('Profiles - Group A '!$G$6:$G$41, "No", 'Task metrics - Group A'!CH$6:CH$41)</f>
        <v>52.583333333333336</v>
      </c>
    </row>
    <row r="33" spans="1:11">
      <c r="A33" s="47"/>
    </row>
    <row r="34" spans="1:11">
      <c r="B34" s="47"/>
      <c r="C34" s="47"/>
      <c r="D34" s="47"/>
      <c r="E34" s="47"/>
      <c r="F34" s="47"/>
      <c r="G34" s="47"/>
      <c r="H34" s="47"/>
      <c r="I34" s="47"/>
      <c r="J34" s="47"/>
    </row>
    <row r="35" spans="1:11">
      <c r="A35" s="96"/>
      <c r="B35" s="95"/>
      <c r="C35" s="95"/>
      <c r="D35" s="95"/>
      <c r="E35" s="95"/>
      <c r="F35" s="95"/>
      <c r="G35" s="95"/>
      <c r="H35" s="95"/>
      <c r="I35" s="95"/>
      <c r="J35" s="95"/>
    </row>
    <row r="36" spans="1:11">
      <c r="A36" s="96"/>
      <c r="B36" s="95"/>
      <c r="C36" s="95"/>
      <c r="D36" s="95"/>
      <c r="E36" s="95"/>
      <c r="F36" s="95"/>
      <c r="G36" s="95"/>
      <c r="H36" s="95"/>
      <c r="I36" s="95"/>
      <c r="J36" s="95"/>
    </row>
    <row r="38" spans="1:11">
      <c r="B38" s="47"/>
      <c r="C38" s="47"/>
      <c r="D38" s="47"/>
      <c r="E38" s="47"/>
      <c r="F38" s="47"/>
      <c r="G38" s="47"/>
      <c r="H38" s="47"/>
      <c r="I38" s="47"/>
      <c r="J38" s="47"/>
    </row>
    <row r="39" spans="1:11">
      <c r="A39" s="96"/>
      <c r="B39" s="95"/>
      <c r="C39" s="95"/>
      <c r="D39" s="95"/>
      <c r="E39" s="95"/>
      <c r="F39" s="95"/>
      <c r="G39" s="95"/>
      <c r="H39" s="95"/>
      <c r="I39" s="95"/>
      <c r="J39" s="95"/>
    </row>
    <row r="40" spans="1:11">
      <c r="A40" s="96"/>
      <c r="B40" s="95"/>
      <c r="C40" s="95"/>
      <c r="D40" s="95"/>
      <c r="E40" s="95"/>
      <c r="F40" s="95"/>
      <c r="G40" s="95"/>
      <c r="H40" s="95"/>
      <c r="I40" s="95"/>
      <c r="J40" s="95"/>
      <c r="K40" s="95"/>
    </row>
    <row r="41" spans="1:11">
      <c r="A41" s="96"/>
      <c r="B41" s="95"/>
      <c r="C41" s="95"/>
      <c r="D41" s="95"/>
      <c r="E41" s="95"/>
      <c r="F41" s="95"/>
      <c r="G41" s="95"/>
      <c r="H41" s="95"/>
      <c r="I41" s="95"/>
      <c r="J41" s="95"/>
    </row>
    <row r="42" spans="1:11">
      <c r="A42" s="96"/>
      <c r="B42" s="95"/>
      <c r="C42" s="95"/>
      <c r="D42" s="95"/>
      <c r="E42" s="95"/>
      <c r="F42" s="95"/>
      <c r="G42" s="95"/>
      <c r="H42" s="95"/>
      <c r="I42" s="95"/>
      <c r="J42" s="95"/>
      <c r="K42" s="95"/>
    </row>
    <row r="43" spans="1:11">
      <c r="A43" s="96"/>
      <c r="B43" s="95"/>
      <c r="C43" s="95"/>
      <c r="D43" s="95"/>
      <c r="E43" s="95"/>
      <c r="F43" s="95"/>
      <c r="G43" s="95"/>
      <c r="H43" s="95"/>
      <c r="I43" s="95"/>
      <c r="J43" s="95"/>
    </row>
    <row r="44" spans="1:11">
      <c r="A44" s="96"/>
      <c r="B44" s="95"/>
      <c r="C44" s="95"/>
      <c r="D44" s="95"/>
      <c r="E44" s="95"/>
      <c r="F44" s="95"/>
      <c r="G44" s="95"/>
      <c r="H44" s="95"/>
      <c r="I44" s="95"/>
      <c r="J44" s="95"/>
      <c r="K44" s="95"/>
    </row>
    <row r="45" spans="1:11">
      <c r="A45" s="96"/>
    </row>
    <row r="46" spans="1:11">
      <c r="A46" s="96"/>
      <c r="B46" s="47"/>
      <c r="C46" s="47"/>
      <c r="D46" s="47"/>
      <c r="E46" s="47"/>
      <c r="F46" s="47"/>
      <c r="G46" s="47"/>
      <c r="H46" s="47"/>
      <c r="I46" s="47"/>
      <c r="J46" s="47"/>
    </row>
    <row r="47" spans="1:11">
      <c r="A47" s="96"/>
      <c r="B47" s="95"/>
      <c r="C47" s="95"/>
      <c r="D47" s="95"/>
      <c r="E47" s="95"/>
      <c r="F47" s="95"/>
      <c r="G47" s="95"/>
      <c r="H47" s="95"/>
      <c r="I47" s="95"/>
      <c r="J47" s="95"/>
    </row>
    <row r="48" spans="1:11">
      <c r="A48" s="96"/>
      <c r="B48" s="95"/>
      <c r="C48" s="95"/>
      <c r="D48" s="95"/>
      <c r="E48" s="95"/>
      <c r="F48" s="95"/>
      <c r="G48" s="95"/>
      <c r="H48" s="95"/>
      <c r="I48" s="95"/>
      <c r="J48" s="95"/>
    </row>
    <row r="49" spans="1:11">
      <c r="A49" s="96"/>
      <c r="B49" s="95"/>
      <c r="C49" s="95"/>
      <c r="D49" s="95"/>
      <c r="E49" s="95"/>
      <c r="F49" s="95"/>
      <c r="G49" s="95"/>
      <c r="H49" s="95"/>
      <c r="I49" s="95"/>
      <c r="J49" s="95"/>
      <c r="K49" s="95"/>
    </row>
    <row r="50" spans="1:11">
      <c r="A50" s="96"/>
      <c r="B50" s="95"/>
      <c r="C50" s="95"/>
      <c r="D50" s="95"/>
      <c r="E50" s="95"/>
      <c r="F50" s="95"/>
      <c r="G50" s="95"/>
      <c r="H50" s="95"/>
      <c r="I50" s="95"/>
      <c r="J50" s="95"/>
    </row>
    <row r="51" spans="1:11">
      <c r="A51" s="96"/>
    </row>
    <row r="52" spans="1:11">
      <c r="A52" s="96"/>
      <c r="B52" s="47"/>
      <c r="C52" s="47"/>
      <c r="D52" s="47"/>
      <c r="E52" s="47"/>
      <c r="F52" s="47"/>
      <c r="G52" s="47"/>
      <c r="H52" s="47"/>
      <c r="I52" s="47"/>
      <c r="J52" s="47"/>
    </row>
    <row r="53" spans="1:11">
      <c r="A53" s="97"/>
      <c r="B53" s="95"/>
      <c r="C53" s="95"/>
      <c r="D53" s="95"/>
      <c r="E53" s="95"/>
      <c r="F53" s="95"/>
      <c r="G53" s="95"/>
      <c r="H53" s="95"/>
      <c r="I53" s="95"/>
      <c r="J53" s="95"/>
    </row>
    <row r="54" spans="1:11">
      <c r="A54" s="98"/>
      <c r="B54" s="95"/>
      <c r="C54" s="95"/>
      <c r="D54" s="95"/>
      <c r="E54" s="95"/>
      <c r="F54" s="95"/>
      <c r="G54" s="95"/>
      <c r="H54" s="95"/>
      <c r="I54" s="95"/>
      <c r="J54" s="95"/>
      <c r="K54" s="95"/>
    </row>
    <row r="55" spans="1:11">
      <c r="A55" s="98"/>
      <c r="B55" s="95"/>
      <c r="C55" s="95"/>
      <c r="D55" s="95"/>
      <c r="E55" s="95"/>
      <c r="F55" s="95"/>
      <c r="G55" s="95"/>
      <c r="H55" s="95"/>
      <c r="I55" s="95"/>
      <c r="J55" s="95"/>
    </row>
    <row r="56" spans="1:11">
      <c r="A56" s="99"/>
      <c r="B56" s="95"/>
      <c r="C56" s="95"/>
      <c r="D56" s="95"/>
      <c r="E56" s="95"/>
      <c r="F56" s="95"/>
      <c r="G56" s="95"/>
      <c r="H56" s="95"/>
      <c r="I56" s="95"/>
      <c r="J56" s="95"/>
      <c r="K56" s="95"/>
    </row>
    <row r="58" spans="1:11">
      <c r="B58" s="47"/>
      <c r="C58" s="47"/>
      <c r="D58" s="47"/>
      <c r="E58" s="47"/>
      <c r="F58" s="47"/>
      <c r="G58" s="47"/>
      <c r="H58" s="47"/>
      <c r="I58" s="47"/>
      <c r="J58" s="47"/>
    </row>
    <row r="59" spans="1:11">
      <c r="A59" s="100"/>
      <c r="B59" s="95"/>
      <c r="C59" s="95"/>
      <c r="D59" s="95"/>
      <c r="E59" s="95"/>
      <c r="F59" s="95"/>
      <c r="G59" s="95"/>
      <c r="H59" s="95"/>
      <c r="I59" s="95"/>
      <c r="J59" s="95"/>
    </row>
    <row r="60" spans="1:11">
      <c r="A60" s="100"/>
      <c r="B60" s="95"/>
      <c r="C60" s="95"/>
      <c r="D60" s="95"/>
      <c r="E60" s="95"/>
      <c r="F60" s="95"/>
      <c r="G60" s="95"/>
      <c r="H60" s="95"/>
      <c r="I60" s="95"/>
      <c r="J60" s="95"/>
    </row>
    <row r="63" spans="1:11">
      <c r="A63" s="47"/>
    </row>
    <row r="64" spans="1:11">
      <c r="B64" s="47"/>
      <c r="C64" s="47"/>
      <c r="D64" s="47"/>
      <c r="E64" s="47"/>
      <c r="F64" s="47"/>
      <c r="G64" s="47"/>
      <c r="H64" s="47"/>
      <c r="I64" s="47"/>
      <c r="J64" s="47"/>
    </row>
    <row r="65" spans="1:11">
      <c r="A65" s="96"/>
      <c r="B65" s="95"/>
      <c r="C65" s="95"/>
      <c r="D65" s="95"/>
      <c r="E65" s="95"/>
      <c r="F65" s="95"/>
      <c r="G65" s="95"/>
      <c r="H65" s="95"/>
      <c r="I65" s="95"/>
      <c r="J65" s="95"/>
    </row>
    <row r="66" spans="1:11">
      <c r="A66" s="96"/>
      <c r="B66" s="95"/>
      <c r="C66" s="95"/>
      <c r="D66" s="95"/>
      <c r="E66" s="95"/>
      <c r="F66" s="95"/>
      <c r="G66" s="95"/>
      <c r="H66" s="95"/>
      <c r="I66" s="95"/>
      <c r="J66" s="95"/>
    </row>
    <row r="68" spans="1:11">
      <c r="B68" s="47"/>
      <c r="C68" s="47"/>
      <c r="D68" s="47"/>
      <c r="E68" s="47"/>
      <c r="F68" s="47"/>
      <c r="G68" s="47"/>
      <c r="H68" s="47"/>
      <c r="I68" s="47"/>
      <c r="J68" s="47"/>
    </row>
    <row r="69" spans="1:11">
      <c r="A69" s="96"/>
      <c r="B69" s="95"/>
      <c r="C69" s="95"/>
      <c r="D69" s="95"/>
      <c r="E69" s="95"/>
      <c r="F69" s="95"/>
      <c r="G69" s="95"/>
      <c r="H69" s="95"/>
      <c r="I69" s="95"/>
      <c r="J69" s="95"/>
    </row>
    <row r="70" spans="1:11">
      <c r="A70" s="96"/>
      <c r="B70" s="95"/>
      <c r="C70" s="95"/>
      <c r="D70" s="95"/>
      <c r="E70" s="95"/>
      <c r="F70" s="95"/>
      <c r="G70" s="95"/>
      <c r="H70" s="95"/>
      <c r="I70" s="95"/>
      <c r="J70" s="95"/>
      <c r="K70" s="95"/>
    </row>
    <row r="71" spans="1:11">
      <c r="A71" s="96"/>
      <c r="B71" s="95"/>
      <c r="C71" s="95"/>
      <c r="D71" s="95"/>
      <c r="E71" s="95"/>
      <c r="F71" s="95"/>
      <c r="G71" s="95"/>
      <c r="H71" s="95"/>
      <c r="I71" s="95"/>
      <c r="J71" s="95"/>
    </row>
    <row r="72" spans="1:11">
      <c r="A72" s="96"/>
      <c r="B72" s="95"/>
      <c r="C72" s="95"/>
      <c r="D72" s="95"/>
      <c r="E72" s="95"/>
      <c r="F72" s="95"/>
      <c r="G72" s="95"/>
      <c r="H72" s="95"/>
      <c r="I72" s="95"/>
      <c r="J72" s="95"/>
      <c r="K72" s="95"/>
    </row>
    <row r="73" spans="1:11">
      <c r="A73" s="96"/>
      <c r="B73" s="95"/>
      <c r="C73" s="95"/>
      <c r="D73" s="95"/>
      <c r="E73" s="95"/>
      <c r="F73" s="95"/>
      <c r="G73" s="95"/>
      <c r="H73" s="95"/>
      <c r="I73" s="95"/>
      <c r="J73" s="95"/>
    </row>
    <row r="74" spans="1:11">
      <c r="A74" s="96"/>
      <c r="B74" s="95"/>
      <c r="C74" s="95"/>
      <c r="D74" s="95"/>
      <c r="E74" s="95"/>
      <c r="F74" s="95"/>
      <c r="G74" s="95"/>
      <c r="H74" s="95"/>
      <c r="I74" s="95"/>
      <c r="J74" s="95"/>
      <c r="K74" s="95"/>
    </row>
    <row r="75" spans="1:11">
      <c r="A75" s="96"/>
    </row>
    <row r="76" spans="1:11">
      <c r="A76" s="96"/>
      <c r="B76" s="47"/>
      <c r="C76" s="47"/>
      <c r="D76" s="47"/>
      <c r="E76" s="47"/>
      <c r="F76" s="47"/>
      <c r="G76" s="47"/>
      <c r="H76" s="47"/>
      <c r="I76" s="47"/>
      <c r="J76" s="47"/>
    </row>
    <row r="77" spans="1:11">
      <c r="A77" s="96"/>
      <c r="B77" s="95"/>
      <c r="C77" s="95"/>
      <c r="D77" s="95"/>
      <c r="E77" s="95"/>
      <c r="F77" s="95"/>
      <c r="G77" s="95"/>
      <c r="H77" s="95"/>
      <c r="I77" s="95"/>
      <c r="J77" s="95"/>
    </row>
    <row r="78" spans="1:11">
      <c r="A78" s="96"/>
      <c r="B78" s="95"/>
      <c r="C78" s="95"/>
      <c r="D78" s="95"/>
      <c r="E78" s="95"/>
      <c r="F78" s="95"/>
      <c r="G78" s="95"/>
      <c r="H78" s="95"/>
      <c r="I78" s="95"/>
      <c r="J78" s="95"/>
    </row>
    <row r="79" spans="1:11">
      <c r="A79" s="96"/>
      <c r="B79" s="95"/>
      <c r="C79" s="95"/>
      <c r="D79" s="95"/>
      <c r="E79" s="95"/>
      <c r="F79" s="95"/>
      <c r="G79" s="95"/>
      <c r="H79" s="95"/>
      <c r="I79" s="95"/>
      <c r="J79" s="95"/>
      <c r="K79" s="95"/>
    </row>
    <row r="80" spans="1:11">
      <c r="A80" s="96"/>
      <c r="B80" s="95"/>
      <c r="C80" s="95"/>
      <c r="D80" s="95"/>
      <c r="E80" s="95"/>
      <c r="F80" s="95"/>
      <c r="G80" s="95"/>
      <c r="H80" s="95"/>
      <c r="I80" s="95"/>
      <c r="J80" s="95"/>
    </row>
    <row r="81" spans="1:11">
      <c r="A81" s="96"/>
    </row>
    <row r="82" spans="1:11">
      <c r="A82" s="96"/>
      <c r="B82" s="47"/>
      <c r="C82" s="47"/>
      <c r="D82" s="47"/>
      <c r="E82" s="47"/>
      <c r="F82" s="47"/>
      <c r="G82" s="47"/>
      <c r="H82" s="47"/>
      <c r="I82" s="47"/>
      <c r="J82" s="47"/>
    </row>
    <row r="83" spans="1:11">
      <c r="A83" s="97"/>
      <c r="B83" s="95"/>
      <c r="C83" s="95"/>
      <c r="D83" s="95"/>
      <c r="E83" s="95"/>
      <c r="F83" s="95"/>
      <c r="G83" s="95"/>
      <c r="H83" s="95"/>
      <c r="I83" s="95"/>
      <c r="J83" s="95"/>
    </row>
    <row r="84" spans="1:11">
      <c r="A84" s="98"/>
      <c r="B84" s="95"/>
      <c r="C84" s="95"/>
      <c r="D84" s="95"/>
      <c r="E84" s="95"/>
      <c r="F84" s="95"/>
      <c r="G84" s="95"/>
      <c r="H84" s="95"/>
      <c r="I84" s="95"/>
      <c r="J84" s="95"/>
      <c r="K84" s="95"/>
    </row>
    <row r="85" spans="1:11">
      <c r="A85" s="98"/>
      <c r="B85" s="95"/>
      <c r="C85" s="95"/>
      <c r="D85" s="95"/>
      <c r="E85" s="95"/>
      <c r="F85" s="95"/>
      <c r="G85" s="95"/>
      <c r="H85" s="95"/>
      <c r="I85" s="95"/>
      <c r="J85" s="95"/>
    </row>
    <row r="86" spans="1:11">
      <c r="A86" s="99"/>
      <c r="B86" s="95"/>
      <c r="C86" s="95"/>
      <c r="D86" s="95"/>
      <c r="E86" s="95"/>
      <c r="F86" s="95"/>
      <c r="G86" s="95"/>
      <c r="H86" s="95"/>
      <c r="I86" s="95"/>
      <c r="J86" s="95"/>
      <c r="K86" s="95"/>
    </row>
    <row r="88" spans="1:11">
      <c r="B88" s="47"/>
      <c r="C88" s="47"/>
      <c r="D88" s="47"/>
      <c r="E88" s="47"/>
      <c r="F88" s="47"/>
      <c r="G88" s="47"/>
      <c r="H88" s="47"/>
      <c r="I88" s="47"/>
      <c r="J88" s="47"/>
    </row>
    <row r="89" spans="1:11">
      <c r="A89" s="100"/>
      <c r="B89" s="95"/>
      <c r="C89" s="95"/>
      <c r="D89" s="95"/>
      <c r="E89" s="95"/>
      <c r="F89" s="95"/>
      <c r="G89" s="95"/>
      <c r="H89" s="95"/>
      <c r="I89" s="95"/>
      <c r="J89" s="95"/>
    </row>
    <row r="90" spans="1:11">
      <c r="A90" s="100"/>
      <c r="B90" s="95"/>
      <c r="C90" s="95"/>
      <c r="D90" s="95"/>
      <c r="E90" s="95"/>
      <c r="F90" s="95"/>
      <c r="G90" s="95"/>
      <c r="H90" s="95"/>
      <c r="I90" s="95"/>
      <c r="J90" s="95"/>
    </row>
    <row r="1048576" spans="2:2">
      <c r="B1048576" s="95"/>
    </row>
  </sheetData>
  <mergeCells count="3">
    <mergeCell ref="A3:J3"/>
    <mergeCell ref="L3:T3"/>
    <mergeCell ref="V3:AP3"/>
  </mergeCells>
  <pageMargins left="0.7" right="0.7" top="0.75" bottom="0.75" header="0.3" footer="0.3"/>
  <tableParts count="4">
    <tablePart r:id="rId1"/>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48576"/>
  <sheetViews>
    <sheetView topLeftCell="A10" workbookViewId="0">
      <selection activeCell="U2" sqref="U2"/>
    </sheetView>
  </sheetViews>
  <sheetFormatPr defaultRowHeight="15"/>
  <cols>
    <col min="1" max="1" width="28.5703125" bestFit="1" customWidth="1"/>
    <col min="2" max="2" width="9.42578125" customWidth="1"/>
    <col min="3" max="3" width="9.5703125" customWidth="1"/>
    <col min="10" max="10" width="9.5703125" customWidth="1"/>
    <col min="12" max="12" width="9.42578125" customWidth="1"/>
    <col min="13" max="13" width="9.5703125" customWidth="1"/>
    <col min="20" max="20" width="9.5703125" customWidth="1"/>
    <col min="22" max="22" width="9.42578125" customWidth="1"/>
    <col min="23" max="23" width="9.5703125" customWidth="1"/>
    <col min="30" max="30" width="9.5703125" customWidth="1"/>
    <col min="31" max="41" width="0" hidden="1" customWidth="1"/>
  </cols>
  <sheetData>
    <row r="1" spans="1:43" ht="28.5">
      <c r="A1" s="125" t="s">
        <v>191</v>
      </c>
      <c r="B1" s="125"/>
      <c r="C1" s="125"/>
      <c r="D1" s="125"/>
      <c r="E1" s="125"/>
      <c r="F1" s="125"/>
      <c r="G1" s="125"/>
      <c r="H1" s="125"/>
      <c r="I1" s="125"/>
      <c r="J1" s="125"/>
    </row>
    <row r="3" spans="1:43" ht="28.5">
      <c r="A3" s="159" t="s">
        <v>8</v>
      </c>
      <c r="B3" s="159"/>
      <c r="C3" s="159"/>
      <c r="D3" s="159"/>
      <c r="E3" s="159"/>
      <c r="F3" s="159"/>
      <c r="G3" s="159"/>
      <c r="H3" s="159"/>
      <c r="I3" s="159"/>
      <c r="J3" s="159"/>
      <c r="L3" s="159" t="s">
        <v>125</v>
      </c>
      <c r="M3" s="159"/>
      <c r="N3" s="159"/>
      <c r="O3" s="159"/>
      <c r="P3" s="159"/>
      <c r="Q3" s="159"/>
      <c r="R3" s="159"/>
      <c r="S3" s="159"/>
      <c r="T3" s="159"/>
      <c r="V3" s="159" t="s">
        <v>10</v>
      </c>
      <c r="W3" s="159"/>
      <c r="X3" s="159"/>
      <c r="Y3" s="159"/>
      <c r="Z3" s="159"/>
      <c r="AA3" s="159"/>
      <c r="AB3" s="159"/>
      <c r="AC3" s="159"/>
      <c r="AD3" s="159"/>
      <c r="AE3" s="122"/>
      <c r="AF3" s="122"/>
      <c r="AG3" s="122"/>
      <c r="AH3" s="122"/>
      <c r="AI3" s="122"/>
      <c r="AJ3" s="122"/>
      <c r="AK3" s="122"/>
      <c r="AL3" s="122"/>
      <c r="AM3" s="122"/>
      <c r="AN3" s="122"/>
      <c r="AO3" s="122"/>
      <c r="AP3" s="122"/>
    </row>
    <row r="4" spans="1:43">
      <c r="A4" t="s">
        <v>147</v>
      </c>
      <c r="B4" s="47" t="s">
        <v>27</v>
      </c>
      <c r="C4" s="47" t="s">
        <v>28</v>
      </c>
      <c r="D4" s="47" t="s">
        <v>2</v>
      </c>
      <c r="E4" s="47" t="s">
        <v>3</v>
      </c>
      <c r="F4" s="47" t="s">
        <v>4</v>
      </c>
      <c r="G4" s="47" t="s">
        <v>5</v>
      </c>
      <c r="H4" s="47" t="s">
        <v>6</v>
      </c>
      <c r="I4" s="47" t="s">
        <v>7</v>
      </c>
      <c r="J4" s="47" t="s">
        <v>31</v>
      </c>
      <c r="L4" s="47" t="s">
        <v>27</v>
      </c>
      <c r="M4" s="47" t="s">
        <v>28</v>
      </c>
      <c r="N4" s="47" t="s">
        <v>2</v>
      </c>
      <c r="O4" s="47" t="s">
        <v>3</v>
      </c>
      <c r="P4" s="47" t="s">
        <v>4</v>
      </c>
      <c r="Q4" s="47" t="s">
        <v>5</v>
      </c>
      <c r="R4" s="47" t="s">
        <v>6</v>
      </c>
      <c r="S4" s="47" t="s">
        <v>7</v>
      </c>
      <c r="T4" s="47" t="s">
        <v>31</v>
      </c>
      <c r="V4" s="47" t="s">
        <v>27</v>
      </c>
      <c r="W4" s="47" t="s">
        <v>28</v>
      </c>
      <c r="X4" s="47" t="s">
        <v>2</v>
      </c>
      <c r="Y4" s="47" t="s">
        <v>3</v>
      </c>
      <c r="Z4" s="47" t="s">
        <v>4</v>
      </c>
      <c r="AA4" s="47" t="s">
        <v>5</v>
      </c>
      <c r="AB4" s="47" t="s">
        <v>6</v>
      </c>
      <c r="AC4" s="47" t="s">
        <v>7</v>
      </c>
      <c r="AD4" s="47" t="s">
        <v>31</v>
      </c>
      <c r="AE4" t="s">
        <v>114</v>
      </c>
      <c r="AF4" t="s">
        <v>132</v>
      </c>
      <c r="AG4" t="s">
        <v>138</v>
      </c>
      <c r="AH4" t="s">
        <v>139</v>
      </c>
      <c r="AI4" t="s">
        <v>140</v>
      </c>
      <c r="AJ4" t="s">
        <v>141</v>
      </c>
      <c r="AK4" t="s">
        <v>142</v>
      </c>
      <c r="AL4" t="s">
        <v>143</v>
      </c>
      <c r="AM4" t="s">
        <v>144</v>
      </c>
      <c r="AN4" t="s">
        <v>145</v>
      </c>
      <c r="AO4" t="s">
        <v>146</v>
      </c>
      <c r="AP4" s="47" t="s">
        <v>12</v>
      </c>
    </row>
    <row r="5" spans="1:43">
      <c r="A5" s="96" t="s">
        <v>116</v>
      </c>
      <c r="B5" s="95">
        <f>AVERAGEIF('Profiles - Group B'!$G$6:$G$41, "Non-Smart", 'Task metrics - Group B'!CK$6:CK$41)</f>
        <v>0.26785714285714285</v>
      </c>
      <c r="C5" s="95">
        <f>AVERAGEIF('Profiles - Group B'!$G$6:$G$41, "Non-Smart", 'Task metrics - Group B'!CL$6:CL$41)</f>
        <v>0.4642857142857143</v>
      </c>
      <c r="D5" s="95">
        <f>AVERAGEIF('Profiles - Group B'!$G$6:$G$41, "Non-Smart", 'Task metrics - Group B'!CM$6:CM$41)</f>
        <v>0.19642857142857142</v>
      </c>
      <c r="E5" s="95">
        <f>AVERAGEIF('Profiles - Group B'!$G$6:$G$41, "Non-Smart", 'Task metrics - Group B'!CN$6:CN$41)</f>
        <v>0.375</v>
      </c>
      <c r="F5" s="95">
        <f>AVERAGEIF('Profiles - Group B'!$G$6:$G$41, "Non-Smart", 'Task metrics - Group B'!CO$6:CO$41)</f>
        <v>0.125</v>
      </c>
      <c r="G5" s="95">
        <f>AVERAGEIF('Profiles - Group B'!$G$6:$G$41, "Non-Smart", 'Task metrics - Group B'!CP$6:CP$41)</f>
        <v>0.30357142857142855</v>
      </c>
      <c r="H5" s="95">
        <f>AVERAGEIF('Profiles - Group B'!$G$6:$G$41, "Non-Smart", 'Task metrics - Group B'!CQ$6:CQ$41)</f>
        <v>0.16071428571428573</v>
      </c>
      <c r="I5" s="95">
        <f>AVERAGEIF('Profiles - Group B'!$G$6:$G$41, "Non-Smart", 'Task metrics - Group B'!CR$6:CR$41)</f>
        <v>0.6071428571428571</v>
      </c>
      <c r="J5" s="95">
        <f>AVERAGE(B5:I5)</f>
        <v>0.3125</v>
      </c>
      <c r="K5" s="96"/>
      <c r="L5" s="95">
        <f>AVERAGEIF('Profiles - Group B'!$G$6:$G$41, "Non-Smart", 'Task Time Calcs - Group B'!V$6:V$41)</f>
        <v>270.16666666666669</v>
      </c>
      <c r="M5" s="95">
        <f>AVERAGEIF('Profiles - Group B'!$G$6:$G$41, "Non-Smart", 'Task Time Calcs - Group B'!W$6:W$41)</f>
        <v>147.125</v>
      </c>
      <c r="N5" s="95">
        <f>AVERAGEIF('Profiles - Group B'!$G$6:$G$41, "Non-Smart", 'Task Time Calcs - Group B'!X$6:X$41)</f>
        <v>171.2</v>
      </c>
      <c r="O5" s="95">
        <f>AVERAGEIF('Profiles - Group B'!$G$6:$G$41, "Non-Smart", 'Task Time Calcs - Group B'!Y$6:Y$41)</f>
        <v>96.833333333333329</v>
      </c>
      <c r="P5" s="95">
        <f>AVERAGEIF('Profiles - Group B'!$G$6:$G$41, "Non-Smart", 'Task Time Calcs - Group B'!Z$6:Z$41)</f>
        <v>126.71428571428571</v>
      </c>
      <c r="Q5" s="95">
        <f>AVERAGEIF('Profiles - Group B'!$G$6:$G$41, "Non-Smart", 'Task Time Calcs - Group B'!AA$6:AA$41)</f>
        <v>95.4</v>
      </c>
      <c r="R5" s="95">
        <f>AVERAGEIF('Profiles - Group B'!$G$6:$G$41, "Non-Smart", 'Task Time Calcs - Group B'!AB$6:AB$41)</f>
        <v>80.5</v>
      </c>
      <c r="S5" s="95">
        <f>AVERAGEIF('Profiles - Group B'!$G$6:$G$41, "Non-Smart", 'Task Time Calcs - Group B'!AC$6:AC$41)</f>
        <v>112.6</v>
      </c>
      <c r="T5" s="95">
        <f>AVERAGE(L5:S5)</f>
        <v>137.5674107142857</v>
      </c>
      <c r="V5" s="95">
        <f>AVERAGEIF('Profiles - Group B'!$G$6:$G$41, "Non-Smart", 'Task metrics - Group B'!DE$6:DE$41)</f>
        <v>2.3571428571428572</v>
      </c>
      <c r="W5" s="95">
        <f>AVERAGEIF('Profiles - Group B'!$G$6:$G$41, "Non-Smart", 'Task metrics - Group B'!DF$6:DF$41)</f>
        <v>2.5</v>
      </c>
      <c r="X5" s="95">
        <f>AVERAGEIF('Profiles - Group B'!$G$6:$G$41, "Non-Smart", 'Task metrics - Group B'!DG$6:DG$41)</f>
        <v>2.1428571428571428</v>
      </c>
      <c r="Y5" s="95">
        <f>AVERAGEIF('Profiles - Group B'!$G$6:$G$41, "Non-Smart", 'Task metrics - Group B'!DH$6:DH$41)</f>
        <v>2.5</v>
      </c>
      <c r="Z5" s="95">
        <f>AVERAGEIF('Profiles - Group B'!$G$6:$G$41, "Non-Smart", 'Task metrics - Group B'!DI$6:DI$41)</f>
        <v>2.0714285714285716</v>
      </c>
      <c r="AA5" s="95">
        <f>AVERAGEIF('Profiles - Group B'!$G$6:$G$41, "Non-Smart", 'Task metrics - Group B'!DJ$6:DJ$41)</f>
        <v>2.1428571428571428</v>
      </c>
      <c r="AB5" s="95">
        <f>AVERAGEIF('Profiles - Group B'!$G$6:$G$41, "Non-Smart", 'Task metrics - Group B'!DK$6:DK$41)</f>
        <v>2.5</v>
      </c>
      <c r="AC5" s="95">
        <f>AVERAGEIF('Profiles - Group B'!$G$6:$G$41, "Non-Smart", 'Task metrics - Group B'!DL$6:DL$41)</f>
        <v>3</v>
      </c>
      <c r="AD5" s="95">
        <f>AVERAGE(V5:AC5)</f>
        <v>2.4017857142857144</v>
      </c>
      <c r="AP5" s="95">
        <f>AVERAGEIF('Profiles - Group B'!$G$6:$G$41, "Non-Smart", 'Task metrics - Group B'!DY$6:DY$41)</f>
        <v>39.642857142857146</v>
      </c>
    </row>
    <row r="6" spans="1:43">
      <c r="A6" s="96" t="s">
        <v>115</v>
      </c>
      <c r="B6" s="95">
        <f>AVERAGEIF('Profiles - Group B'!$G$6:$G$41, "&lt;&gt;Non-Smart", 'Task metrics - Group B'!CK$6:CK$41)</f>
        <v>0.25</v>
      </c>
      <c r="C6" s="95">
        <f>AVERAGEIF('Profiles - Group B'!$G$6:$G$41, "&lt;&gt;Non-Smart", 'Task metrics - Group B'!CL$6:CL$41)</f>
        <v>0.47727272727272729</v>
      </c>
      <c r="D6" s="95">
        <f>AVERAGEIF('Profiles - Group B'!$G$6:$G$41, "&lt;&gt;Non-Smart", 'Task metrics - Group B'!CM$6:CM$41)</f>
        <v>0.30681818181818182</v>
      </c>
      <c r="E6" s="95">
        <f>AVERAGEIF('Profiles - Group B'!$G$6:$G$41, "&lt;&gt;Non-Smart", 'Task metrics - Group B'!CN$6:CN$41)</f>
        <v>0.51136363636363635</v>
      </c>
      <c r="F6" s="95">
        <f>AVERAGEIF('Profiles - Group B'!$G$6:$G$41, "&lt;&gt;Non-Smart", 'Task metrics - Group B'!CO$6:CO$41)</f>
        <v>0.125</v>
      </c>
      <c r="G6" s="95">
        <f>AVERAGEIF('Profiles - Group B'!$G$6:$G$41, "&lt;&gt;Non-Smart", 'Task metrics - Group B'!CP$6:CP$41)</f>
        <v>0.31818181818181818</v>
      </c>
      <c r="H6" s="95">
        <f>AVERAGEIF('Profiles - Group B'!$G$6:$G$41, "&lt;&gt;Non-Smart", 'Task metrics - Group B'!CQ$6:CQ$41)</f>
        <v>0.35227272727272729</v>
      </c>
      <c r="I6" s="95">
        <f>AVERAGEIF('Profiles - Group B'!$G$6:$G$41, "&lt;&gt;Non-Smart", 'Task metrics - Group B'!CR$6:CR$41)</f>
        <v>0.75</v>
      </c>
      <c r="J6" s="95">
        <f>AVERAGE(B6:I6)</f>
        <v>0.38636363636363635</v>
      </c>
      <c r="K6" s="96"/>
      <c r="L6" s="95">
        <f>AVERAGEIF('Profiles - Group B'!$G$6:$G$41, "&lt;&gt;Non-Smart", 'Task Time Calcs - Group B'!V$6:V$41)</f>
        <v>251.6</v>
      </c>
      <c r="M6" s="95">
        <f>AVERAGEIF('Profiles - Group B'!$G$6:$G$41, "&lt;&gt;Non-Smart", 'Task Time Calcs - Group B'!W$6:W$41)</f>
        <v>97</v>
      </c>
      <c r="N6" s="95">
        <f>AVERAGEIF('Profiles - Group B'!$G$6:$G$41, "&lt;&gt;Non-Smart", 'Task Time Calcs - Group B'!X$6:X$41)</f>
        <v>160.06666666666666</v>
      </c>
      <c r="O6" s="95">
        <f>AVERAGEIF('Profiles - Group B'!$G$6:$G$41, "&lt;&gt;Non-Smart", 'Task Time Calcs - Group B'!Y$6:Y$41)</f>
        <v>86.333333333333329</v>
      </c>
      <c r="P6" s="95">
        <f>AVERAGEIF('Profiles - Group B'!$G$6:$G$41, "&lt;&gt;Non-Smart", 'Task Time Calcs - Group B'!Z$6:Z$41)</f>
        <v>75.36363636363636</v>
      </c>
      <c r="Q6" s="95">
        <f>AVERAGEIF('Profiles - Group B'!$G$6:$G$41, "&lt;&gt;Non-Smart", 'Task Time Calcs - Group B'!AA$6:AA$41)</f>
        <v>125.1</v>
      </c>
      <c r="R6" s="95">
        <f>AVERAGEIF('Profiles - Group B'!$G$6:$G$41, "&lt;&gt;Non-Smart", 'Task Time Calcs - Group B'!AB$6:AB$41)</f>
        <v>91.384615384615387</v>
      </c>
      <c r="S6" s="95">
        <f>AVERAGEIF('Profiles - Group B'!$G$6:$G$41, "&lt;&gt;Non-Smart", 'Task Time Calcs - Group B'!AC$6:AC$41)</f>
        <v>84.944444444444443</v>
      </c>
      <c r="T6" s="95">
        <f>AVERAGE(L6:S6)</f>
        <v>121.47408702408703</v>
      </c>
      <c r="V6" s="95">
        <f>AVERAGEIF('Profiles - Group B'!$G$6:$G$41, "&lt;&gt;Non-Smart", 'Task metrics - Group B'!DE$6:DE$41)</f>
        <v>2.2272727272727271</v>
      </c>
      <c r="W6" s="95">
        <f>AVERAGEIF('Profiles - Group B'!$G$6:$G$41, "&lt;&gt;Non-Smart", 'Task metrics - Group B'!DF$6:DF$41)</f>
        <v>3</v>
      </c>
      <c r="X6" s="95">
        <f>AVERAGEIF('Profiles - Group B'!$G$6:$G$41, "&lt;&gt;Non-Smart", 'Task metrics - Group B'!DG$6:DG$41)</f>
        <v>2.7272727272727271</v>
      </c>
      <c r="Y6" s="95">
        <f>AVERAGEIF('Profiles - Group B'!$G$6:$G$41, "&lt;&gt;Non-Smart", 'Task metrics - Group B'!DH$6:DH$41)</f>
        <v>2.9545454545454546</v>
      </c>
      <c r="Z6" s="95">
        <f>AVERAGEIF('Profiles - Group B'!$G$6:$G$41, "&lt;&gt;Non-Smart", 'Task metrics - Group B'!DI$6:DI$41)</f>
        <v>2.5909090909090908</v>
      </c>
      <c r="AA6" s="95">
        <f>AVERAGEIF('Profiles - Group B'!$G$6:$G$41, "&lt;&gt;Non-Smart", 'Task metrics - Group B'!DJ$6:DJ$41)</f>
        <v>2.1363636363636362</v>
      </c>
      <c r="AB6" s="95">
        <f>AVERAGEIF('Profiles - Group B'!$G$6:$G$41, "&lt;&gt;Non-Smart", 'Task metrics - Group B'!DK$6:DK$41)</f>
        <v>2.6818181818181817</v>
      </c>
      <c r="AC6" s="95">
        <f>AVERAGEIF('Profiles - Group B'!$G$6:$G$41, "&lt;&gt;Non-Smart", 'Task metrics - Group B'!DL$6:DL$41)</f>
        <v>3.3181818181818183</v>
      </c>
      <c r="AD6" s="95">
        <f>AVERAGE(V6:AC6)</f>
        <v>2.704545454545455</v>
      </c>
      <c r="AP6" s="95">
        <f>AVERAGEIF('Profiles - Group B'!$G$6:$G$41, "&lt;&gt;Non-Smart", 'Task metrics - Group B'!DY$6:DY$41)</f>
        <v>46.363636363636367</v>
      </c>
    </row>
    <row r="8" spans="1:43">
      <c r="B8" s="47" t="s">
        <v>27</v>
      </c>
      <c r="C8" s="47" t="s">
        <v>28</v>
      </c>
      <c r="D8" s="47" t="s">
        <v>2</v>
      </c>
      <c r="E8" s="47" t="s">
        <v>3</v>
      </c>
      <c r="F8" s="47" t="s">
        <v>4</v>
      </c>
      <c r="G8" s="47" t="s">
        <v>5</v>
      </c>
      <c r="H8" s="47" t="s">
        <v>6</v>
      </c>
      <c r="I8" s="47" t="s">
        <v>7</v>
      </c>
      <c r="J8" s="47" t="s">
        <v>31</v>
      </c>
      <c r="L8" s="47" t="s">
        <v>27</v>
      </c>
      <c r="M8" s="47" t="s">
        <v>28</v>
      </c>
      <c r="N8" s="47" t="s">
        <v>2</v>
      </c>
      <c r="O8" s="47" t="s">
        <v>3</v>
      </c>
      <c r="P8" s="47" t="s">
        <v>4</v>
      </c>
      <c r="Q8" s="47" t="s">
        <v>5</v>
      </c>
      <c r="R8" s="47" t="s">
        <v>6</v>
      </c>
      <c r="S8" s="47" t="s">
        <v>7</v>
      </c>
      <c r="T8" s="47" t="s">
        <v>31</v>
      </c>
      <c r="V8" s="47" t="s">
        <v>27</v>
      </c>
      <c r="W8" s="47" t="s">
        <v>28</v>
      </c>
      <c r="X8" s="47" t="s">
        <v>2</v>
      </c>
      <c r="Y8" s="47" t="s">
        <v>3</v>
      </c>
      <c r="Z8" s="47" t="s">
        <v>4</v>
      </c>
      <c r="AA8" s="47" t="s">
        <v>5</v>
      </c>
      <c r="AB8" s="47" t="s">
        <v>6</v>
      </c>
      <c r="AC8" s="47" t="s">
        <v>7</v>
      </c>
      <c r="AD8" s="47" t="s">
        <v>31</v>
      </c>
      <c r="AP8" s="95"/>
    </row>
    <row r="9" spans="1:43">
      <c r="A9" s="96" t="s">
        <v>117</v>
      </c>
      <c r="B9" s="95">
        <f>AVERAGEIF('Profiles - Group B'!$E$6:$E$41, "18 to 25", 'Task metrics - Group B'!CK$6:CK$41)</f>
        <v>0.5</v>
      </c>
      <c r="C9" s="95">
        <f>AVERAGEIF('Profiles - Group B'!$E$6:$E$41, "18 to 25", 'Task metrics - Group B'!CL$6:CL$41)</f>
        <v>0.55000000000000004</v>
      </c>
      <c r="D9" s="95">
        <f>AVERAGEIF('Profiles - Group B'!$E$6:$E$41, "18 to 25", 'Task metrics - Group B'!CM$6:CM$41)</f>
        <v>0.65</v>
      </c>
      <c r="E9" s="95">
        <f>AVERAGEIF('Profiles - Group B'!$E$6:$E$41, "18 to 25", 'Task metrics - Group B'!CN$6:CN$41)</f>
        <v>0.5</v>
      </c>
      <c r="F9" s="95">
        <f>AVERAGEIF('Profiles - Group B'!$E$6:$E$41, "18 to 25", 'Task metrics - Group B'!CO$6:CO$41)</f>
        <v>0.2</v>
      </c>
      <c r="G9" s="95">
        <f>AVERAGEIF('Profiles - Group B'!$E$6:$E$41, "18 to 25", 'Task metrics - Group B'!CP$6:CP$41)</f>
        <v>0.4</v>
      </c>
      <c r="H9" s="95">
        <f>AVERAGEIF('Profiles - Group B'!$E$6:$E$41, "18 to 25", 'Task metrics - Group B'!CQ$6:CQ$41)</f>
        <v>0.5</v>
      </c>
      <c r="I9" s="95">
        <f>AVERAGEIF('Profiles - Group B'!$E$6:$E$41, "18 to 25", 'Task metrics - Group B'!CR$6:CR$41)</f>
        <v>0.8</v>
      </c>
      <c r="J9" s="95">
        <f t="shared" ref="J9:J14" si="0">AVERAGE(B9:I9)</f>
        <v>0.51250000000000007</v>
      </c>
      <c r="L9" s="95">
        <f>AVERAGEIF('Profiles - Group B'!$E$6:$E$41, "18 to 25", 'Task Time Calcs - Group B'!V$6:V$41)</f>
        <v>169.5</v>
      </c>
      <c r="M9" s="95">
        <f>AVERAGEIF('Profiles - Group B'!$E$6:$E$41, "18 to 25", 'Task Time Calcs - Group B'!W$6:W$41)</f>
        <v>68.599999999999994</v>
      </c>
      <c r="N9" s="95">
        <f>AVERAGEIF('Profiles - Group B'!$E$6:$E$41, "18 to 25", 'Task Time Calcs - Group B'!X$6:X$41)</f>
        <v>126.75</v>
      </c>
      <c r="O9" s="95">
        <f>AVERAGEIF('Profiles - Group B'!$E$6:$E$41, "18 to 25", 'Task Time Calcs - Group B'!Y$6:Y$41)</f>
        <v>42</v>
      </c>
      <c r="P9" s="95">
        <f>AVERAGEIF('Profiles - Group B'!$E$6:$E$41, "18 to 25", 'Task Time Calcs - Group B'!Z$6:Z$41)</f>
        <v>74.25</v>
      </c>
      <c r="Q9" s="95">
        <f>AVERAGEIF('Profiles - Group B'!$E$6:$E$41, "18 to 25", 'Task Time Calcs - Group B'!AA$6:AA$41)</f>
        <v>59.5</v>
      </c>
      <c r="R9" s="95">
        <f>AVERAGEIF('Profiles - Group B'!$E$6:$E$41, "18 to 25", 'Task Time Calcs - Group B'!AB$6:AB$41)</f>
        <v>44</v>
      </c>
      <c r="S9" s="95">
        <f>AVERAGEIF('Profiles - Group B'!$E$6:$E$41, "18 to 25", 'Task Time Calcs - Group B'!AC$6:AC$41)</f>
        <v>50</v>
      </c>
      <c r="T9" s="95">
        <f t="shared" ref="T9:T14" si="1">AVERAGE(L9:S9)</f>
        <v>79.325000000000003</v>
      </c>
      <c r="V9" s="95">
        <f>AVERAGEIF('Profiles - Group B'!$E$6:$E$41, "18 to 25", 'Task metrics - Group B'!DE$6:DE$41)</f>
        <v>3</v>
      </c>
      <c r="W9" s="95">
        <f>AVERAGEIF('Profiles - Group B'!$E$6:$E$41, "18 to 25", 'Task metrics - Group B'!DF$6:DF$41)</f>
        <v>3.2</v>
      </c>
      <c r="X9" s="95">
        <f>AVERAGEIF('Profiles - Group B'!$E$6:$E$41, "18 to 25", 'Task metrics - Group B'!DG$6:DG$41)</f>
        <v>3.4</v>
      </c>
      <c r="Y9" s="95">
        <f>AVERAGEIF('Profiles - Group B'!$E$6:$E$41, "18 to 25", 'Task metrics - Group B'!DH$6:DH$41)</f>
        <v>3.4</v>
      </c>
      <c r="Z9" s="95">
        <f>AVERAGEIF('Profiles - Group B'!$E$6:$E$41, "18 to 25", 'Task metrics - Group B'!DI$6:DI$41)</f>
        <v>3.2</v>
      </c>
      <c r="AA9" s="95">
        <f>AVERAGEIF('Profiles - Group B'!$E$6:$E$41, "18 to 25", 'Task metrics - Group B'!DJ$6:DJ$41)</f>
        <v>2.4</v>
      </c>
      <c r="AB9" s="95">
        <f>AVERAGEIF('Profiles - Group B'!$E$6:$E$41, "18 to 25", 'Task metrics - Group B'!DK$6:DK$41)</f>
        <v>3</v>
      </c>
      <c r="AC9" s="95">
        <f>AVERAGEIF('Profiles - Group B'!$E$6:$E$41, "18 to 25", 'Task metrics - Group B'!DL$6:DL$41)</f>
        <v>3.8</v>
      </c>
      <c r="AD9" s="95">
        <f t="shared" ref="AD9:AD14" si="2">AVERAGE(V9:AC9)</f>
        <v>3.1749999999999998</v>
      </c>
      <c r="AP9" s="95">
        <f>AVERAGEIF('Profiles - Group B'!$E$6:$E$41, "18 to 25", 'Task metrics - Group B'!DY$6:DY$41)</f>
        <v>60.5</v>
      </c>
    </row>
    <row r="10" spans="1:43">
      <c r="A10" s="96" t="s">
        <v>118</v>
      </c>
      <c r="B10" s="95">
        <f>AVERAGEIF('Profiles - Group B'!$E$6:$E$41, "26 to 35", 'Task metrics - Group B'!CK$6:CK$41)</f>
        <v>0.85</v>
      </c>
      <c r="C10" s="95">
        <f>AVERAGEIF('Profiles - Group B'!$E$6:$E$41, "26 to 35", 'Task metrics - Group B'!CL$6:CL$41)</f>
        <v>1</v>
      </c>
      <c r="D10" s="95">
        <f>AVERAGEIF('Profiles - Group B'!$E$6:$E$41, "26 to 35", 'Task metrics - Group B'!CM$6:CM$41)</f>
        <v>0.7</v>
      </c>
      <c r="E10" s="95">
        <f>AVERAGEIF('Profiles - Group B'!$E$6:$E$41, "26 to 35", 'Task metrics - Group B'!CN$6:CN$41)</f>
        <v>0.6</v>
      </c>
      <c r="F10" s="95">
        <f>AVERAGEIF('Profiles - Group B'!$E$6:$E$41, "26 to 35", 'Task metrics - Group B'!CO$6:CO$41)</f>
        <v>0.2</v>
      </c>
      <c r="G10" s="95">
        <f>AVERAGEIF('Profiles - Group B'!$E$6:$E$41, "26 to 35", 'Task metrics - Group B'!CP$6:CP$41)</f>
        <v>0.45</v>
      </c>
      <c r="H10" s="95">
        <f>AVERAGEIF('Profiles - Group B'!$E$6:$E$41, "26 to 35", 'Task metrics - Group B'!CQ$6:CQ$41)</f>
        <v>0.35</v>
      </c>
      <c r="I10" s="95">
        <f>AVERAGEIF('Profiles - Group B'!$E$6:$E$41, "26 to 35", 'Task metrics - Group B'!CR$6:CR$41)</f>
        <v>1</v>
      </c>
      <c r="J10" s="95">
        <f t="shared" si="0"/>
        <v>0.64375000000000004</v>
      </c>
      <c r="K10" s="95"/>
      <c r="L10" s="95">
        <f>AVERAGEIF('Profiles - Group B'!$E$6:$E$41, "26 to 35", 'Task Time Calcs - Group B'!V$6:V$41)</f>
        <v>271.8</v>
      </c>
      <c r="M10" s="95">
        <f>AVERAGEIF('Profiles - Group B'!$E$6:$E$41, "26 to 35", 'Task Time Calcs - Group B'!W$6:W$41)</f>
        <v>79.8</v>
      </c>
      <c r="N10" s="95">
        <f>AVERAGEIF('Profiles - Group B'!$E$6:$E$41, "26 to 35", 'Task Time Calcs - Group B'!X$6:X$41)</f>
        <v>166</v>
      </c>
      <c r="O10" s="95">
        <f>AVERAGEIF('Profiles - Group B'!$E$6:$E$41, "26 to 35", 'Task Time Calcs - Group B'!Y$6:Y$41)</f>
        <v>71</v>
      </c>
      <c r="P10" s="95">
        <f>AVERAGEIF('Profiles - Group B'!$E$6:$E$41, "26 to 35", 'Task Time Calcs - Group B'!Z$6:Z$41)</f>
        <v>88</v>
      </c>
      <c r="Q10" s="95">
        <f>AVERAGEIF('Profiles - Group B'!$E$6:$E$41, "26 to 35", 'Task Time Calcs - Group B'!AA$6:AA$41)</f>
        <v>120.33333333333333</v>
      </c>
      <c r="R10" s="95">
        <f>AVERAGEIF('Profiles - Group B'!$E$6:$E$41, "26 to 35", 'Task Time Calcs - Group B'!AB$6:AB$41)</f>
        <v>93.25</v>
      </c>
      <c r="S10" s="95">
        <f>AVERAGEIF('Profiles - Group B'!$E$6:$E$41, "26 to 35", 'Task Time Calcs - Group B'!AC$6:AC$41)</f>
        <v>60</v>
      </c>
      <c r="T10" s="95">
        <f t="shared" si="1"/>
        <v>118.77291666666667</v>
      </c>
      <c r="U10" s="95"/>
      <c r="V10" s="95">
        <f>AVERAGEIF('Profiles - Group B'!$E$6:$E$41, "26 to 35", 'Task metrics - Group B'!DE$6:DE$41)</f>
        <v>3.4</v>
      </c>
      <c r="W10" s="95">
        <f>AVERAGEIF('Profiles - Group B'!$E$6:$E$41, "26 to 35", 'Task metrics - Group B'!DF$6:DF$41)</f>
        <v>4.4000000000000004</v>
      </c>
      <c r="X10" s="95">
        <f>AVERAGEIF('Profiles - Group B'!$E$6:$E$41, "26 to 35", 'Task metrics - Group B'!DG$6:DG$41)</f>
        <v>3</v>
      </c>
      <c r="Y10" s="95">
        <f>AVERAGEIF('Profiles - Group B'!$E$6:$E$41, "26 to 35", 'Task metrics - Group B'!DH$6:DH$41)</f>
        <v>3.2</v>
      </c>
      <c r="Z10" s="95">
        <f>AVERAGEIF('Profiles - Group B'!$E$6:$E$41, "26 to 35", 'Task metrics - Group B'!DI$6:DI$41)</f>
        <v>3.4</v>
      </c>
      <c r="AA10" s="95">
        <f>AVERAGEIF('Profiles - Group B'!$E$6:$E$41, "26 to 35", 'Task metrics - Group B'!DJ$6:DJ$41)</f>
        <v>2.6</v>
      </c>
      <c r="AB10" s="95">
        <f>AVERAGEIF('Profiles - Group B'!$E$6:$E$41, "26 to 35", 'Task metrics - Group B'!DK$6:DK$41)</f>
        <v>3.8</v>
      </c>
      <c r="AC10" s="95">
        <f>AVERAGEIF('Profiles - Group B'!$E$6:$E$41, "26 to 35", 'Task metrics - Group B'!DL$6:DL$41)</f>
        <v>4</v>
      </c>
      <c r="AD10" s="95">
        <f t="shared" si="2"/>
        <v>3.4750000000000001</v>
      </c>
      <c r="AE10" s="95">
        <f>AVERAGE(V9:AC10)</f>
        <v>3.3249999999999997</v>
      </c>
      <c r="AP10" s="95">
        <f>AVERAGEIF('Profiles - Group B'!$E$6:$E$41, "26 to 35", 'Task metrics - Group B'!DY$6:DY$41)</f>
        <v>63</v>
      </c>
      <c r="AQ10" s="95"/>
    </row>
    <row r="11" spans="1:43">
      <c r="A11" s="96" t="s">
        <v>119</v>
      </c>
      <c r="B11" s="95">
        <f>AVERAGEIF('Profiles - Group B'!$E$6:$E$41, "36 to 45", 'Task metrics - Group B'!CK$6:CK$41)</f>
        <v>0.10714285714285714</v>
      </c>
      <c r="C11" s="95">
        <f>AVERAGEIF('Profiles - Group B'!$E$6:$E$41, "36 to 45", 'Task metrics - Group B'!CL$6:CL$41)</f>
        <v>0.4642857142857143</v>
      </c>
      <c r="D11" s="95">
        <f>AVERAGEIF('Profiles - Group B'!$E$6:$E$41, "36 to 45", 'Task metrics - Group B'!CM$6:CM$41)</f>
        <v>0.14285714285714285</v>
      </c>
      <c r="E11" s="95">
        <f>AVERAGEIF('Profiles - Group B'!$E$6:$E$41, "36 to 45", 'Task metrics - Group B'!CN$6:CN$41)</f>
        <v>0.6071428571428571</v>
      </c>
      <c r="F11" s="95">
        <f>AVERAGEIF('Profiles - Group B'!$E$6:$E$41, "36 to 45", 'Task metrics - Group B'!CO$6:CO$41)</f>
        <v>0.14285714285714285</v>
      </c>
      <c r="G11" s="95">
        <f>AVERAGEIF('Profiles - Group B'!$E$6:$E$41, "36 to 45", 'Task metrics - Group B'!CP$6:CP$41)</f>
        <v>0.17857142857142858</v>
      </c>
      <c r="H11" s="95">
        <f>AVERAGEIF('Profiles - Group B'!$E$6:$E$41, "36 to 45", 'Task metrics - Group B'!CQ$6:CQ$41)</f>
        <v>0.39285714285714285</v>
      </c>
      <c r="I11" s="95">
        <f>AVERAGEIF('Profiles - Group B'!$E$6:$E$41, "36 to 45", 'Task metrics - Group B'!CR$6:CR$41)</f>
        <v>0.8928571428571429</v>
      </c>
      <c r="J11" s="95">
        <f t="shared" si="0"/>
        <v>0.36607142857142855</v>
      </c>
      <c r="L11" s="95">
        <f>AVERAGEIF('Profiles - Group B'!$E$6:$E$41, "36 to 45", 'Task Time Calcs - Group B'!V$6:V$41)</f>
        <v>300</v>
      </c>
      <c r="M11" s="95">
        <f>AVERAGEIF('Profiles - Group B'!$E$6:$E$41, "36 to 45", 'Task Time Calcs - Group B'!W$6:W$41)</f>
        <v>173.25</v>
      </c>
      <c r="N11" s="95">
        <f>AVERAGEIF('Profiles - Group B'!$E$6:$E$41, "36 to 45", 'Task Time Calcs - Group B'!X$6:X$41)</f>
        <v>165</v>
      </c>
      <c r="O11" s="95">
        <f>AVERAGEIF('Profiles - Group B'!$E$6:$E$41, "36 to 45", 'Task Time Calcs - Group B'!Y$6:Y$41)</f>
        <v>72.400000000000006</v>
      </c>
      <c r="P11" s="95">
        <f>AVERAGEIF('Profiles - Group B'!$E$6:$E$41, "36 to 45", 'Task Time Calcs - Group B'!Z$6:Z$41)</f>
        <v>71.5</v>
      </c>
      <c r="Q11" s="95">
        <f>AVERAGEIF('Profiles - Group B'!$E$6:$E$41, "36 to 45", 'Task Time Calcs - Group B'!AA$6:AA$41)</f>
        <v>162.5</v>
      </c>
      <c r="R11" s="95">
        <f>AVERAGEIF('Profiles - Group B'!$E$6:$E$41, "36 to 45", 'Task Time Calcs - Group B'!AB$6:AB$41)</f>
        <v>102.2</v>
      </c>
      <c r="S11" s="95">
        <f>AVERAGEIF('Profiles - Group B'!$E$6:$E$41, "36 to 45", 'Task Time Calcs - Group B'!AC$6:AC$41)</f>
        <v>86.714285714285708</v>
      </c>
      <c r="T11" s="95">
        <f t="shared" si="1"/>
        <v>141.69553571428571</v>
      </c>
      <c r="V11" s="95">
        <f>AVERAGEIF('Profiles - Group B'!$E$6:$E$41, "36 to 45", 'Task metrics - Group B'!DE$6:DE$41)</f>
        <v>1.5714285714285714</v>
      </c>
      <c r="W11" s="95">
        <f>AVERAGEIF('Profiles - Group B'!$E$6:$E$41, "36 to 45", 'Task metrics - Group B'!DF$6:DF$41)</f>
        <v>2</v>
      </c>
      <c r="X11" s="95">
        <f>AVERAGEIF('Profiles - Group B'!$E$6:$E$41, "36 to 45", 'Task metrics - Group B'!DG$6:DG$41)</f>
        <v>2</v>
      </c>
      <c r="Y11" s="95">
        <f>AVERAGEIF('Profiles - Group B'!$E$6:$E$41, "36 to 45", 'Task metrics - Group B'!DH$6:DH$41)</f>
        <v>3.1428571428571428</v>
      </c>
      <c r="Z11" s="95">
        <f>AVERAGEIF('Profiles - Group B'!$E$6:$E$41, "36 to 45", 'Task metrics - Group B'!DI$6:DI$41)</f>
        <v>2.5714285714285716</v>
      </c>
      <c r="AA11" s="95">
        <f>AVERAGEIF('Profiles - Group B'!$E$6:$E$41, "36 to 45", 'Task metrics - Group B'!DJ$6:DJ$41)</f>
        <v>1.7142857142857142</v>
      </c>
      <c r="AB11" s="95">
        <f>AVERAGEIF('Profiles - Group B'!$E$6:$E$41, "36 to 45", 'Task metrics - Group B'!DK$6:DK$41)</f>
        <v>3.1428571428571428</v>
      </c>
      <c r="AC11" s="95">
        <f>AVERAGEIF('Profiles - Group B'!$E$6:$E$41, "36 to 45", 'Task metrics - Group B'!DL$6:DL$41)</f>
        <v>3.4285714285714284</v>
      </c>
      <c r="AD11" s="95">
        <f t="shared" si="2"/>
        <v>2.4464285714285712</v>
      </c>
      <c r="AP11" s="95">
        <f>AVERAGEIF('Profiles - Group B'!$E$6:$E$41, "36 to 45", 'Task metrics - Group B'!DY$6:DY$41)</f>
        <v>36.785714285714285</v>
      </c>
    </row>
    <row r="12" spans="1:43">
      <c r="A12" s="96" t="s">
        <v>120</v>
      </c>
      <c r="B12" s="95">
        <f>AVERAGEIF('Profiles - Group B'!$E$6:$E$41, "46 to 55", 'Task metrics - Group B'!CK$6:CK$41)</f>
        <v>6.25E-2</v>
      </c>
      <c r="C12" s="95">
        <f>AVERAGEIF('Profiles - Group B'!$E$6:$E$41, "46 to 55", 'Task metrics - Group B'!CL$6:CL$41)</f>
        <v>0.3125</v>
      </c>
      <c r="D12" s="95">
        <f>AVERAGEIF('Profiles - Group B'!$E$6:$E$41, "46 to 55", 'Task metrics - Group B'!CM$6:CM$41)</f>
        <v>0.125</v>
      </c>
      <c r="E12" s="95">
        <f>AVERAGEIF('Profiles - Group B'!$E$6:$E$41, "46 to 55", 'Task metrics - Group B'!CN$6:CN$41)</f>
        <v>0.375</v>
      </c>
      <c r="F12" s="95">
        <f>AVERAGEIF('Profiles - Group B'!$E$6:$E$41, "46 to 55", 'Task metrics - Group B'!CO$6:CO$41)</f>
        <v>9.375E-2</v>
      </c>
      <c r="G12" s="95">
        <f>AVERAGEIF('Profiles - Group B'!$E$6:$E$41, "46 to 55", 'Task metrics - Group B'!CP$6:CP$41)</f>
        <v>0.3125</v>
      </c>
      <c r="H12" s="95">
        <f>AVERAGEIF('Profiles - Group B'!$E$6:$E$41, "46 to 55", 'Task metrics - Group B'!CQ$6:CQ$41)</f>
        <v>0.1875</v>
      </c>
      <c r="I12" s="95">
        <f>AVERAGEIF('Profiles - Group B'!$E$6:$E$41, "46 to 55", 'Task metrics - Group B'!CR$6:CR$41)</f>
        <v>0.4375</v>
      </c>
      <c r="J12" s="95">
        <f t="shared" si="0"/>
        <v>0.23828125</v>
      </c>
      <c r="K12" s="95"/>
      <c r="L12" s="95">
        <f>AVERAGEIF('Profiles - Group B'!$E$6:$E$41, "46 to 55", 'Task Time Calcs - Group B'!V$6:V$41)</f>
        <v>300</v>
      </c>
      <c r="M12" s="95">
        <f>AVERAGEIF('Profiles - Group B'!$E$6:$E$41, "46 to 55", 'Task Time Calcs - Group B'!W$6:W$41)</f>
        <v>123</v>
      </c>
      <c r="N12" s="95">
        <f>AVERAGEIF('Profiles - Group B'!$E$6:$E$41, "46 to 55", 'Task Time Calcs - Group B'!X$6:X$41)</f>
        <v>180</v>
      </c>
      <c r="O12" s="95">
        <f>AVERAGEIF('Profiles - Group B'!$E$6:$E$41, "46 to 55", 'Task Time Calcs - Group B'!Y$6:Y$41)</f>
        <v>106</v>
      </c>
      <c r="P12" s="95">
        <f>AVERAGEIF('Profiles - Group B'!$E$6:$E$41, "46 to 55", 'Task Time Calcs - Group B'!Z$6:Z$41)</f>
        <v>108.66666666666667</v>
      </c>
      <c r="Q12" s="95">
        <f>AVERAGEIF('Profiles - Group B'!$E$6:$E$41, "46 to 55", 'Task Time Calcs - Group B'!AA$6:AA$41)</f>
        <v>118.25</v>
      </c>
      <c r="R12" s="95">
        <f>AVERAGEIF('Profiles - Group B'!$E$6:$E$41, "46 to 55", 'Task Time Calcs - Group B'!AB$6:AB$41)</f>
        <v>103.66666666666667</v>
      </c>
      <c r="S12" s="95">
        <f>AVERAGEIF('Profiles - Group B'!$E$6:$E$41, "46 to 55", 'Task Time Calcs - Group B'!AC$6:AC$41)</f>
        <v>126.4</v>
      </c>
      <c r="T12" s="95">
        <f t="shared" si="1"/>
        <v>145.74791666666667</v>
      </c>
      <c r="U12" s="95"/>
      <c r="V12" s="95">
        <f>AVERAGEIF('Profiles - Group B'!$E$6:$E$41, "46 to 55", 'Task metrics - Group B'!DE$6:DE$41)</f>
        <v>1.625</v>
      </c>
      <c r="W12" s="95">
        <f>AVERAGEIF('Profiles - Group B'!$E$6:$E$41, "46 to 55", 'Task metrics - Group B'!DF$6:DF$41)</f>
        <v>2.5</v>
      </c>
      <c r="X12" s="95">
        <f>AVERAGEIF('Profiles - Group B'!$E$6:$E$41, "46 to 55", 'Task metrics - Group B'!DG$6:DG$41)</f>
        <v>2.625</v>
      </c>
      <c r="Y12" s="95">
        <f>AVERAGEIF('Profiles - Group B'!$E$6:$E$41, "46 to 55", 'Task metrics - Group B'!DH$6:DH$41)</f>
        <v>2.5</v>
      </c>
      <c r="Z12" s="95">
        <f>AVERAGEIF('Profiles - Group B'!$E$6:$E$41, "46 to 55", 'Task metrics - Group B'!DI$6:DI$41)</f>
        <v>2</v>
      </c>
      <c r="AA12" s="95">
        <f>AVERAGEIF('Profiles - Group B'!$E$6:$E$41, "46 to 55", 'Task metrics - Group B'!DJ$6:DJ$41)</f>
        <v>2.375</v>
      </c>
      <c r="AB12" s="95">
        <f>AVERAGEIF('Profiles - Group B'!$E$6:$E$41, "46 to 55", 'Task metrics - Group B'!DK$6:DK$41)</f>
        <v>2.25</v>
      </c>
      <c r="AC12" s="95">
        <f>AVERAGEIF('Profiles - Group B'!$E$6:$E$41, "46 to 55", 'Task metrics - Group B'!DL$6:DL$41)</f>
        <v>2.5</v>
      </c>
      <c r="AD12" s="95">
        <f t="shared" si="2"/>
        <v>2.296875</v>
      </c>
      <c r="AE12" s="95">
        <f>AVERAGE(V11:AC12)</f>
        <v>2.3716517857142856</v>
      </c>
      <c r="AP12" s="95">
        <f>AVERAGEIF('Profiles - Group B'!$E$6:$E$41, "46 to 55", 'Task metrics - Group B'!DY$6:DY$41)</f>
        <v>38.125</v>
      </c>
      <c r="AQ12" s="95"/>
    </row>
    <row r="13" spans="1:43">
      <c r="A13" s="96" t="s">
        <v>121</v>
      </c>
      <c r="B13" s="95">
        <f>AVERAGEIF('Profiles - Group B'!$E$6:$E$41, "56 to 65", 'Task metrics - Group B'!CK$6:CK$41)</f>
        <v>0.20833333333333334</v>
      </c>
      <c r="C13" s="95">
        <f>AVERAGEIF('Profiles - Group B'!$E$6:$E$41, "56 to 65", 'Task metrics - Group B'!CL$6:CL$41)</f>
        <v>0.54166666666666663</v>
      </c>
      <c r="D13" s="95">
        <f>AVERAGEIF('Profiles - Group B'!$E$6:$E$41, "56 to 65", 'Task metrics - Group B'!CM$6:CM$41)</f>
        <v>4.1666666666666664E-2</v>
      </c>
      <c r="E13" s="95">
        <f>AVERAGEIF('Profiles - Group B'!$E$6:$E$41, "56 to 65", 'Task metrics - Group B'!CN$6:CN$41)</f>
        <v>0.375</v>
      </c>
      <c r="F13" s="95">
        <f>AVERAGEIF('Profiles - Group B'!$E$6:$E$41, "56 to 65", 'Task metrics - Group B'!CO$6:CO$41)</f>
        <v>0.125</v>
      </c>
      <c r="G13" s="95">
        <f>AVERAGEIF('Profiles - Group B'!$E$6:$E$41, "56 to 65", 'Task metrics - Group B'!CP$6:CP$41)</f>
        <v>0.33333333333333331</v>
      </c>
      <c r="H13" s="95">
        <f>AVERAGEIF('Profiles - Group B'!$E$6:$E$41, "56 to 65", 'Task metrics - Group B'!CQ$6:CQ$41)</f>
        <v>8.3333333333333329E-2</v>
      </c>
      <c r="I13" s="95">
        <f>AVERAGEIF('Profiles - Group B'!$E$6:$E$41, "56 to 65", 'Task metrics - Group B'!CR$6:CR$41)</f>
        <v>0.375</v>
      </c>
      <c r="J13" s="95">
        <f t="shared" si="0"/>
        <v>0.26041666666666663</v>
      </c>
      <c r="L13" s="95">
        <f>AVERAGEIF('Profiles - Group B'!$E$6:$E$41, "56 to 65", 'Task Time Calcs - Group B'!V$6:V$41)</f>
        <v>300</v>
      </c>
      <c r="M13" s="95">
        <f>AVERAGEIF('Profiles - Group B'!$E$6:$E$41, "56 to 65", 'Task Time Calcs - Group B'!W$6:W$41)</f>
        <v>131.25</v>
      </c>
      <c r="N13" s="95">
        <f>AVERAGEIF('Profiles - Group B'!$E$6:$E$41, "56 to 65", 'Task Time Calcs - Group B'!X$6:X$41)</f>
        <v>180</v>
      </c>
      <c r="O13" s="95">
        <f>AVERAGEIF('Profiles - Group B'!$E$6:$E$41, "56 to 65", 'Task Time Calcs - Group B'!Y$6:Y$41)</f>
        <v>152.66666666666666</v>
      </c>
      <c r="P13" s="95">
        <f>AVERAGEIF('Profiles - Group B'!$E$6:$E$41, "56 to 65", 'Task Time Calcs - Group B'!Z$6:Z$41)</f>
        <v>151.66666666666666</v>
      </c>
      <c r="Q13" s="95">
        <f>AVERAGEIF('Profiles - Group B'!$E$6:$E$41, "56 to 65", 'Task Time Calcs - Group B'!AA$6:AA$41)</f>
        <v>100.5</v>
      </c>
      <c r="R13" s="95">
        <f>AVERAGEIF('Profiles - Group B'!$E$6:$E$41, "56 to 65", 'Task Time Calcs - Group B'!AB$6:AB$41)</f>
        <v>60</v>
      </c>
      <c r="S13" s="95">
        <f>AVERAGEIF('Profiles - Group B'!$E$6:$E$41, "56 to 65", 'Task Time Calcs - Group B'!AC$6:AC$41)</f>
        <v>156</v>
      </c>
      <c r="T13" s="95">
        <f t="shared" si="1"/>
        <v>154.01041666666666</v>
      </c>
      <c r="V13" s="95">
        <f>AVERAGEIF('Profiles - Group B'!$E$6:$E$41, "56 to 65", 'Task metrics - Group B'!DE$6:DE$41)</f>
        <v>3.1666666666666665</v>
      </c>
      <c r="W13" s="95">
        <f>AVERAGEIF('Profiles - Group B'!$E$6:$E$41, "56 to 65", 'Task metrics - Group B'!DF$6:DF$41)</f>
        <v>3.3333333333333335</v>
      </c>
      <c r="X13" s="95">
        <f>AVERAGEIF('Profiles - Group B'!$E$6:$E$41, "56 to 65", 'Task metrics - Group B'!DG$6:DG$41)</f>
        <v>2.3333333333333335</v>
      </c>
      <c r="Y13" s="95">
        <f>AVERAGEIF('Profiles - Group B'!$E$6:$E$41, "56 to 65", 'Task metrics - Group B'!DH$6:DH$41)</f>
        <v>2.1666666666666665</v>
      </c>
      <c r="Z13" s="95">
        <f>AVERAGEIF('Profiles - Group B'!$E$6:$E$41, "56 to 65", 'Task metrics - Group B'!DI$6:DI$41)</f>
        <v>2</v>
      </c>
      <c r="AA13" s="95">
        <f>AVERAGEIF('Profiles - Group B'!$E$6:$E$41, "56 to 65", 'Task metrics - Group B'!DJ$6:DJ$41)</f>
        <v>1.6666666666666667</v>
      </c>
      <c r="AB13" s="95">
        <f>AVERAGEIF('Profiles - Group B'!$E$6:$E$41, "56 to 65", 'Task metrics - Group B'!DK$6:DK$41)</f>
        <v>2</v>
      </c>
      <c r="AC13" s="95">
        <f>AVERAGEIF('Profiles - Group B'!$E$6:$E$41, "56 to 65", 'Task metrics - Group B'!DL$6:DL$41)</f>
        <v>2</v>
      </c>
      <c r="AD13" s="95">
        <f t="shared" si="2"/>
        <v>2.333333333333333</v>
      </c>
      <c r="AP13" s="95">
        <f>AVERAGEIF('Profiles - Group B'!$E$6:$E$41, "56 to 65", 'Task metrics - Group B'!DY$6:DY$41)</f>
        <v>36.666666666666664</v>
      </c>
    </row>
    <row r="14" spans="1:43">
      <c r="A14" s="96" t="s">
        <v>122</v>
      </c>
      <c r="B14" s="95">
        <f>AVERAGEIF('Profiles - Group B'!$E$6:$E$41, "66 to 75", 'Task metrics - Group B'!CK$6:CK$41)</f>
        <v>0</v>
      </c>
      <c r="C14" s="95">
        <f>AVERAGEIF('Profiles - Group B'!$E$6:$E$41, "66 to 75", 'Task metrics - Group B'!CL$6:CL$41)</f>
        <v>0.05</v>
      </c>
      <c r="D14" s="95">
        <f>AVERAGEIF('Profiles - Group B'!$E$6:$E$41, "66 to 75", 'Task metrics - Group B'!CM$6:CM$41)</f>
        <v>0.1</v>
      </c>
      <c r="E14" s="95">
        <f>AVERAGEIF('Profiles - Group B'!$E$6:$E$41, "66 to 75", 'Task metrics - Group B'!CN$6:CN$41)</f>
        <v>0.3</v>
      </c>
      <c r="F14" s="95">
        <f>AVERAGEIF('Profiles - Group B'!$E$6:$E$41, "66 to 75", 'Task metrics - Group B'!CO$6:CO$41)</f>
        <v>0</v>
      </c>
      <c r="G14" s="95">
        <f>AVERAGEIF('Profiles - Group B'!$E$6:$E$41, "66 to 75", 'Task metrics - Group B'!CP$6:CP$41)</f>
        <v>0.25</v>
      </c>
      <c r="H14" s="95">
        <f>AVERAGEIF('Profiles - Group B'!$E$6:$E$41, "66 to 75", 'Task metrics - Group B'!CQ$6:CQ$41)</f>
        <v>0.2</v>
      </c>
      <c r="I14" s="95">
        <f>AVERAGEIF('Profiles - Group B'!$E$6:$E$41, "66 to 75", 'Task metrics - Group B'!CR$6:CR$41)</f>
        <v>0.8</v>
      </c>
      <c r="J14" s="95">
        <f t="shared" si="0"/>
        <v>0.21249999999999999</v>
      </c>
      <c r="K14" s="95"/>
      <c r="L14" s="95"/>
      <c r="M14" s="95">
        <f>AVERAGEIF('Profiles - Group B'!$E$6:$E$41, "66 to 75", 'Task Time Calcs - Group B'!W$6:W$41)</f>
        <v>180</v>
      </c>
      <c r="N14" s="95">
        <f>AVERAGEIF('Profiles - Group B'!$E$6:$E$41, "66 to 75", 'Task Time Calcs - Group B'!X$6:X$41)</f>
        <v>180</v>
      </c>
      <c r="O14" s="95">
        <f>AVERAGEIF('Profiles - Group B'!$E$6:$E$41, "66 to 75", 'Task Time Calcs - Group B'!Y$6:Y$41)</f>
        <v>119</v>
      </c>
      <c r="P14" s="95"/>
      <c r="Q14" s="95">
        <f>AVERAGEIF('Profiles - Group B'!$E$6:$E$41, "66 to 75", 'Task Time Calcs - Group B'!AA$6:AA$41)</f>
        <v>124.5</v>
      </c>
      <c r="R14" s="95">
        <f>AVERAGEIF('Profiles - Group B'!$E$6:$E$41, "66 to 75", 'Task Time Calcs - Group B'!AB$6:AB$41)</f>
        <v>180</v>
      </c>
      <c r="S14" s="95">
        <f>AVERAGEIF('Profiles - Group B'!$E$6:$E$41, "66 to 75", 'Task Time Calcs - Group B'!AC$6:AC$41)</f>
        <v>112</v>
      </c>
      <c r="T14" s="95">
        <f t="shared" si="1"/>
        <v>149.25</v>
      </c>
      <c r="U14" s="95"/>
      <c r="V14" s="95">
        <f>AVERAGEIF('Profiles - Group B'!$E$6:$E$41, "66 to 75", 'Task metrics - Group B'!DE$6:DE$41)</f>
        <v>1.4</v>
      </c>
      <c r="W14" s="95">
        <f>AVERAGEIF('Profiles - Group B'!$E$6:$E$41, "66 to 75", 'Task metrics - Group B'!DF$6:DF$41)</f>
        <v>1.8</v>
      </c>
      <c r="X14" s="95">
        <f>AVERAGEIF('Profiles - Group B'!$E$6:$E$41, "66 to 75", 'Task metrics - Group B'!DG$6:DG$41)</f>
        <v>1.8</v>
      </c>
      <c r="Y14" s="95">
        <f>AVERAGEIF('Profiles - Group B'!$E$6:$E$41, "66 to 75", 'Task metrics - Group B'!DH$6:DH$41)</f>
        <v>2.4</v>
      </c>
      <c r="Z14" s="95">
        <f>AVERAGEIF('Profiles - Group B'!$E$6:$E$41, "66 to 75", 'Task metrics - Group B'!DI$6:DI$41)</f>
        <v>1.4</v>
      </c>
      <c r="AA14" s="95">
        <f>AVERAGEIF('Profiles - Group B'!$E$6:$E$41, "66 to 75", 'Task metrics - Group B'!DJ$6:DJ$41)</f>
        <v>2.2000000000000002</v>
      </c>
      <c r="AB14" s="95">
        <f>AVERAGEIF('Profiles - Group B'!$E$6:$E$41, "66 to 75", 'Task metrics - Group B'!DK$6:DK$41)</f>
        <v>1.6</v>
      </c>
      <c r="AC14" s="95">
        <f>AVERAGEIF('Profiles - Group B'!$E$6:$E$41, "66 to 75", 'Task metrics - Group B'!DL$6:DL$41)</f>
        <v>4</v>
      </c>
      <c r="AD14" s="95">
        <f t="shared" si="2"/>
        <v>2.0750000000000002</v>
      </c>
      <c r="AE14" s="95">
        <f>AVERAGE(V13:AC14)</f>
        <v>2.2041666666666666</v>
      </c>
      <c r="AP14" s="95">
        <f>AVERAGEIF('Profiles - Group B'!$E$6:$E$41, "66 to 75", 'Task metrics - Group B'!DY$6:DY$41)</f>
        <v>35</v>
      </c>
      <c r="AQ14" s="95"/>
    </row>
    <row r="15" spans="1:43">
      <c r="A15" s="96"/>
    </row>
    <row r="16" spans="1:43">
      <c r="A16" s="96"/>
      <c r="B16" s="47" t="s">
        <v>27</v>
      </c>
      <c r="C16" s="47" t="s">
        <v>28</v>
      </c>
      <c r="D16" s="47" t="s">
        <v>2</v>
      </c>
      <c r="E16" s="47" t="s">
        <v>3</v>
      </c>
      <c r="F16" s="47" t="s">
        <v>4</v>
      </c>
      <c r="G16" s="47" t="s">
        <v>5</v>
      </c>
      <c r="H16" s="47" t="s">
        <v>6</v>
      </c>
      <c r="I16" s="47" t="s">
        <v>7</v>
      </c>
      <c r="J16" s="47" t="s">
        <v>31</v>
      </c>
      <c r="L16" s="47" t="s">
        <v>27</v>
      </c>
      <c r="M16" s="47" t="s">
        <v>28</v>
      </c>
      <c r="N16" s="47" t="s">
        <v>2</v>
      </c>
      <c r="O16" s="47" t="s">
        <v>3</v>
      </c>
      <c r="P16" s="47" t="s">
        <v>4</v>
      </c>
      <c r="Q16" s="47" t="s">
        <v>5</v>
      </c>
      <c r="R16" s="47" t="s">
        <v>6</v>
      </c>
      <c r="S16" s="47" t="s">
        <v>7</v>
      </c>
      <c r="T16" s="47" t="s">
        <v>31</v>
      </c>
      <c r="V16" s="47" t="s">
        <v>27</v>
      </c>
      <c r="W16" s="47" t="s">
        <v>28</v>
      </c>
      <c r="X16" s="47" t="s">
        <v>2</v>
      </c>
      <c r="Y16" s="47" t="s">
        <v>3</v>
      </c>
      <c r="Z16" s="47" t="s">
        <v>4</v>
      </c>
      <c r="AA16" s="47" t="s">
        <v>5</v>
      </c>
      <c r="AB16" s="47" t="s">
        <v>6</v>
      </c>
      <c r="AC16" s="47" t="s">
        <v>7</v>
      </c>
      <c r="AD16" s="47" t="s">
        <v>31</v>
      </c>
      <c r="AP16" s="95"/>
    </row>
    <row r="17" spans="1:43">
      <c r="A17" s="96" t="s">
        <v>55</v>
      </c>
      <c r="B17" s="95">
        <f>AVERAGEIF('Profiles - Group B'!$H$6:$H$41, "Below £12,000", 'Task metrics - Group B'!CK$6:CK$41)</f>
        <v>0.41666666666666669</v>
      </c>
      <c r="C17" s="95">
        <f>AVERAGEIF('Profiles - Group B'!$H$6:$H$41, "Below £12,000", 'Task metrics - Group B'!CL$6:CL$41)</f>
        <v>0.54166666666666663</v>
      </c>
      <c r="D17" s="95">
        <f>AVERAGEIF('Profiles - Group B'!$H$6:$H$41, "Below £12,000", 'Task metrics - Group B'!CM$6:CM$41)</f>
        <v>0.375</v>
      </c>
      <c r="E17" s="95">
        <f>AVERAGEIF('Profiles - Group B'!$H$6:$H$41, "Below £12,000", 'Task metrics - Group B'!CN$6:CN$41)</f>
        <v>0.41666666666666669</v>
      </c>
      <c r="F17" s="95">
        <f>AVERAGEIF('Profiles - Group B'!$H$6:$H$41, "Below £12,000", 'Task metrics - Group B'!CO$6:CO$41)</f>
        <v>0.20833333333333334</v>
      </c>
      <c r="G17" s="95">
        <f>AVERAGEIF('Profiles - Group B'!$H$6:$H$41, "Below £12,000", 'Task metrics - Group B'!CP$6:CP$41)</f>
        <v>0.54166666666666663</v>
      </c>
      <c r="H17" s="95">
        <f>AVERAGEIF('Profiles - Group B'!$H$6:$H$41, "Below £12,000", 'Task metrics - Group B'!CQ$6:CQ$41)</f>
        <v>0.29166666666666669</v>
      </c>
      <c r="I17" s="95">
        <f>AVERAGEIF('Profiles - Group B'!$H$6:$H$41, "Below £12,000", 'Task metrics - Group B'!CR$6:CR$41)</f>
        <v>0.75</v>
      </c>
      <c r="J17" s="95">
        <f>AVERAGE(B17:I17)</f>
        <v>0.44270833333333331</v>
      </c>
      <c r="L17" s="95">
        <f>AVERAGEIF('Profiles - Group B'!$H$6:$H$41, "Below £12,000", 'Task Time Calcs - Group B'!V$6:V$41)</f>
        <v>259.5</v>
      </c>
      <c r="M17" s="95">
        <f>AVERAGEIF('Profiles - Group B'!$H$6:$H$41, "Below £12,000", 'Task Time Calcs - Group B'!W$6:W$41)</f>
        <v>119.5</v>
      </c>
      <c r="N17" s="95">
        <f>AVERAGEIF('Profiles - Group B'!$H$6:$H$41, "Below £12,000", 'Task Time Calcs - Group B'!X$6:X$41)</f>
        <v>131</v>
      </c>
      <c r="O17" s="95">
        <f>AVERAGEIF('Profiles - Group B'!$H$6:$H$41, "Below £12,000", 'Task Time Calcs - Group B'!Y$6:Y$41)</f>
        <v>86.25</v>
      </c>
      <c r="P17" s="95">
        <f>AVERAGEIF('Profiles - Group B'!$H$6:$H$41, "Below £12,000", 'Task Time Calcs - Group B'!Z$6:Z$41)</f>
        <v>127.6</v>
      </c>
      <c r="Q17" s="95">
        <f>AVERAGEIF('Profiles - Group B'!$H$6:$H$41, "Below £12,000", 'Task Time Calcs - Group B'!AA$6:AA$41)</f>
        <v>110</v>
      </c>
      <c r="R17" s="95">
        <f>AVERAGEIF('Profiles - Group B'!$H$6:$H$41, "Below £12,000", 'Task Time Calcs - Group B'!AB$6:AB$41)</f>
        <v>79</v>
      </c>
      <c r="S17" s="95">
        <f>AVERAGEIF('Profiles - Group B'!$H$6:$H$41, "Below £12,000", 'Task Time Calcs - Group B'!AC$6:AC$41)</f>
        <v>126.5</v>
      </c>
      <c r="T17" s="95">
        <f>AVERAGE(L17:S17)</f>
        <v>129.91874999999999</v>
      </c>
      <c r="V17" s="95">
        <f>AVERAGEIF('Profiles - Group B'!$H$6:$H$41, "Below £12,000", 'Task metrics - Group B'!DE$6:DE$41)</f>
        <v>2.1666666666666665</v>
      </c>
      <c r="W17" s="95">
        <f>AVERAGEIF('Profiles - Group B'!$H$6:$H$41, "Below £12,000", 'Task metrics - Group B'!DF$6:DF$41)</f>
        <v>2.8333333333333335</v>
      </c>
      <c r="X17" s="95">
        <f>AVERAGEIF('Profiles - Group B'!$H$6:$H$41, "Below £12,000", 'Task metrics - Group B'!DG$6:DG$41)</f>
        <v>3</v>
      </c>
      <c r="Y17" s="95">
        <f>AVERAGEIF('Profiles - Group B'!$H$6:$H$41, "Below £12,000", 'Task metrics - Group B'!DH$6:DH$41)</f>
        <v>2.8333333333333335</v>
      </c>
      <c r="Z17" s="95">
        <f>AVERAGEIF('Profiles - Group B'!$H$6:$H$41, "Below £12,000", 'Task metrics - Group B'!DI$6:DI$41)</f>
        <v>3</v>
      </c>
      <c r="AA17" s="95">
        <f>AVERAGEIF('Profiles - Group B'!$H$6:$H$41, "Below £12,000", 'Task metrics - Group B'!DJ$6:DJ$41)</f>
        <v>2.8333333333333335</v>
      </c>
      <c r="AB17" s="95">
        <f>AVERAGEIF('Profiles - Group B'!$H$6:$H$41, "Below £12,000", 'Task metrics - Group B'!DK$6:DK$41)</f>
        <v>3.3333333333333335</v>
      </c>
      <c r="AC17" s="95">
        <f>AVERAGEIF('Profiles - Group B'!$H$6:$H$41, "Below £12,000", 'Task metrics - Group B'!DL$6:DL$41)</f>
        <v>2.8333333333333335</v>
      </c>
      <c r="AD17" s="95">
        <f>AVERAGE(V17:AC17)</f>
        <v>2.8541666666666665</v>
      </c>
      <c r="AP17" s="95">
        <f>AVERAGEIF('Profiles - Group B'!$H$6:$H$41, "Below £12,000", 'Task metrics - Group B'!DY$6:DY$41)</f>
        <v>39.583333333333336</v>
      </c>
    </row>
    <row r="18" spans="1:43">
      <c r="A18" s="96" t="s">
        <v>49</v>
      </c>
      <c r="B18" s="95">
        <f>AVERAGEIF('Profiles - Group B'!$H$6:$H$41, "£12,001 - £30,000", 'Task metrics - Group B'!CK$6:CK$41)</f>
        <v>0.21153846153846154</v>
      </c>
      <c r="C18" s="95">
        <f>AVERAGEIF('Profiles - Group B'!$H$6:$H$41, "£12,001 - £30,000", 'Task metrics - Group B'!CL$6:CL$41)</f>
        <v>0.42307692307692307</v>
      </c>
      <c r="D18" s="95">
        <f>AVERAGEIF('Profiles - Group B'!$H$6:$H$41, "£12,001 - £30,000", 'Task metrics - Group B'!CM$6:CM$41)</f>
        <v>0.23076923076923078</v>
      </c>
      <c r="E18" s="95">
        <f>AVERAGEIF('Profiles - Group B'!$H$6:$H$41, "£12,001 - £30,000", 'Task metrics - Group B'!CN$6:CN$41)</f>
        <v>0.38461538461538464</v>
      </c>
      <c r="F18" s="95">
        <f>AVERAGEIF('Profiles - Group B'!$H$6:$H$41, "£12,001 - £30,000", 'Task metrics - Group B'!CO$6:CO$41)</f>
        <v>0.11538461538461539</v>
      </c>
      <c r="G18" s="95">
        <f>AVERAGEIF('Profiles - Group B'!$H$6:$H$41, "£12,001 - £30,000", 'Task metrics - Group B'!CP$6:CP$41)</f>
        <v>0.32692307692307693</v>
      </c>
      <c r="H18" s="95">
        <f>AVERAGEIF('Profiles - Group B'!$H$6:$H$41, "£12,001 - £30,000", 'Task metrics - Group B'!CQ$6:CQ$41)</f>
        <v>0.15384615384615385</v>
      </c>
      <c r="I18" s="95">
        <f>AVERAGEIF('Profiles - Group B'!$H$6:$H$41, "£12,001 - £30,000", 'Task metrics - Group B'!CR$6:CR$41)</f>
        <v>0.76923076923076927</v>
      </c>
      <c r="J18" s="95">
        <f>AVERAGE(B18:I18)</f>
        <v>0.32692307692307693</v>
      </c>
      <c r="L18" s="95">
        <f>AVERAGEIF('Profiles - Group B'!$H$6:$H$41, "£12,001 - £30,000", 'Task Time Calcs - Group B'!V$6:V$41)</f>
        <v>210.4</v>
      </c>
      <c r="M18" s="95">
        <f>AVERAGEIF('Profiles - Group B'!$H$6:$H$41, "£12,001 - £30,000", 'Task Time Calcs - Group B'!W$6:W$41)</f>
        <v>100.71428571428571</v>
      </c>
      <c r="N18" s="95">
        <f>AVERAGEIF('Profiles - Group B'!$H$6:$H$41, "£12,001 - £30,000", 'Task Time Calcs - Group B'!X$6:X$41)</f>
        <v>169</v>
      </c>
      <c r="O18" s="95">
        <f>AVERAGEIF('Profiles - Group B'!$H$6:$H$41, "£12,001 - £30,000", 'Task Time Calcs - Group B'!Y$6:Y$41)</f>
        <v>87.625</v>
      </c>
      <c r="P18" s="95">
        <f>AVERAGEIF('Profiles - Group B'!$H$6:$H$41, "£12,001 - £30,000", 'Task Time Calcs - Group B'!Z$6:Z$41)</f>
        <v>92.333333333333329</v>
      </c>
      <c r="Q18" s="95">
        <f>AVERAGEIF('Profiles - Group B'!$H$6:$H$41, "£12,001 - £30,000", 'Task Time Calcs - Group B'!AA$6:AA$41)</f>
        <v>111.4</v>
      </c>
      <c r="R18" s="95">
        <f>AVERAGEIF('Profiles - Group B'!$H$6:$H$41, "£12,001 - £30,000", 'Task Time Calcs - Group B'!AB$6:AB$41)</f>
        <v>67.8</v>
      </c>
      <c r="S18" s="95">
        <f>AVERAGEIF('Profiles - Group B'!$H$6:$H$41, "£12,001 - £30,000", 'Task Time Calcs - Group B'!AC$6:AC$41)</f>
        <v>95.5</v>
      </c>
      <c r="T18" s="95">
        <f>AVERAGE(L18:S18)</f>
        <v>116.84657738095237</v>
      </c>
      <c r="V18" s="95">
        <f>AVERAGEIF('Profiles - Group B'!$H$6:$H$41, "£12,001 - £30,000", 'Task metrics - Group B'!DE$6:DE$41)</f>
        <v>2.6923076923076925</v>
      </c>
      <c r="W18" s="95">
        <f>AVERAGEIF('Profiles - Group B'!$H$6:$H$41, "£12,001 - £30,000", 'Task metrics - Group B'!DF$6:DF$41)</f>
        <v>2.9230769230769229</v>
      </c>
      <c r="X18" s="95">
        <f>AVERAGEIF('Profiles - Group B'!$H$6:$H$41, "£12,001 - £30,000", 'Task metrics - Group B'!DG$6:DG$41)</f>
        <v>2.3076923076923075</v>
      </c>
      <c r="Y18" s="95">
        <f>AVERAGEIF('Profiles - Group B'!$H$6:$H$41, "£12,001 - £30,000", 'Task metrics - Group B'!DH$6:DH$41)</f>
        <v>2.7692307692307692</v>
      </c>
      <c r="Z18" s="95">
        <f>AVERAGEIF('Profiles - Group B'!$H$6:$H$41, "£12,001 - £30,000", 'Task metrics - Group B'!DI$6:DI$41)</f>
        <v>2.2307692307692308</v>
      </c>
      <c r="AA18" s="95">
        <f>AVERAGEIF('Profiles - Group B'!$H$6:$H$41, "£12,001 - £30,000", 'Task metrics - Group B'!DJ$6:DJ$41)</f>
        <v>2.2307692307692308</v>
      </c>
      <c r="AB18" s="95">
        <f>AVERAGEIF('Profiles - Group B'!$H$6:$H$41, "£12,001 - £30,000", 'Task metrics - Group B'!DK$6:DK$41)</f>
        <v>2.3846153846153846</v>
      </c>
      <c r="AC18" s="95">
        <f>AVERAGEIF('Profiles - Group B'!$H$6:$H$41, "£12,001 - £30,000", 'Task metrics - Group B'!DL$6:DL$41)</f>
        <v>3.3846153846153846</v>
      </c>
      <c r="AD18" s="95">
        <f>AVERAGE(V18:AC18)</f>
        <v>2.615384615384615</v>
      </c>
      <c r="AP18" s="95">
        <f>AVERAGEIF('Profiles - Group B'!$H$6:$H$41, "£12,001 - £30,000", 'Task metrics - Group B'!DY$6:DY$41)</f>
        <v>47.692307692307693</v>
      </c>
    </row>
    <row r="19" spans="1:43">
      <c r="A19" s="96" t="s">
        <v>44</v>
      </c>
      <c r="B19" s="95">
        <f>AVERAGEIF('Profiles - Group B'!$H$6:$H$41, "£30,001 - £50,000", 'Task metrics - Group B'!CK$6:CK$41)</f>
        <v>0.14583333333333334</v>
      </c>
      <c r="C19" s="95">
        <f>AVERAGEIF('Profiles - Group B'!$H$6:$H$41, "£30,001 - £50,000", 'Task metrics - Group B'!CL$6:CL$41)</f>
        <v>0.41666666666666669</v>
      </c>
      <c r="D19" s="95">
        <f>AVERAGEIF('Profiles - Group B'!$H$6:$H$41, "£30,001 - £50,000", 'Task metrics - Group B'!CM$6:CM$41)</f>
        <v>0.20833333333333334</v>
      </c>
      <c r="E19" s="95">
        <f>AVERAGEIF('Profiles - Group B'!$H$6:$H$41, "£30,001 - £50,000", 'Task metrics - Group B'!CN$6:CN$41)</f>
        <v>0.41666666666666669</v>
      </c>
      <c r="F19" s="95">
        <f>AVERAGEIF('Profiles - Group B'!$H$6:$H$41, "£30,001 - £50,000", 'Task metrics - Group B'!CO$6:CO$41)</f>
        <v>8.3333333333333329E-2</v>
      </c>
      <c r="G19" s="95">
        <f>AVERAGEIF('Profiles - Group B'!$H$6:$H$41, "£30,001 - £50,000", 'Task metrics - Group B'!CP$6:CP$41)</f>
        <v>0.20833333333333334</v>
      </c>
      <c r="H19" s="95">
        <f>AVERAGEIF('Profiles - Group B'!$H$6:$H$41, "£30,001 - £50,000", 'Task metrics - Group B'!CQ$6:CQ$41)</f>
        <v>0.27083333333333331</v>
      </c>
      <c r="I19" s="95">
        <f>AVERAGEIF('Profiles - Group B'!$H$6:$H$41, "£30,001 - £50,000", 'Task metrics - Group B'!CR$6:CR$41)</f>
        <v>0.54166666666666663</v>
      </c>
      <c r="J19" s="95">
        <f>AVERAGE(B19:I19)</f>
        <v>0.28645833333333331</v>
      </c>
      <c r="K19" s="95"/>
      <c r="L19" s="95">
        <f>AVERAGEIF('Profiles - Group B'!$H$6:$H$41, "£30,001 - £50,000", 'Task Time Calcs - Group B'!V$6:V$41)</f>
        <v>287</v>
      </c>
      <c r="M19" s="95">
        <f>AVERAGEIF('Profiles - Group B'!$H$6:$H$41, "£30,001 - £50,000", 'Task Time Calcs - Group B'!W$6:W$41)</f>
        <v>127.875</v>
      </c>
      <c r="N19" s="95">
        <f>AVERAGEIF('Profiles - Group B'!$H$6:$H$41, "£30,001 - £50,000", 'Task Time Calcs - Group B'!X$6:X$41)</f>
        <v>161.42857142857142</v>
      </c>
      <c r="O19" s="95">
        <f>AVERAGEIF('Profiles - Group B'!$H$6:$H$41, "£30,001 - £50,000", 'Task Time Calcs - Group B'!Y$6:Y$41)</f>
        <v>79.400000000000006</v>
      </c>
      <c r="P19" s="95">
        <f>AVERAGEIF('Profiles - Group B'!$H$6:$H$41, "£30,001 - £50,000", 'Task Time Calcs - Group B'!Z$6:Z$41)</f>
        <v>62.25</v>
      </c>
      <c r="Q19" s="95">
        <f>AVERAGEIF('Profiles - Group B'!$H$6:$H$41, "£30,001 - £50,000", 'Task Time Calcs - Group B'!AA$6:AA$41)</f>
        <v>116.75</v>
      </c>
      <c r="R19" s="95">
        <f>AVERAGEIF('Profiles - Group B'!$H$6:$H$41, "£30,001 - £50,000", 'Task Time Calcs - Group B'!AB$6:AB$41)</f>
        <v>99.285714285714292</v>
      </c>
      <c r="S19" s="95">
        <f>AVERAGEIF('Profiles - Group B'!$H$6:$H$41, "£30,001 - £50,000", 'Task Time Calcs - Group B'!AC$6:AC$41)</f>
        <v>81.25</v>
      </c>
      <c r="T19" s="95">
        <f>AVERAGE(L19:S19)</f>
        <v>126.90491071428572</v>
      </c>
      <c r="U19" s="95"/>
      <c r="V19" s="95">
        <f>AVERAGEIF('Profiles - Group B'!$H$6:$H$41, "£30,001 - £50,000", 'Task metrics - Group B'!DE$6:DE$41)</f>
        <v>1.9166666666666667</v>
      </c>
      <c r="W19" s="95">
        <f>AVERAGEIF('Profiles - Group B'!$H$6:$H$41, "£30,001 - £50,000", 'Task metrics - Group B'!DF$6:DF$41)</f>
        <v>2.4166666666666665</v>
      </c>
      <c r="X19" s="95">
        <f>AVERAGEIF('Profiles - Group B'!$H$6:$H$41, "£30,001 - £50,000", 'Task metrics - Group B'!DG$6:DG$41)</f>
        <v>2.5</v>
      </c>
      <c r="Y19" s="95">
        <f>AVERAGEIF('Profiles - Group B'!$H$6:$H$41, "£30,001 - £50,000", 'Task metrics - Group B'!DH$6:DH$41)</f>
        <v>2.75</v>
      </c>
      <c r="Z19" s="95">
        <f>AVERAGEIF('Profiles - Group B'!$H$6:$H$41, "£30,001 - £50,000", 'Task metrics - Group B'!DI$6:DI$41)</f>
        <v>2.0833333333333335</v>
      </c>
      <c r="AA19" s="95">
        <f>AVERAGEIF('Profiles - Group B'!$H$6:$H$41, "£30,001 - £50,000", 'Task metrics - Group B'!DJ$6:DJ$41)</f>
        <v>1.8333333333333333</v>
      </c>
      <c r="AB19" s="95">
        <f>AVERAGEIF('Profiles - Group B'!$H$6:$H$41, "£30,001 - £50,000", 'Task metrics - Group B'!DK$6:DK$41)</f>
        <v>2.1666666666666665</v>
      </c>
      <c r="AC19" s="95">
        <f>AVERAGEIF('Profiles - Group B'!$H$6:$H$41, "£30,001 - £50,000", 'Task metrics - Group B'!DL$6:DL$41)</f>
        <v>3</v>
      </c>
      <c r="AD19" s="95">
        <f>AVERAGE(V19:AC19)</f>
        <v>2.333333333333333</v>
      </c>
      <c r="AE19" s="95">
        <f>AVERAGE(V18:AC19)</f>
        <v>2.4743589743589745</v>
      </c>
      <c r="AP19" s="95">
        <f>AVERAGEIF('Profiles - Group B'!$H$6:$H$41, "£30,001 - £50,000", 'Task metrics - Group B'!DY$6:DY$41)</f>
        <v>41.041666666666664</v>
      </c>
    </row>
    <row r="20" spans="1:43">
      <c r="A20" s="96" t="s">
        <v>56</v>
      </c>
      <c r="B20" s="95">
        <f>AVERAGEIF('Profiles - Group B'!$H$6:$H$41, "Above £50,000", 'Task metrics - Group B'!CK$6:CK$41)</f>
        <v>0.45</v>
      </c>
      <c r="C20" s="95">
        <f>AVERAGEIF('Profiles - Group B'!$H$6:$H$41, "Above £50,000", 'Task metrics - Group B'!CL$6:CL$41)</f>
        <v>0.65</v>
      </c>
      <c r="D20" s="95">
        <f>AVERAGEIF('Profiles - Group B'!$H$6:$H$41, "Above £50,000", 'Task metrics - Group B'!CM$6:CM$41)</f>
        <v>0.35</v>
      </c>
      <c r="E20" s="95">
        <f>AVERAGEIF('Profiles - Group B'!$H$6:$H$41, "Above £50,000", 'Task metrics - Group B'!CN$6:CN$41)</f>
        <v>0.8</v>
      </c>
      <c r="F20" s="95">
        <f>AVERAGEIF('Profiles - Group B'!$H$6:$H$41, "Above £50,000", 'Task metrics - Group B'!CO$6:CO$41)</f>
        <v>0.15</v>
      </c>
      <c r="G20" s="95">
        <f>AVERAGEIF('Profiles - Group B'!$H$6:$H$41, "Above £50,000", 'Task metrics - Group B'!CP$6:CP$41)</f>
        <v>0.25</v>
      </c>
      <c r="H20" s="95">
        <f>AVERAGEIF('Profiles - Group B'!$H$6:$H$41, "Above £50,000", 'Task metrics - Group B'!CQ$6:CQ$41)</f>
        <v>0.6</v>
      </c>
      <c r="I20" s="95">
        <f>AVERAGEIF('Profiles - Group B'!$H$6:$H$41, "Above £50,000", 'Task metrics - Group B'!CR$6:CR$41)</f>
        <v>0.8</v>
      </c>
      <c r="J20" s="95">
        <f>AVERAGE(B20:I20)</f>
        <v>0.50624999999999998</v>
      </c>
      <c r="L20" s="95">
        <f>AVERAGEIF('Profiles - Group B'!$H$6:$H$41, "Above £50,000", 'Task Time Calcs - Group B'!V$6:V$41)</f>
        <v>299.66666666666669</v>
      </c>
      <c r="M20" s="95">
        <f>AVERAGEIF('Profiles - Group B'!$H$6:$H$41, "Above £50,000", 'Task Time Calcs - Group B'!W$6:W$41)</f>
        <v>106.5</v>
      </c>
      <c r="N20" s="95">
        <f>AVERAGEIF('Profiles - Group B'!$H$6:$H$41, "Above £50,000", 'Task Time Calcs - Group B'!X$6:X$41)</f>
        <v>180</v>
      </c>
      <c r="O20" s="95">
        <f>AVERAGEIF('Profiles - Group B'!$H$6:$H$41, "Above £50,000", 'Task Time Calcs - Group B'!Y$6:Y$41)</f>
        <v>108.25</v>
      </c>
      <c r="P20" s="95">
        <f>AVERAGEIF('Profiles - Group B'!$H$6:$H$41, "Above £50,000", 'Task Time Calcs - Group B'!Z$6:Z$41)</f>
        <v>91.666666666666671</v>
      </c>
      <c r="Q20" s="95">
        <f>AVERAGEIF('Profiles - Group B'!$H$6:$H$41, "Above £50,000", 'Task Time Calcs - Group B'!AA$6:AA$41)</f>
        <v>132</v>
      </c>
      <c r="R20" s="95">
        <f>AVERAGEIF('Profiles - Group B'!$H$6:$H$41, "Above £50,000", 'Task Time Calcs - Group B'!AB$6:AB$41)</f>
        <v>107</v>
      </c>
      <c r="S20" s="95">
        <f>AVERAGEIF('Profiles - Group B'!$H$6:$H$41, "Above £50,000", 'Task Time Calcs - Group B'!AC$6:AC$41)</f>
        <v>72.75</v>
      </c>
      <c r="T20" s="95">
        <f>AVERAGE(L20:S20)</f>
        <v>137.22916666666669</v>
      </c>
      <c r="V20" s="95">
        <f>AVERAGEIF('Profiles - Group B'!$H$6:$H$41, "Above £50,000", 'Task metrics - Group B'!DE$6:DE$41)</f>
        <v>2.2000000000000002</v>
      </c>
      <c r="W20" s="95">
        <f>AVERAGEIF('Profiles - Group B'!$H$6:$H$41, "Above £50,000", 'Task metrics - Group B'!DF$6:DF$41)</f>
        <v>3.4</v>
      </c>
      <c r="X20" s="95">
        <f>AVERAGEIF('Profiles - Group B'!$H$6:$H$41, "Above £50,000", 'Task metrics - Group B'!DG$6:DG$41)</f>
        <v>2.4</v>
      </c>
      <c r="Y20" s="95">
        <f>AVERAGEIF('Profiles - Group B'!$H$6:$H$41, "Above £50,000", 'Task metrics - Group B'!DH$6:DH$41)</f>
        <v>2.8</v>
      </c>
      <c r="Z20" s="95">
        <f>AVERAGEIF('Profiles - Group B'!$H$6:$H$41, "Above £50,000", 'Task metrics - Group B'!DI$6:DI$41)</f>
        <v>2.8</v>
      </c>
      <c r="AA20" s="95">
        <f>AVERAGEIF('Profiles - Group B'!$H$6:$H$41, "Above £50,000", 'Task metrics - Group B'!DJ$6:DJ$41)</f>
        <v>1.8</v>
      </c>
      <c r="AB20" s="95">
        <f>AVERAGEIF('Profiles - Group B'!$H$6:$H$41, "Above £50,000", 'Task metrics - Group B'!DK$6:DK$41)</f>
        <v>3.4</v>
      </c>
      <c r="AC20" s="95">
        <f>AVERAGEIF('Profiles - Group B'!$H$6:$H$41, "Above £50,000", 'Task metrics - Group B'!DL$6:DL$41)</f>
        <v>3.6</v>
      </c>
      <c r="AD20" s="95">
        <f>AVERAGE(V20:AC20)</f>
        <v>2.8000000000000003</v>
      </c>
      <c r="AP20" s="95">
        <f>AVERAGEIF('Profiles - Group B'!$H$6:$H$41, "Above £50,000", 'Task metrics - Group B'!DY$6:DY$41)</f>
        <v>45</v>
      </c>
    </row>
    <row r="21" spans="1:43">
      <c r="A21" s="96"/>
    </row>
    <row r="22" spans="1:43">
      <c r="A22" s="96"/>
      <c r="B22" s="47" t="s">
        <v>27</v>
      </c>
      <c r="C22" s="47" t="s">
        <v>28</v>
      </c>
      <c r="D22" s="47" t="s">
        <v>2</v>
      </c>
      <c r="E22" s="47" t="s">
        <v>3</v>
      </c>
      <c r="F22" s="47" t="s">
        <v>4</v>
      </c>
      <c r="G22" s="47" t="s">
        <v>5</v>
      </c>
      <c r="H22" s="47" t="s">
        <v>6</v>
      </c>
      <c r="I22" s="47" t="s">
        <v>7</v>
      </c>
      <c r="J22" s="47" t="s">
        <v>31</v>
      </c>
      <c r="L22" s="47" t="s">
        <v>27</v>
      </c>
      <c r="M22" s="47" t="s">
        <v>28</v>
      </c>
      <c r="N22" s="47" t="s">
        <v>2</v>
      </c>
      <c r="O22" s="47" t="s">
        <v>3</v>
      </c>
      <c r="P22" s="47" t="s">
        <v>4</v>
      </c>
      <c r="Q22" s="47" t="s">
        <v>5</v>
      </c>
      <c r="R22" s="47" t="s">
        <v>6</v>
      </c>
      <c r="S22" s="47" t="s">
        <v>7</v>
      </c>
      <c r="T22" s="47" t="s">
        <v>31</v>
      </c>
      <c r="V22" s="47" t="s">
        <v>27</v>
      </c>
      <c r="W22" s="47" t="s">
        <v>28</v>
      </c>
      <c r="X22" s="47" t="s">
        <v>2</v>
      </c>
      <c r="Y22" s="47" t="s">
        <v>3</v>
      </c>
      <c r="Z22" s="47" t="s">
        <v>4</v>
      </c>
      <c r="AA22" s="47" t="s">
        <v>5</v>
      </c>
      <c r="AB22" s="47" t="s">
        <v>6</v>
      </c>
      <c r="AC22" s="47" t="s">
        <v>7</v>
      </c>
      <c r="AD22" s="47" t="s">
        <v>31</v>
      </c>
      <c r="AP22" s="95"/>
    </row>
    <row r="23" spans="1:43">
      <c r="A23" s="97" t="s">
        <v>42</v>
      </c>
      <c r="B23" s="95">
        <f>AVERAGEIF('Profiles - Group B'!$F$6:$F$41, "Below or completed GCSE", 'Task metrics - Group B'!CK$6:CK$41)</f>
        <v>0.05</v>
      </c>
      <c r="C23" s="95">
        <f>AVERAGEIF('Profiles - Group B'!$F$6:$F$41, "Below or completed GCSE", 'Task metrics - Group B'!CL$6:CL$41)</f>
        <v>0.25</v>
      </c>
      <c r="D23" s="95">
        <f>AVERAGEIF('Profiles - Group B'!$F$6:$F$41, "Below or completed GCSE", 'Task metrics - Group B'!CM$6:CM$41)</f>
        <v>0.1</v>
      </c>
      <c r="E23" s="95">
        <f>AVERAGEIF('Profiles - Group B'!$F$6:$F$41, "Below or completed GCSE", 'Task metrics - Group B'!CN$6:CN$41)</f>
        <v>0.375</v>
      </c>
      <c r="F23" s="95">
        <f>AVERAGEIF('Profiles - Group B'!$F$6:$F$41, "Below or completed GCSE", 'Task metrics - Group B'!CO$6:CO$41)</f>
        <v>2.5000000000000001E-2</v>
      </c>
      <c r="G23" s="95">
        <f>AVERAGEIF('Profiles - Group B'!$F$6:$F$41, "Below or completed GCSE", 'Task metrics - Group B'!CP$6:CP$41)</f>
        <v>0.125</v>
      </c>
      <c r="H23" s="95">
        <f>AVERAGEIF('Profiles - Group B'!$F$6:$F$41, "Below or completed GCSE", 'Task metrics - Group B'!CQ$6:CQ$41)</f>
        <v>0.125</v>
      </c>
      <c r="I23" s="95">
        <f>AVERAGEIF('Profiles - Group B'!$F$6:$F$41, "Below or completed GCSE", 'Task metrics - Group B'!CR$6:CR$41)</f>
        <v>0.72499999999999998</v>
      </c>
      <c r="J23" s="95">
        <f>AVERAGE(B23:I23)</f>
        <v>0.22187499999999999</v>
      </c>
      <c r="L23" s="95">
        <f>AVERAGEIF('Profiles - Group B'!$F$6:$F$41, "Below or completed GCSE", 'Task Time Calcs - Group B'!V$6:V$41)</f>
        <v>300</v>
      </c>
      <c r="M23" s="95">
        <f>AVERAGEIF('Profiles - Group B'!$F$6:$F$41, "Below or completed GCSE", 'Task Time Calcs - Group B'!W$6:W$41)</f>
        <v>167.25</v>
      </c>
      <c r="N23" s="95">
        <f>AVERAGEIF('Profiles - Group B'!$F$6:$F$41, "Below or completed GCSE", 'Task Time Calcs - Group B'!X$6:X$41)</f>
        <v>180</v>
      </c>
      <c r="O23" s="95">
        <f>AVERAGEIF('Profiles - Group B'!$F$6:$F$41, "Below or completed GCSE", 'Task Time Calcs - Group B'!Y$6:Y$41)</f>
        <v>117.5</v>
      </c>
      <c r="P23" s="95">
        <f>AVERAGEIF('Profiles - Group B'!$F$6:$F$41, "Below or completed GCSE", 'Task Time Calcs - Group B'!Z$6:Z$41)</f>
        <v>56</v>
      </c>
      <c r="Q23" s="95">
        <f>AVERAGEIF('Profiles - Group B'!$F$6:$F$41, "Below or completed GCSE", 'Task Time Calcs - Group B'!AA$6:AA$41)</f>
        <v>121</v>
      </c>
      <c r="R23" s="95">
        <f>AVERAGEIF('Profiles - Group B'!$F$6:$F$41, "Below or completed GCSE", 'Task Time Calcs - Group B'!AB$6:AB$41)</f>
        <v>134</v>
      </c>
      <c r="S23" s="95">
        <f>AVERAGEIF('Profiles - Group B'!$F$6:$F$41, "Below or completed GCSE", 'Task Time Calcs - Group B'!AC$6:AC$41)</f>
        <v>120.5</v>
      </c>
      <c r="T23" s="95">
        <f>AVERAGE(L23:S23)</f>
        <v>149.53125</v>
      </c>
      <c r="V23" s="95">
        <f>AVERAGEIF('Profiles - Group B'!$F$6:$F$41, "Below or completed GCSE", 'Task metrics - Group B'!DE$6:DE$41)</f>
        <v>1.8</v>
      </c>
      <c r="W23" s="95">
        <f>AVERAGEIF('Profiles - Group B'!$F$6:$F$41, "Below or completed GCSE", 'Task metrics - Group B'!DF$6:DF$41)</f>
        <v>2.2000000000000002</v>
      </c>
      <c r="X23" s="95">
        <f>AVERAGEIF('Profiles - Group B'!$F$6:$F$41, "Below or completed GCSE", 'Task metrics - Group B'!DG$6:DG$41)</f>
        <v>2.2999999999999998</v>
      </c>
      <c r="Y23" s="95">
        <f>AVERAGEIF('Profiles - Group B'!$F$6:$F$41, "Below or completed GCSE", 'Task metrics - Group B'!DH$6:DH$41)</f>
        <v>2.6</v>
      </c>
      <c r="Z23" s="95">
        <f>AVERAGEIF('Profiles - Group B'!$F$6:$F$41, "Below or completed GCSE", 'Task metrics - Group B'!DI$6:DI$41)</f>
        <v>1.6</v>
      </c>
      <c r="AA23" s="95">
        <f>AVERAGEIF('Profiles - Group B'!$F$6:$F$41, "Below or completed GCSE", 'Task metrics - Group B'!DJ$6:DJ$41)</f>
        <v>2.1</v>
      </c>
      <c r="AB23" s="95">
        <f>AVERAGEIF('Profiles - Group B'!$F$6:$F$41, "Below or completed GCSE", 'Task metrics - Group B'!DK$6:DK$41)</f>
        <v>2.1</v>
      </c>
      <c r="AC23" s="95">
        <f>AVERAGEIF('Profiles - Group B'!$F$6:$F$41, "Below or completed GCSE", 'Task metrics - Group B'!DL$6:DL$41)</f>
        <v>3.2</v>
      </c>
      <c r="AD23" s="95">
        <f>AVERAGE(V23:AC23)</f>
        <v>2.2374999999999998</v>
      </c>
      <c r="AP23" s="95">
        <f>AVERAGEIF('Profiles - Group B'!$F$6:$F$41, "Below or completed GCSE", 'Task metrics - Group B'!DY$6:DY$41)</f>
        <v>34</v>
      </c>
    </row>
    <row r="24" spans="1:43">
      <c r="A24" s="98" t="s">
        <v>50</v>
      </c>
      <c r="B24" s="95">
        <f>AVERAGEIF('Profiles - Group B'!$F$6:$F$41, "Completed A Level", 'Task metrics - Group B'!CK$6:CK$41)</f>
        <v>0.21428571428571427</v>
      </c>
      <c r="C24" s="95">
        <f>AVERAGEIF('Profiles - Group B'!$F$6:$F$41, "Completed A Level", 'Task metrics - Group B'!CL$6:CL$41)</f>
        <v>0.48214285714285715</v>
      </c>
      <c r="D24" s="95">
        <f>AVERAGEIF('Profiles - Group B'!$F$6:$F$41, "Completed A Level", 'Task metrics - Group B'!CM$6:CM$41)</f>
        <v>0.2857142857142857</v>
      </c>
      <c r="E24" s="95">
        <f>AVERAGEIF('Profiles - Group B'!$F$6:$F$41, "Completed A Level", 'Task metrics - Group B'!CN$6:CN$41)</f>
        <v>0.48214285714285715</v>
      </c>
      <c r="F24" s="95">
        <f>AVERAGEIF('Profiles - Group B'!$F$6:$F$41, "Completed A Level", 'Task metrics - Group B'!CO$6:CO$41)</f>
        <v>0.14285714285714285</v>
      </c>
      <c r="G24" s="95">
        <f>AVERAGEIF('Profiles - Group B'!$F$6:$F$41, "Completed A Level", 'Task metrics - Group B'!CP$6:CP$41)</f>
        <v>0.2857142857142857</v>
      </c>
      <c r="H24" s="95">
        <f>AVERAGEIF('Profiles - Group B'!$F$6:$F$41, "Completed A Level", 'Task metrics - Group B'!CQ$6:CQ$41)</f>
        <v>0.30357142857142855</v>
      </c>
      <c r="I24" s="95">
        <f>AVERAGEIF('Profiles - Group B'!$F$6:$F$41, "Completed A Level", 'Task metrics - Group B'!CR$6:CR$41)</f>
        <v>0.6607142857142857</v>
      </c>
      <c r="J24" s="95">
        <f>AVERAGE(B24:I24)</f>
        <v>0.3571428571428571</v>
      </c>
      <c r="K24" s="95"/>
      <c r="L24" s="95">
        <f>AVERAGEIF('Profiles - Group B'!$F$6:$F$41, "Completed A Level", 'Task Time Calcs - Group B'!V$6:V$41)</f>
        <v>219.5</v>
      </c>
      <c r="M24" s="95">
        <f>AVERAGEIF('Profiles - Group B'!$F$6:$F$41, "Completed A Level", 'Task Time Calcs - Group B'!W$6:W$41)</f>
        <v>81.333333333333329</v>
      </c>
      <c r="N24" s="95">
        <f>AVERAGEIF('Profiles - Group B'!$F$6:$F$41, "Completed A Level", 'Task Time Calcs - Group B'!X$6:X$41)</f>
        <v>137.28571428571428</v>
      </c>
      <c r="O24" s="95">
        <f>AVERAGEIF('Profiles - Group B'!$F$6:$F$41, "Completed A Level", 'Task Time Calcs - Group B'!Y$6:Y$41)</f>
        <v>69.222222222222229</v>
      </c>
      <c r="P24" s="95">
        <f>AVERAGEIF('Profiles - Group B'!$F$6:$F$41, "Completed A Level", 'Task Time Calcs - Group B'!Z$6:Z$41)</f>
        <v>75.875</v>
      </c>
      <c r="Q24" s="95">
        <f>AVERAGEIF('Profiles - Group B'!$F$6:$F$41, "Completed A Level", 'Task Time Calcs - Group B'!AA$6:AA$41)</f>
        <v>111.5</v>
      </c>
      <c r="R24" s="95">
        <f>AVERAGEIF('Profiles - Group B'!$F$6:$F$41, "Completed A Level", 'Task Time Calcs - Group B'!AB$6:AB$41)</f>
        <v>65.625</v>
      </c>
      <c r="S24" s="95">
        <f>AVERAGEIF('Profiles - Group B'!$F$6:$F$41, "Completed A Level", 'Task Time Calcs - Group B'!AC$6:AC$41)</f>
        <v>80.900000000000006</v>
      </c>
      <c r="T24" s="95">
        <f>AVERAGE(L24:S24)</f>
        <v>105.15515873015873</v>
      </c>
      <c r="U24" s="95"/>
      <c r="V24" s="95">
        <f>AVERAGEIF('Profiles - Group B'!$F$6:$F$41, "Completed A Level", 'Task metrics - Group B'!DE$6:DE$41)</f>
        <v>2.3571428571428572</v>
      </c>
      <c r="W24" s="95">
        <f>AVERAGEIF('Profiles - Group B'!$F$6:$F$41, "Completed A Level", 'Task metrics - Group B'!DF$6:DF$41)</f>
        <v>2.8571428571428572</v>
      </c>
      <c r="X24" s="95">
        <f>AVERAGEIF('Profiles - Group B'!$F$6:$F$41, "Completed A Level", 'Task metrics - Group B'!DG$6:DG$41)</f>
        <v>2.7142857142857144</v>
      </c>
      <c r="Y24" s="95">
        <f>AVERAGEIF('Profiles - Group B'!$F$6:$F$41, "Completed A Level", 'Task metrics - Group B'!DH$6:DH$41)</f>
        <v>2.9285714285714284</v>
      </c>
      <c r="Z24" s="95">
        <f>AVERAGEIF('Profiles - Group B'!$F$6:$F$41, "Completed A Level", 'Task metrics - Group B'!DI$6:DI$41)</f>
        <v>2.5714285714285716</v>
      </c>
      <c r="AA24" s="95">
        <f>AVERAGEIF('Profiles - Group B'!$F$6:$F$41, "Completed A Level", 'Task metrics - Group B'!DJ$6:DJ$41)</f>
        <v>1.7142857142857142</v>
      </c>
      <c r="AB24" s="95">
        <f>AVERAGEIF('Profiles - Group B'!$F$6:$F$41, "Completed A Level", 'Task metrics - Group B'!DK$6:DK$41)</f>
        <v>2.4285714285714284</v>
      </c>
      <c r="AC24" s="95">
        <f>AVERAGEIF('Profiles - Group B'!$F$6:$F$41, "Completed A Level", 'Task metrics - Group B'!DL$6:DL$41)</f>
        <v>3.1428571428571428</v>
      </c>
      <c r="AD24" s="95">
        <f>AVERAGE(V24:AC24)</f>
        <v>2.589285714285714</v>
      </c>
      <c r="AE24" s="95">
        <f>AVERAGE(V23:AC24)</f>
        <v>2.4133928571428576</v>
      </c>
      <c r="AP24" s="95">
        <f>AVERAGEIF('Profiles - Group B'!$F$6:$F$41, "Completed A Level", 'Task metrics - Group B'!DY$6:DY$41)</f>
        <v>43.75</v>
      </c>
      <c r="AQ24" s="95"/>
    </row>
    <row r="25" spans="1:43">
      <c r="A25" s="98" t="s">
        <v>51</v>
      </c>
      <c r="B25" s="95">
        <f>AVERAGEIF('Profiles - Group B'!$F$6:$F$41, "Undergraduate", 'Task metrics - Group B'!CK$6:CK$41)</f>
        <v>0.5</v>
      </c>
      <c r="C25" s="95">
        <f>AVERAGEIF('Profiles - Group B'!$F$6:$F$41, "Undergraduate", 'Task metrics - Group B'!CL$6:CL$41)</f>
        <v>0.63888888888888884</v>
      </c>
      <c r="D25" s="95">
        <f>AVERAGEIF('Profiles - Group B'!$F$6:$F$41, "Undergraduate", 'Task metrics - Group B'!CM$6:CM$41)</f>
        <v>0.47222222222222221</v>
      </c>
      <c r="E25" s="95">
        <f>AVERAGEIF('Profiles - Group B'!$F$6:$F$41, "Undergraduate", 'Task metrics - Group B'!CN$6:CN$41)</f>
        <v>0.66666666666666663</v>
      </c>
      <c r="F25" s="95">
        <f>AVERAGEIF('Profiles - Group B'!$F$6:$F$41, "Undergraduate", 'Task metrics - Group B'!CO$6:CO$41)</f>
        <v>0.16666666666666666</v>
      </c>
      <c r="G25" s="95">
        <f>AVERAGEIF('Profiles - Group B'!$F$6:$F$41, "Undergraduate", 'Task metrics - Group B'!CP$6:CP$41)</f>
        <v>0.44444444444444442</v>
      </c>
      <c r="H25" s="95">
        <f>AVERAGEIF('Profiles - Group B'!$F$6:$F$41, "Undergraduate", 'Task metrics - Group B'!CQ$6:CQ$41)</f>
        <v>0.41666666666666669</v>
      </c>
      <c r="I25" s="95">
        <f>AVERAGEIF('Profiles - Group B'!$F$6:$F$41, "Undergraduate", 'Task metrics - Group B'!CR$6:CR$41)</f>
        <v>0.80555555555555558</v>
      </c>
      <c r="J25" s="95">
        <f>AVERAGE(B25:I25)</f>
        <v>0.51388888888888884</v>
      </c>
      <c r="L25" s="95">
        <f>AVERAGEIF('Profiles - Group B'!$F$6:$F$41, "Undergraduate", 'Task Time Calcs - Group B'!V$6:V$41)</f>
        <v>270</v>
      </c>
      <c r="M25" s="95">
        <f>AVERAGEIF('Profiles - Group B'!$F$6:$F$41, "Undergraduate", 'Task Time Calcs - Group B'!W$6:W$41)</f>
        <v>115.75</v>
      </c>
      <c r="N25" s="95">
        <f>AVERAGEIF('Profiles - Group B'!$F$6:$F$41, "Undergraduate", 'Task Time Calcs - Group B'!X$6:X$41)</f>
        <v>174.5</v>
      </c>
      <c r="O25" s="95">
        <f>AVERAGEIF('Profiles - Group B'!$F$6:$F$41, "Undergraduate", 'Task Time Calcs - Group B'!Y$6:Y$41)</f>
        <v>91.333333333333329</v>
      </c>
      <c r="P25" s="95">
        <f>AVERAGEIF('Profiles - Group B'!$F$6:$F$41, "Undergraduate", 'Task Time Calcs - Group B'!Z$6:Z$41)</f>
        <v>125.83333333333333</v>
      </c>
      <c r="Q25" s="95">
        <f>AVERAGEIF('Profiles - Group B'!$F$6:$F$41, "Undergraduate", 'Task Time Calcs - Group B'!AA$6:AA$41)</f>
        <v>114.28571428571429</v>
      </c>
      <c r="R25" s="95">
        <f>AVERAGEIF('Profiles - Group B'!$F$6:$F$41, "Undergraduate", 'Task Time Calcs - Group B'!AB$6:AB$41)</f>
        <v>106</v>
      </c>
      <c r="S25" s="95">
        <f>AVERAGEIF('Profiles - Group B'!$F$6:$F$41, "Undergraduate", 'Task Time Calcs - Group B'!AC$6:AC$41)</f>
        <v>91.625</v>
      </c>
      <c r="T25" s="95">
        <f>AVERAGE(L25:S25)</f>
        <v>136.16592261904765</v>
      </c>
      <c r="V25" s="95">
        <f>AVERAGEIF('Profiles - Group B'!$F$6:$F$41, "Undergraduate", 'Task metrics - Group B'!DE$6:DE$41)</f>
        <v>2.3333333333333335</v>
      </c>
      <c r="W25" s="95">
        <f>AVERAGEIF('Profiles - Group B'!$F$6:$F$41, "Undergraduate", 'Task metrics - Group B'!DF$6:DF$41)</f>
        <v>3.2222222222222223</v>
      </c>
      <c r="X25" s="95">
        <f>AVERAGEIF('Profiles - Group B'!$F$6:$F$41, "Undergraduate", 'Task metrics - Group B'!DG$6:DG$41)</f>
        <v>2.4444444444444446</v>
      </c>
      <c r="Y25" s="95">
        <f>AVERAGEIF('Profiles - Group B'!$F$6:$F$41, "Undergraduate", 'Task metrics - Group B'!DH$6:DH$41)</f>
        <v>3.1111111111111112</v>
      </c>
      <c r="Z25" s="95">
        <f>AVERAGEIF('Profiles - Group B'!$F$6:$F$41, "Undergraduate", 'Task metrics - Group B'!DI$6:DI$41)</f>
        <v>2.4444444444444446</v>
      </c>
      <c r="AA25" s="95">
        <f>AVERAGEIF('Profiles - Group B'!$F$6:$F$41, "Undergraduate", 'Task metrics - Group B'!DJ$6:DJ$41)</f>
        <v>2.5555555555555554</v>
      </c>
      <c r="AB25" s="95">
        <f>AVERAGEIF('Profiles - Group B'!$F$6:$F$41, "Undergraduate", 'Task metrics - Group B'!DK$6:DK$41)</f>
        <v>3</v>
      </c>
      <c r="AC25" s="95">
        <f>AVERAGEIF('Profiles - Group B'!$F$6:$F$41, "Undergraduate", 'Task metrics - Group B'!DL$6:DL$41)</f>
        <v>3.2222222222222223</v>
      </c>
      <c r="AD25" s="95">
        <f>AVERAGE(V25:AC25)</f>
        <v>2.7916666666666665</v>
      </c>
      <c r="AP25" s="95">
        <f>AVERAGEIF('Profiles - Group B'!$F$6:$F$41, "Undergraduate", 'Task metrics - Group B'!DY$6:DY$41)</f>
        <v>45.833333333333336</v>
      </c>
    </row>
    <row r="26" spans="1:43">
      <c r="A26" s="99" t="s">
        <v>53</v>
      </c>
      <c r="B26" s="95">
        <f>AVERAGEIF('Profiles - Group B'!$F$6:$F$41, "Graduate (Masters or above)", 'Task metrics - Group B'!CK$6:CK$41)</f>
        <v>0.41666666666666669</v>
      </c>
      <c r="C26" s="95">
        <f>AVERAGEIF('Profiles - Group B'!$F$6:$F$41, "Graduate (Masters or above)", 'Task metrics - Group B'!CL$6:CL$41)</f>
        <v>0.66666666666666663</v>
      </c>
      <c r="D26" s="95">
        <f>AVERAGEIF('Profiles - Group B'!$F$6:$F$41, "Graduate (Masters or above)", 'Task metrics - Group B'!CM$6:CM$41)</f>
        <v>8.3333333333333329E-2</v>
      </c>
      <c r="E26" s="95">
        <f>AVERAGEIF('Profiles - Group B'!$F$6:$F$41, "Graduate (Masters or above)", 'Task metrics - Group B'!CN$6:CN$41)</f>
        <v>0</v>
      </c>
      <c r="F26" s="95">
        <f>AVERAGEIF('Profiles - Group B'!$F$6:$F$41, "Graduate (Masters or above)", 'Task metrics - Group B'!CO$6:CO$41)</f>
        <v>0.25</v>
      </c>
      <c r="G26" s="95">
        <f>AVERAGEIF('Profiles - Group B'!$F$6:$F$41, "Graduate (Masters or above)", 'Task metrics - Group B'!CP$6:CP$41)</f>
        <v>0.66666666666666663</v>
      </c>
      <c r="H26" s="95">
        <f>AVERAGEIF('Profiles - Group B'!$F$6:$F$41, "Graduate (Masters or above)", 'Task metrics - Group B'!CQ$6:CQ$41)</f>
        <v>0.25</v>
      </c>
      <c r="I26" s="95">
        <f>AVERAGEIF('Profiles - Group B'!$F$6:$F$41, "Graduate (Masters or above)", 'Task metrics - Group B'!CR$6:CR$41)</f>
        <v>0.41666666666666669</v>
      </c>
      <c r="J26" s="95">
        <f>AVERAGE(B26:I26)</f>
        <v>0.34374999999999994</v>
      </c>
      <c r="K26" s="95"/>
      <c r="L26" s="95">
        <f>AVERAGEIF('Profiles - Group B'!$F$6:$F$41, "Graduate (Masters or above)", 'Task Time Calcs - Group B'!V$6:V$41)</f>
        <v>300</v>
      </c>
      <c r="M26" s="95">
        <f>AVERAGEIF('Profiles - Group B'!$F$6:$F$41, "Graduate (Masters or above)", 'Task Time Calcs - Group B'!W$6:W$41)</f>
        <v>152.5</v>
      </c>
      <c r="N26" s="95">
        <f>AVERAGEIF('Profiles - Group B'!$F$6:$F$41, "Graduate (Masters or above)", 'Task Time Calcs - Group B'!X$6:X$41)</f>
        <v>180</v>
      </c>
      <c r="O26" s="95"/>
      <c r="P26" s="95">
        <f>AVERAGEIF('Profiles - Group B'!$F$6:$F$41, "Graduate (Masters or above)", 'Task Time Calcs - Group B'!Z$6:Z$41)</f>
        <v>99.333333333333329</v>
      </c>
      <c r="Q26" s="95">
        <f>AVERAGEIF('Profiles - Group B'!$F$6:$F$41, "Graduate (Masters or above)", 'Task Time Calcs - Group B'!AA$6:AA$41)</f>
        <v>120</v>
      </c>
      <c r="R26" s="95">
        <f>AVERAGEIF('Profiles - Group B'!$F$6:$F$41, "Graduate (Masters or above)", 'Task Time Calcs - Group B'!AB$6:AB$41)</f>
        <v>80.666666666666671</v>
      </c>
      <c r="S26" s="95">
        <f>AVERAGEIF('Profiles - Group B'!$F$6:$F$41, "Graduate (Masters or above)", 'Task Time Calcs - Group B'!AC$6:AC$41)</f>
        <v>74.5</v>
      </c>
      <c r="T26" s="95">
        <f>AVERAGE(L26:S26)</f>
        <v>143.85714285714286</v>
      </c>
      <c r="U26" s="95"/>
      <c r="V26" s="95">
        <f>AVERAGEIF('Profiles - Group B'!$F$6:$F$41, "Graduate (Masters or above)", 'Task metrics - Group B'!DE$6:DE$41)</f>
        <v>3.3333333333333335</v>
      </c>
      <c r="W26" s="95">
        <f>AVERAGEIF('Profiles - Group B'!$F$6:$F$41, "Graduate (Masters or above)", 'Task metrics - Group B'!DF$6:DF$41)</f>
        <v>3.3333333333333335</v>
      </c>
      <c r="X26" s="95">
        <f>AVERAGEIF('Profiles - Group B'!$F$6:$F$41, "Graduate (Masters or above)", 'Task metrics - Group B'!DG$6:DG$41)</f>
        <v>2.3333333333333335</v>
      </c>
      <c r="Y26" s="95">
        <f>AVERAGEIF('Profiles - Group B'!$F$6:$F$41, "Graduate (Masters or above)", 'Task metrics - Group B'!DH$6:DH$41)</f>
        <v>1.6666666666666667</v>
      </c>
      <c r="Z26" s="95">
        <f>AVERAGEIF('Profiles - Group B'!$F$6:$F$41, "Graduate (Masters or above)", 'Task metrics - Group B'!DI$6:DI$41)</f>
        <v>4</v>
      </c>
      <c r="AA26" s="95">
        <f>AVERAGEIF('Profiles - Group B'!$F$6:$F$41, "Graduate (Masters or above)", 'Task metrics - Group B'!DJ$6:DJ$41)</f>
        <v>3</v>
      </c>
      <c r="AB26" s="95">
        <f>AVERAGEIF('Profiles - Group B'!$F$6:$F$41, "Graduate (Masters or above)", 'Task metrics - Group B'!DK$6:DK$41)</f>
        <v>4</v>
      </c>
      <c r="AC26" s="95">
        <f>AVERAGEIF('Profiles - Group B'!$F$6:$F$41, "Graduate (Masters or above)", 'Task metrics - Group B'!DL$6:DL$41)</f>
        <v>3.3333333333333335</v>
      </c>
      <c r="AD26" s="95">
        <f>AVERAGE(V26:AC26)</f>
        <v>3.1249999999999996</v>
      </c>
      <c r="AE26" s="95">
        <f>AVERAGE(V25:AC26)</f>
        <v>2.958333333333333</v>
      </c>
      <c r="AP26" s="95">
        <f>AVERAGEIF('Profiles - Group B'!$F$6:$F$41, "Graduate (Masters or above)", 'Task metrics - Group B'!DY$6:DY$41)</f>
        <v>70</v>
      </c>
      <c r="AQ26" s="95"/>
    </row>
    <row r="28" spans="1:43">
      <c r="B28" s="47" t="s">
        <v>27</v>
      </c>
      <c r="C28" s="47" t="s">
        <v>28</v>
      </c>
      <c r="D28" s="47" t="s">
        <v>2</v>
      </c>
      <c r="E28" s="47" t="s">
        <v>3</v>
      </c>
      <c r="F28" s="47" t="s">
        <v>4</v>
      </c>
      <c r="G28" s="47" t="s">
        <v>5</v>
      </c>
      <c r="H28" s="47" t="s">
        <v>6</v>
      </c>
      <c r="I28" s="47" t="s">
        <v>7</v>
      </c>
      <c r="J28" s="47" t="s">
        <v>31</v>
      </c>
      <c r="L28" s="47" t="s">
        <v>27</v>
      </c>
      <c r="M28" s="47" t="s">
        <v>28</v>
      </c>
      <c r="N28" s="47" t="s">
        <v>2</v>
      </c>
      <c r="O28" s="47" t="s">
        <v>3</v>
      </c>
      <c r="P28" s="47" t="s">
        <v>4</v>
      </c>
      <c r="Q28" s="47" t="s">
        <v>5</v>
      </c>
      <c r="R28" s="47" t="s">
        <v>6</v>
      </c>
      <c r="S28" s="47" t="s">
        <v>7</v>
      </c>
      <c r="T28" s="47" t="s">
        <v>31</v>
      </c>
      <c r="V28" s="47" t="s">
        <v>27</v>
      </c>
      <c r="W28" s="47" t="s">
        <v>28</v>
      </c>
      <c r="X28" s="47" t="s">
        <v>2</v>
      </c>
      <c r="Y28" s="47" t="s">
        <v>3</v>
      </c>
      <c r="Z28" s="47" t="s">
        <v>4</v>
      </c>
      <c r="AA28" s="47" t="s">
        <v>5</v>
      </c>
      <c r="AB28" s="47" t="s">
        <v>6</v>
      </c>
      <c r="AC28" s="47" t="s">
        <v>7</v>
      </c>
      <c r="AD28" s="47" t="s">
        <v>31</v>
      </c>
    </row>
    <row r="29" spans="1:43">
      <c r="A29" s="100" t="s">
        <v>123</v>
      </c>
      <c r="B29" s="95">
        <f>AVERAGEIF('Profiles - Group B'!$I$6:$I$41, "&lt;&gt;No", 'Task metrics - Group B'!CK$6:CK$41)</f>
        <v>4.1666666666666664E-2</v>
      </c>
      <c r="C29" s="95">
        <f>AVERAGEIF('Profiles - Group B'!$I$6:$I$41, "&lt;&gt;No", 'Task metrics - Group B'!CL$6:CL$41)</f>
        <v>0.29166666666666669</v>
      </c>
      <c r="D29" s="95">
        <f>AVERAGEIF('Profiles - Group B'!$I$6:$I$41, "&lt;&gt;No", 'Task metrics - Group B'!CM$6:CM$41)</f>
        <v>0.16666666666666666</v>
      </c>
      <c r="E29" s="95">
        <f>AVERAGEIF('Profiles - Group B'!$I$6:$I$41, "&lt;&gt;No", 'Task metrics - Group B'!CN$6:CN$41)</f>
        <v>0.33333333333333331</v>
      </c>
      <c r="F29" s="95">
        <f>AVERAGEIF('Profiles - Group B'!$I$6:$I$41, "&lt;&gt;No", 'Task metrics - Group B'!CO$6:CO$41)</f>
        <v>8.3333333333333329E-2</v>
      </c>
      <c r="G29" s="95">
        <f>AVERAGEIF('Profiles - Group B'!$I$6:$I$41, "&lt;&gt;No", 'Task metrics - Group B'!CP$6:CP$41)</f>
        <v>0.16666666666666666</v>
      </c>
      <c r="H29" s="95">
        <f>AVERAGEIF('Profiles - Group B'!$I$6:$I$41, "&lt;&gt;No", 'Task metrics - Group B'!CQ$6:CQ$41)</f>
        <v>0.16666666666666666</v>
      </c>
      <c r="I29" s="95">
        <f>AVERAGEIF('Profiles - Group B'!$I$6:$I$41, "&lt;&gt;No", 'Task metrics - Group B'!CR$6:CR$41)</f>
        <v>0.66666666666666663</v>
      </c>
      <c r="J29" s="95">
        <f>AVERAGE(B29:I29)</f>
        <v>0.23958333333333331</v>
      </c>
      <c r="L29" s="95">
        <f>AVERAGEIF('Profiles - Group B'!$I$6:$I$41, "&lt;&gt;No", 'Task Time Calcs - Group B'!V$6:V$41)</f>
        <v>300</v>
      </c>
      <c r="M29" s="95">
        <f>AVERAGEIF('Profiles - Group B'!$I$6:$I$41, "&lt;&gt;No", 'Task Time Calcs - Group B'!W$6:W$41)</f>
        <v>146.25</v>
      </c>
      <c r="N29" s="95">
        <f>AVERAGEIF('Profiles - Group B'!$I$6:$I$41, "&lt;&gt;No", 'Task Time Calcs - Group B'!X$6:X$41)</f>
        <v>180</v>
      </c>
      <c r="O29" s="95">
        <f>AVERAGEIF('Profiles - Group B'!$I$6:$I$41, "&lt;&gt;No", 'Task Time Calcs - Group B'!Y$6:Y$41)</f>
        <v>174.5</v>
      </c>
      <c r="P29" s="95">
        <f>AVERAGEIF('Profiles - Group B'!$I$6:$I$41, "&lt;&gt;No", 'Task Time Calcs - Group B'!Z$6:Z$41)</f>
        <v>115</v>
      </c>
      <c r="Q29" s="95">
        <f>AVERAGEIF('Profiles - Group B'!$I$6:$I$41, "&lt;&gt;No", 'Task Time Calcs - Group B'!AA$6:AA$41)</f>
        <v>141</v>
      </c>
      <c r="R29" s="95">
        <f>AVERAGEIF('Profiles - Group B'!$I$6:$I$41, "&lt;&gt;No", 'Task Time Calcs - Group B'!AB$6:AB$41)</f>
        <v>180</v>
      </c>
      <c r="S29" s="95">
        <f>AVERAGEIF('Profiles - Group B'!$I$6:$I$41, "&lt;&gt;No", 'Task Time Calcs - Group B'!AC$6:AC$41)</f>
        <v>104</v>
      </c>
      <c r="T29" s="95">
        <f>AVERAGE(L29:S29)</f>
        <v>167.59375</v>
      </c>
      <c r="V29" s="95">
        <f>AVERAGEIF('Profiles - Group B'!$I$6:$I$41, "&lt;&gt;No", 'Task metrics - Group B'!DE$6:DE$41)</f>
        <v>2</v>
      </c>
      <c r="W29" s="95">
        <f>AVERAGEIF('Profiles - Group B'!$I$6:$I$41, "&lt;&gt;No", 'Task metrics - Group B'!DF$6:DF$41)</f>
        <v>2.5</v>
      </c>
      <c r="X29" s="95">
        <f>AVERAGEIF('Profiles - Group B'!$I$6:$I$41, "&lt;&gt;No", 'Task metrics - Group B'!DG$6:DG$41)</f>
        <v>2.6666666666666665</v>
      </c>
      <c r="Y29" s="95">
        <f>AVERAGEIF('Profiles - Group B'!$I$6:$I$41, "&lt;&gt;No", 'Task metrics - Group B'!DH$6:DH$41)</f>
        <v>2.5</v>
      </c>
      <c r="Z29" s="95">
        <f>AVERAGEIF('Profiles - Group B'!$I$6:$I$41, "&lt;&gt;No", 'Task metrics - Group B'!DI$6:DI$41)</f>
        <v>2</v>
      </c>
      <c r="AA29" s="95">
        <f>AVERAGEIF('Profiles - Group B'!$I$6:$I$41, "&lt;&gt;No", 'Task metrics - Group B'!DJ$6:DJ$41)</f>
        <v>1.6666666666666667</v>
      </c>
      <c r="AB29" s="95">
        <f>AVERAGEIF('Profiles - Group B'!$I$6:$I$41, "&lt;&gt;No", 'Task metrics - Group B'!DK$6:DK$41)</f>
        <v>1.8333333333333333</v>
      </c>
      <c r="AC29" s="95">
        <f>AVERAGEIF('Profiles - Group B'!$I$6:$I$41, "&lt;&gt;No", 'Task metrics - Group B'!DL$6:DL$41)</f>
        <v>3</v>
      </c>
      <c r="AD29" s="95">
        <f>AVERAGE(V29:AC29)</f>
        <v>2.270833333333333</v>
      </c>
      <c r="AP29" s="95">
        <f>AVERAGEIF('Profiles - Group B'!$I$6:$I$41, "&lt;&gt;No", 'Task metrics - Group B'!DY$6:DY$41)</f>
        <v>32.916666666666664</v>
      </c>
    </row>
    <row r="30" spans="1:43">
      <c r="A30" s="100" t="s">
        <v>124</v>
      </c>
      <c r="B30" s="95">
        <f>AVERAGEIF('Profiles - Group B'!$I$6:$I$41, "No", 'Task metrics - Group B'!CK$6:CK$41)</f>
        <v>0.3</v>
      </c>
      <c r="C30" s="95">
        <f>AVERAGEIF('Profiles - Group B'!$I$6:$I$41, "No", 'Task metrics - Group B'!CL$6:CL$41)</f>
        <v>0.5083333333333333</v>
      </c>
      <c r="D30" s="95">
        <f>AVERAGEIF('Profiles - Group B'!$I$6:$I$41, "No", 'Task metrics - Group B'!CM$6:CM$41)</f>
        <v>0.28333333333333333</v>
      </c>
      <c r="E30" s="95">
        <f>AVERAGEIF('Profiles - Group B'!$I$6:$I$41, "No", 'Task metrics - Group B'!CN$6:CN$41)</f>
        <v>0.48333333333333334</v>
      </c>
      <c r="F30" s="95">
        <f>AVERAGEIF('Profiles - Group B'!$I$6:$I$41, "No", 'Task metrics - Group B'!CO$6:CO$41)</f>
        <v>0.13333333333333333</v>
      </c>
      <c r="G30" s="95">
        <f>AVERAGEIF('Profiles - Group B'!$I$6:$I$41, "No", 'Task metrics - Group B'!CP$6:CP$41)</f>
        <v>0.34166666666666667</v>
      </c>
      <c r="H30" s="95">
        <f>AVERAGEIF('Profiles - Group B'!$I$6:$I$41, "No", 'Task metrics - Group B'!CQ$6:CQ$41)</f>
        <v>0.3</v>
      </c>
      <c r="I30" s="95">
        <f>AVERAGEIF('Profiles - Group B'!$I$6:$I$41, "No", 'Task metrics - Group B'!CR$6:CR$41)</f>
        <v>0.7</v>
      </c>
      <c r="J30" s="95">
        <f>AVERAGE(B30:I30)</f>
        <v>0.38124999999999998</v>
      </c>
      <c r="L30" s="95">
        <f>AVERAGEIF('Profiles - Group B'!$I$6:$I$41, "No", 'Task Time Calcs - Group B'!V$6:V$41)</f>
        <v>255.8</v>
      </c>
      <c r="M30" s="95">
        <f>AVERAGEIF('Profiles - Group B'!$I$6:$I$41, "No", 'Task Time Calcs - Group B'!W$6:W$41)</f>
        <v>107.73684210526316</v>
      </c>
      <c r="N30" s="95">
        <f>AVERAGEIF('Profiles - Group B'!$I$6:$I$41, "No", 'Task Time Calcs - Group B'!X$6:X$41)</f>
        <v>158.5625</v>
      </c>
      <c r="O30" s="95">
        <f>AVERAGEIF('Profiles - Group B'!$I$6:$I$41, "No", 'Task Time Calcs - Group B'!Y$6:Y$41)</f>
        <v>80.368421052631575</v>
      </c>
      <c r="P30" s="95">
        <f>AVERAGEIF('Profiles - Group B'!$I$6:$I$41, "No", 'Task Time Calcs - Group B'!Z$6:Z$41)</f>
        <v>92.875</v>
      </c>
      <c r="Q30" s="95">
        <f>AVERAGEIF('Profiles - Group B'!$I$6:$I$41, "No", 'Task Time Calcs - Group B'!AA$6:AA$41)</f>
        <v>113.35714285714286</v>
      </c>
      <c r="R30" s="95">
        <f>AVERAGEIF('Profiles - Group B'!$I$6:$I$41, "No", 'Task Time Calcs - Group B'!AB$6:AB$41)</f>
        <v>82.833333333333329</v>
      </c>
      <c r="S30" s="95">
        <f>AVERAGEIF('Profiles - Group B'!$I$6:$I$41, "No", 'Task Time Calcs - Group B'!AC$6:AC$41)</f>
        <v>93.291666666666671</v>
      </c>
      <c r="T30" s="95">
        <f>AVERAGE(L30:S30)</f>
        <v>123.10311325187971</v>
      </c>
      <c r="V30" s="95">
        <f>AVERAGEIF('Profiles - Group B'!$I$6:$I$41, "No", 'Task metrics - Group B'!DE$6:DE$41)</f>
        <v>2.3333333333333335</v>
      </c>
      <c r="W30" s="95">
        <f>AVERAGEIF('Profiles - Group B'!$I$6:$I$41, "No", 'Task metrics - Group B'!DF$6:DF$41)</f>
        <v>2.8666666666666667</v>
      </c>
      <c r="X30" s="95">
        <f>AVERAGEIF('Profiles - Group B'!$I$6:$I$41, "No", 'Task metrics - Group B'!DG$6:DG$41)</f>
        <v>2.4666666666666668</v>
      </c>
      <c r="Y30" s="95">
        <f>AVERAGEIF('Profiles - Group B'!$I$6:$I$41, "No", 'Task metrics - Group B'!DH$6:DH$41)</f>
        <v>2.8333333333333335</v>
      </c>
      <c r="Z30" s="95">
        <f>AVERAGEIF('Profiles - Group B'!$I$6:$I$41, "No", 'Task metrics - Group B'!DI$6:DI$41)</f>
        <v>2.4666666666666668</v>
      </c>
      <c r="AA30" s="95">
        <f>AVERAGEIF('Profiles - Group B'!$I$6:$I$41, "No", 'Task metrics - Group B'!DJ$6:DJ$41)</f>
        <v>2.2333333333333334</v>
      </c>
      <c r="AB30" s="95">
        <f>AVERAGEIF('Profiles - Group B'!$I$6:$I$41, "No", 'Task metrics - Group B'!DK$6:DK$41)</f>
        <v>2.7666666666666666</v>
      </c>
      <c r="AC30" s="95">
        <f>AVERAGEIF('Profiles - Group B'!$I$6:$I$41, "No", 'Task metrics - Group B'!DL$6:DL$41)</f>
        <v>3.2333333333333334</v>
      </c>
      <c r="AD30" s="95">
        <f>AVERAGE(V30:AC30)</f>
        <v>2.65</v>
      </c>
      <c r="AP30" s="95">
        <f>AVERAGEIF('Profiles - Group B'!$I$6:$I$41, "No", 'Task metrics - Group B'!DY$6:DY$41)</f>
        <v>45.916666666666664</v>
      </c>
    </row>
    <row r="33" spans="1:11">
      <c r="A33" s="47"/>
    </row>
    <row r="34" spans="1:11">
      <c r="B34" s="47"/>
      <c r="C34" s="47"/>
      <c r="D34" s="47"/>
      <c r="E34" s="47"/>
      <c r="F34" s="47"/>
      <c r="G34" s="47"/>
      <c r="H34" s="47"/>
      <c r="I34" s="47"/>
      <c r="J34" s="47"/>
    </row>
    <row r="35" spans="1:11">
      <c r="A35" s="96"/>
      <c r="B35" s="95"/>
      <c r="C35" s="95"/>
      <c r="D35" s="95"/>
      <c r="E35" s="95"/>
      <c r="F35" s="95"/>
      <c r="G35" s="95"/>
      <c r="H35" s="95"/>
      <c r="I35" s="95"/>
      <c r="J35" s="95"/>
    </row>
    <row r="36" spans="1:11">
      <c r="A36" s="96"/>
      <c r="B36" s="95"/>
      <c r="C36" s="95"/>
      <c r="D36" s="95"/>
      <c r="E36" s="95"/>
      <c r="F36" s="95"/>
      <c r="G36" s="95"/>
      <c r="H36" s="95"/>
      <c r="I36" s="95"/>
      <c r="J36" s="95"/>
    </row>
    <row r="38" spans="1:11">
      <c r="B38" s="47"/>
      <c r="C38" s="47"/>
      <c r="D38" s="47"/>
      <c r="E38" s="47"/>
      <c r="F38" s="47"/>
      <c r="G38" s="47"/>
      <c r="H38" s="47"/>
      <c r="I38" s="47"/>
      <c r="J38" s="47"/>
    </row>
    <row r="39" spans="1:11">
      <c r="A39" s="96"/>
      <c r="B39" s="95"/>
      <c r="C39" s="95"/>
      <c r="D39" s="95"/>
      <c r="E39" s="95"/>
      <c r="F39" s="95"/>
      <c r="G39" s="95"/>
      <c r="H39" s="95"/>
      <c r="I39" s="95"/>
      <c r="J39" s="95"/>
    </row>
    <row r="40" spans="1:11">
      <c r="A40" s="96"/>
      <c r="B40" s="95"/>
      <c r="C40" s="95"/>
      <c r="D40" s="95"/>
      <c r="E40" s="95"/>
      <c r="F40" s="95"/>
      <c r="G40" s="95"/>
      <c r="H40" s="95"/>
      <c r="I40" s="95"/>
      <c r="J40" s="95"/>
      <c r="K40" s="95"/>
    </row>
    <row r="41" spans="1:11">
      <c r="A41" s="96"/>
      <c r="B41" s="95"/>
      <c r="C41" s="95"/>
      <c r="D41" s="95"/>
      <c r="E41" s="95"/>
      <c r="F41" s="95"/>
      <c r="G41" s="95"/>
      <c r="H41" s="95"/>
      <c r="I41" s="95"/>
      <c r="J41" s="95"/>
    </row>
    <row r="42" spans="1:11">
      <c r="A42" s="96"/>
      <c r="B42" s="95"/>
      <c r="C42" s="95"/>
      <c r="D42" s="95"/>
      <c r="E42" s="95"/>
      <c r="F42" s="95"/>
      <c r="G42" s="95"/>
      <c r="H42" s="95"/>
      <c r="I42" s="95"/>
      <c r="J42" s="95"/>
      <c r="K42" s="95"/>
    </row>
    <row r="43" spans="1:11">
      <c r="A43" s="96"/>
      <c r="B43" s="95"/>
      <c r="C43" s="95"/>
      <c r="D43" s="95"/>
      <c r="E43" s="95"/>
      <c r="F43" s="95"/>
      <c r="G43" s="95"/>
      <c r="H43" s="95"/>
      <c r="I43" s="95"/>
      <c r="J43" s="95"/>
    </row>
    <row r="44" spans="1:11">
      <c r="A44" s="96"/>
      <c r="B44" s="95"/>
      <c r="C44" s="95"/>
      <c r="D44" s="95"/>
      <c r="E44" s="95"/>
      <c r="F44" s="95"/>
      <c r="G44" s="95"/>
      <c r="H44" s="95"/>
      <c r="I44" s="95"/>
      <c r="J44" s="95"/>
      <c r="K44" s="95"/>
    </row>
    <row r="45" spans="1:11">
      <c r="A45" s="96"/>
    </row>
    <row r="46" spans="1:11">
      <c r="A46" s="96"/>
      <c r="B46" s="47"/>
      <c r="C46" s="47"/>
      <c r="D46" s="47"/>
      <c r="E46" s="47"/>
      <c r="F46" s="47"/>
      <c r="G46" s="47"/>
      <c r="H46" s="47"/>
      <c r="I46" s="47"/>
      <c r="J46" s="47"/>
    </row>
    <row r="47" spans="1:11">
      <c r="A47" s="96"/>
      <c r="B47" s="95"/>
      <c r="C47" s="95"/>
      <c r="D47" s="95"/>
      <c r="E47" s="95"/>
      <c r="F47" s="95"/>
      <c r="G47" s="95"/>
      <c r="H47" s="95"/>
      <c r="I47" s="95"/>
      <c r="J47" s="95"/>
    </row>
    <row r="48" spans="1:11">
      <c r="A48" s="96"/>
      <c r="B48" s="95"/>
      <c r="C48" s="95"/>
      <c r="D48" s="95"/>
      <c r="E48" s="95"/>
      <c r="F48" s="95"/>
      <c r="G48" s="95"/>
      <c r="H48" s="95"/>
      <c r="I48" s="95"/>
      <c r="J48" s="95"/>
    </row>
    <row r="49" spans="1:11">
      <c r="A49" s="96"/>
      <c r="B49" s="95"/>
      <c r="C49" s="95"/>
      <c r="D49" s="95"/>
      <c r="E49" s="95"/>
      <c r="F49" s="95"/>
      <c r="G49" s="95"/>
      <c r="H49" s="95"/>
      <c r="I49" s="95"/>
      <c r="J49" s="95"/>
      <c r="K49" s="95"/>
    </row>
    <row r="50" spans="1:11">
      <c r="A50" s="96"/>
      <c r="B50" s="95"/>
      <c r="C50" s="95"/>
      <c r="D50" s="95"/>
      <c r="E50" s="95"/>
      <c r="F50" s="95"/>
      <c r="G50" s="95"/>
      <c r="H50" s="95"/>
      <c r="I50" s="95"/>
      <c r="J50" s="95"/>
    </row>
    <row r="51" spans="1:11">
      <c r="A51" s="96"/>
    </row>
    <row r="52" spans="1:11">
      <c r="A52" s="96"/>
      <c r="B52" s="47"/>
      <c r="C52" s="47"/>
      <c r="D52" s="47"/>
      <c r="E52" s="47"/>
      <c r="F52" s="47"/>
      <c r="G52" s="47"/>
      <c r="H52" s="47"/>
      <c r="I52" s="47"/>
      <c r="J52" s="47"/>
    </row>
    <row r="53" spans="1:11">
      <c r="A53" s="97"/>
      <c r="B53" s="95"/>
      <c r="C53" s="95"/>
      <c r="D53" s="95"/>
      <c r="E53" s="95"/>
      <c r="F53" s="95"/>
      <c r="G53" s="95"/>
      <c r="H53" s="95"/>
      <c r="I53" s="95"/>
      <c r="J53" s="95"/>
    </row>
    <row r="54" spans="1:11">
      <c r="A54" s="98"/>
      <c r="B54" s="95"/>
      <c r="C54" s="95"/>
      <c r="D54" s="95"/>
      <c r="E54" s="95"/>
      <c r="F54" s="95"/>
      <c r="G54" s="95"/>
      <c r="H54" s="95"/>
      <c r="I54" s="95"/>
      <c r="J54" s="95"/>
      <c r="K54" s="95"/>
    </row>
    <row r="55" spans="1:11">
      <c r="A55" s="98"/>
      <c r="B55" s="95"/>
      <c r="C55" s="95"/>
      <c r="D55" s="95"/>
      <c r="E55" s="95"/>
      <c r="F55" s="95"/>
      <c r="G55" s="95"/>
      <c r="H55" s="95"/>
      <c r="I55" s="95"/>
      <c r="J55" s="95"/>
    </row>
    <row r="56" spans="1:11">
      <c r="A56" s="99"/>
      <c r="B56" s="95"/>
      <c r="C56" s="95"/>
      <c r="D56" s="95"/>
      <c r="E56" s="95"/>
      <c r="F56" s="95"/>
      <c r="G56" s="95"/>
      <c r="H56" s="95"/>
      <c r="I56" s="95"/>
      <c r="J56" s="95"/>
      <c r="K56" s="95"/>
    </row>
    <row r="58" spans="1:11">
      <c r="B58" s="47"/>
      <c r="C58" s="47"/>
      <c r="D58" s="47"/>
      <c r="E58" s="47"/>
      <c r="F58" s="47"/>
      <c r="G58" s="47"/>
      <c r="H58" s="47"/>
      <c r="I58" s="47"/>
      <c r="J58" s="47"/>
    </row>
    <row r="59" spans="1:11">
      <c r="A59" s="100"/>
      <c r="B59" s="95"/>
      <c r="C59" s="95"/>
      <c r="D59" s="95"/>
      <c r="E59" s="95"/>
      <c r="F59" s="95"/>
      <c r="G59" s="95"/>
      <c r="H59" s="95"/>
      <c r="I59" s="95"/>
      <c r="J59" s="95"/>
    </row>
    <row r="60" spans="1:11">
      <c r="A60" s="100"/>
      <c r="B60" s="95"/>
      <c r="C60" s="95"/>
      <c r="D60" s="95"/>
      <c r="E60" s="95"/>
      <c r="F60" s="95"/>
      <c r="G60" s="95"/>
      <c r="H60" s="95"/>
      <c r="I60" s="95"/>
      <c r="J60" s="95"/>
    </row>
    <row r="63" spans="1:11">
      <c r="A63" s="47"/>
    </row>
    <row r="64" spans="1:11">
      <c r="B64" s="47"/>
      <c r="C64" s="47"/>
      <c r="D64" s="47"/>
      <c r="E64" s="47"/>
      <c r="F64" s="47"/>
      <c r="G64" s="47"/>
      <c r="H64" s="47"/>
      <c r="I64" s="47"/>
      <c r="J64" s="47"/>
    </row>
    <row r="65" spans="1:11">
      <c r="A65" s="96"/>
      <c r="B65" s="95"/>
      <c r="C65" s="95"/>
      <c r="D65" s="95"/>
      <c r="E65" s="95"/>
      <c r="F65" s="95"/>
      <c r="G65" s="95"/>
      <c r="H65" s="95"/>
      <c r="I65" s="95"/>
      <c r="J65" s="95"/>
    </row>
    <row r="66" spans="1:11">
      <c r="A66" s="96"/>
      <c r="B66" s="95"/>
      <c r="C66" s="95"/>
      <c r="D66" s="95"/>
      <c r="E66" s="95"/>
      <c r="F66" s="95"/>
      <c r="G66" s="95"/>
      <c r="H66" s="95"/>
      <c r="I66" s="95"/>
      <c r="J66" s="95"/>
    </row>
    <row r="68" spans="1:11">
      <c r="B68" s="47"/>
      <c r="C68" s="47"/>
      <c r="D68" s="47"/>
      <c r="E68" s="47"/>
      <c r="F68" s="47"/>
      <c r="G68" s="47"/>
      <c r="H68" s="47"/>
      <c r="I68" s="47"/>
      <c r="J68" s="47"/>
    </row>
    <row r="69" spans="1:11">
      <c r="A69" s="96"/>
      <c r="B69" s="95"/>
      <c r="C69" s="95"/>
      <c r="D69" s="95"/>
      <c r="E69" s="95"/>
      <c r="F69" s="95"/>
      <c r="G69" s="95"/>
      <c r="H69" s="95"/>
      <c r="I69" s="95"/>
      <c r="J69" s="95"/>
    </row>
    <row r="70" spans="1:11">
      <c r="A70" s="96"/>
      <c r="B70" s="95"/>
      <c r="C70" s="95"/>
      <c r="D70" s="95"/>
      <c r="E70" s="95"/>
      <c r="F70" s="95"/>
      <c r="G70" s="95"/>
      <c r="H70" s="95"/>
      <c r="I70" s="95"/>
      <c r="J70" s="95"/>
      <c r="K70" s="95"/>
    </row>
    <row r="71" spans="1:11">
      <c r="A71" s="96"/>
      <c r="B71" s="95"/>
      <c r="C71" s="95"/>
      <c r="D71" s="95"/>
      <c r="E71" s="95"/>
      <c r="F71" s="95"/>
      <c r="G71" s="95"/>
      <c r="H71" s="95"/>
      <c r="I71" s="95"/>
      <c r="J71" s="95"/>
    </row>
    <row r="72" spans="1:11">
      <c r="A72" s="96"/>
      <c r="B72" s="95"/>
      <c r="C72" s="95"/>
      <c r="D72" s="95"/>
      <c r="E72" s="95"/>
      <c r="F72" s="95"/>
      <c r="G72" s="95"/>
      <c r="H72" s="95"/>
      <c r="I72" s="95"/>
      <c r="J72" s="95"/>
      <c r="K72" s="95"/>
    </row>
    <row r="73" spans="1:11">
      <c r="A73" s="96"/>
      <c r="B73" s="95"/>
      <c r="C73" s="95"/>
      <c r="D73" s="95"/>
      <c r="E73" s="95"/>
      <c r="F73" s="95"/>
      <c r="G73" s="95"/>
      <c r="H73" s="95"/>
      <c r="I73" s="95"/>
      <c r="J73" s="95"/>
    </row>
    <row r="74" spans="1:11">
      <c r="A74" s="96"/>
      <c r="B74" s="95"/>
      <c r="C74" s="95"/>
      <c r="D74" s="95"/>
      <c r="E74" s="95"/>
      <c r="F74" s="95"/>
      <c r="G74" s="95"/>
      <c r="H74" s="95"/>
      <c r="I74" s="95"/>
      <c r="J74" s="95"/>
      <c r="K74" s="95"/>
    </row>
    <row r="75" spans="1:11">
      <c r="A75" s="96"/>
    </row>
    <row r="76" spans="1:11">
      <c r="A76" s="96"/>
      <c r="B76" s="47"/>
      <c r="C76" s="47"/>
      <c r="D76" s="47"/>
      <c r="E76" s="47"/>
      <c r="F76" s="47"/>
      <c r="G76" s="47"/>
      <c r="H76" s="47"/>
      <c r="I76" s="47"/>
      <c r="J76" s="47"/>
    </row>
    <row r="77" spans="1:11">
      <c r="A77" s="96"/>
      <c r="B77" s="95"/>
      <c r="C77" s="95"/>
      <c r="D77" s="95"/>
      <c r="E77" s="95"/>
      <c r="F77" s="95"/>
      <c r="G77" s="95"/>
      <c r="H77" s="95"/>
      <c r="I77" s="95"/>
      <c r="J77" s="95"/>
    </row>
    <row r="78" spans="1:11">
      <c r="A78" s="96"/>
      <c r="B78" s="95"/>
      <c r="C78" s="95"/>
      <c r="D78" s="95"/>
      <c r="E78" s="95"/>
      <c r="F78" s="95"/>
      <c r="G78" s="95"/>
      <c r="H78" s="95"/>
      <c r="I78" s="95"/>
      <c r="J78" s="95"/>
    </row>
    <row r="79" spans="1:11">
      <c r="A79" s="96"/>
      <c r="B79" s="95"/>
      <c r="C79" s="95"/>
      <c r="D79" s="95"/>
      <c r="E79" s="95"/>
      <c r="F79" s="95"/>
      <c r="G79" s="95"/>
      <c r="H79" s="95"/>
      <c r="I79" s="95"/>
      <c r="J79" s="95"/>
      <c r="K79" s="95"/>
    </row>
    <row r="80" spans="1:11">
      <c r="A80" s="96"/>
      <c r="B80" s="95"/>
      <c r="C80" s="95"/>
      <c r="D80" s="95"/>
      <c r="E80" s="95"/>
      <c r="F80" s="95"/>
      <c r="G80" s="95"/>
      <c r="H80" s="95"/>
      <c r="I80" s="95"/>
      <c r="J80" s="95"/>
    </row>
    <row r="81" spans="1:11">
      <c r="A81" s="96"/>
    </row>
    <row r="82" spans="1:11">
      <c r="A82" s="96"/>
      <c r="B82" s="47"/>
      <c r="C82" s="47"/>
      <c r="D82" s="47"/>
      <c r="E82" s="47"/>
      <c r="F82" s="47"/>
      <c r="G82" s="47"/>
      <c r="H82" s="47"/>
      <c r="I82" s="47"/>
      <c r="J82" s="47"/>
    </row>
    <row r="83" spans="1:11">
      <c r="A83" s="97"/>
      <c r="B83" s="95"/>
      <c r="C83" s="95"/>
      <c r="D83" s="95"/>
      <c r="E83" s="95"/>
      <c r="F83" s="95"/>
      <c r="G83" s="95"/>
      <c r="H83" s="95"/>
      <c r="I83" s="95"/>
      <c r="J83" s="95"/>
    </row>
    <row r="84" spans="1:11">
      <c r="A84" s="98"/>
      <c r="B84" s="95"/>
      <c r="C84" s="95"/>
      <c r="D84" s="95"/>
      <c r="E84" s="95"/>
      <c r="F84" s="95"/>
      <c r="G84" s="95"/>
      <c r="H84" s="95"/>
      <c r="I84" s="95"/>
      <c r="J84" s="95"/>
      <c r="K84" s="95"/>
    </row>
    <row r="85" spans="1:11">
      <c r="A85" s="98"/>
      <c r="B85" s="95"/>
      <c r="C85" s="95"/>
      <c r="D85" s="95"/>
      <c r="E85" s="95"/>
      <c r="F85" s="95"/>
      <c r="G85" s="95"/>
      <c r="H85" s="95"/>
      <c r="I85" s="95"/>
      <c r="J85" s="95"/>
    </row>
    <row r="86" spans="1:11">
      <c r="A86" s="99"/>
      <c r="B86" s="95"/>
      <c r="C86" s="95"/>
      <c r="D86" s="95"/>
      <c r="E86" s="95"/>
      <c r="F86" s="95"/>
      <c r="G86" s="95"/>
      <c r="H86" s="95"/>
      <c r="I86" s="95"/>
      <c r="J86" s="95"/>
      <c r="K86" s="95"/>
    </row>
    <row r="88" spans="1:11">
      <c r="B88" s="47"/>
      <c r="C88" s="47"/>
      <c r="D88" s="47"/>
      <c r="E88" s="47"/>
      <c r="F88" s="47"/>
      <c r="G88" s="47"/>
      <c r="H88" s="47"/>
      <c r="I88" s="47"/>
      <c r="J88" s="47"/>
    </row>
    <row r="89" spans="1:11">
      <c r="A89" s="100"/>
      <c r="B89" s="95"/>
      <c r="C89" s="95"/>
      <c r="D89" s="95"/>
      <c r="E89" s="95"/>
      <c r="F89" s="95"/>
      <c r="G89" s="95"/>
      <c r="H89" s="95"/>
      <c r="I89" s="95"/>
      <c r="J89" s="95"/>
    </row>
    <row r="90" spans="1:11">
      <c r="A90" s="100"/>
      <c r="B90" s="95"/>
      <c r="C90" s="95"/>
      <c r="D90" s="95"/>
      <c r="E90" s="95"/>
      <c r="F90" s="95"/>
      <c r="G90" s="95"/>
      <c r="H90" s="95"/>
      <c r="I90" s="95"/>
      <c r="J90" s="95"/>
    </row>
    <row r="1048576" spans="2:2">
      <c r="B1048576" s="95"/>
    </row>
  </sheetData>
  <mergeCells count="3">
    <mergeCell ref="A3:J3"/>
    <mergeCell ref="L3:T3"/>
    <mergeCell ref="V3:AD3"/>
  </mergeCells>
  <pageMargins left="0.7" right="0.7" top="0.75" bottom="0.75" header="0.3" footer="0.3"/>
  <tableParts count="3">
    <tablePart r:id="rId1"/>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48576"/>
  <sheetViews>
    <sheetView workbookViewId="0">
      <selection activeCell="U2" sqref="U2"/>
    </sheetView>
  </sheetViews>
  <sheetFormatPr defaultRowHeight="15"/>
  <cols>
    <col min="1" max="1" width="28.5703125" bestFit="1" customWidth="1"/>
    <col min="2" max="2" width="9.42578125" customWidth="1"/>
    <col min="3" max="3" width="9.5703125" customWidth="1"/>
    <col min="10" max="10" width="9.5703125" customWidth="1"/>
    <col min="12" max="12" width="9.42578125" customWidth="1"/>
    <col min="13" max="13" width="9.5703125" customWidth="1"/>
    <col min="20" max="20" width="9.5703125" customWidth="1"/>
    <col min="22" max="22" width="9.42578125" customWidth="1"/>
    <col min="23" max="23" width="9.5703125" customWidth="1"/>
    <col min="30" max="30" width="9.5703125" customWidth="1"/>
    <col min="31" max="41" width="0" hidden="1" customWidth="1"/>
  </cols>
  <sheetData>
    <row r="1" spans="1:43" ht="28.5">
      <c r="A1" s="125" t="s">
        <v>192</v>
      </c>
      <c r="B1" s="125"/>
      <c r="C1" s="125"/>
      <c r="D1" s="125"/>
      <c r="E1" s="125"/>
      <c r="F1" s="125"/>
      <c r="G1" s="125"/>
      <c r="H1" s="125"/>
      <c r="I1" s="125"/>
      <c r="J1" s="125"/>
    </row>
    <row r="3" spans="1:43" ht="28.5">
      <c r="A3" s="159" t="s">
        <v>8</v>
      </c>
      <c r="B3" s="159"/>
      <c r="C3" s="159"/>
      <c r="D3" s="159"/>
      <c r="E3" s="159"/>
      <c r="F3" s="159"/>
      <c r="G3" s="159"/>
      <c r="H3" s="159"/>
      <c r="I3" s="159"/>
      <c r="J3" s="159"/>
      <c r="L3" s="159" t="s">
        <v>125</v>
      </c>
      <c r="M3" s="159"/>
      <c r="N3" s="159"/>
      <c r="O3" s="159"/>
      <c r="P3" s="159"/>
      <c r="Q3" s="159"/>
      <c r="R3" s="159"/>
      <c r="S3" s="159"/>
      <c r="T3" s="159"/>
      <c r="V3" s="159" t="s">
        <v>10</v>
      </c>
      <c r="W3" s="159"/>
      <c r="X3" s="159"/>
      <c r="Y3" s="159"/>
      <c r="Z3" s="159"/>
      <c r="AA3" s="159"/>
      <c r="AB3" s="159"/>
      <c r="AC3" s="159"/>
      <c r="AD3" s="159"/>
      <c r="AE3" s="159"/>
      <c r="AF3" s="159"/>
      <c r="AG3" s="159"/>
      <c r="AH3" s="159"/>
      <c r="AI3" s="159"/>
      <c r="AJ3" s="159"/>
      <c r="AK3" s="159"/>
      <c r="AL3" s="159"/>
      <c r="AM3" s="159"/>
      <c r="AN3" s="159"/>
      <c r="AO3" s="159"/>
      <c r="AP3" s="159"/>
    </row>
    <row r="4" spans="1:43">
      <c r="A4" t="s">
        <v>137</v>
      </c>
      <c r="B4" s="47" t="s">
        <v>27</v>
      </c>
      <c r="C4" s="47" t="s">
        <v>28</v>
      </c>
      <c r="D4" s="47" t="s">
        <v>2</v>
      </c>
      <c r="E4" s="47" t="s">
        <v>3</v>
      </c>
      <c r="F4" s="47" t="s">
        <v>4</v>
      </c>
      <c r="G4" s="47" t="s">
        <v>5</v>
      </c>
      <c r="H4" s="47" t="s">
        <v>6</v>
      </c>
      <c r="I4" s="47" t="s">
        <v>7</v>
      </c>
      <c r="J4" s="47" t="s">
        <v>31</v>
      </c>
      <c r="L4" s="47" t="s">
        <v>27</v>
      </c>
      <c r="M4" s="47" t="s">
        <v>28</v>
      </c>
      <c r="N4" s="47" t="s">
        <v>2</v>
      </c>
      <c r="O4" s="47" t="s">
        <v>3</v>
      </c>
      <c r="P4" s="47" t="s">
        <v>4</v>
      </c>
      <c r="Q4" s="47" t="s">
        <v>5</v>
      </c>
      <c r="R4" s="47" t="s">
        <v>6</v>
      </c>
      <c r="S4" s="47" t="s">
        <v>7</v>
      </c>
      <c r="T4" s="47" t="s">
        <v>31</v>
      </c>
      <c r="V4" s="47" t="s">
        <v>27</v>
      </c>
      <c r="W4" s="47" t="s">
        <v>28</v>
      </c>
      <c r="X4" s="47" t="s">
        <v>2</v>
      </c>
      <c r="Y4" s="47" t="s">
        <v>3</v>
      </c>
      <c r="Z4" s="47" t="s">
        <v>4</v>
      </c>
      <c r="AA4" s="47" t="s">
        <v>5</v>
      </c>
      <c r="AB4" s="47" t="s">
        <v>6</v>
      </c>
      <c r="AC4" s="47" t="s">
        <v>7</v>
      </c>
      <c r="AD4" s="47" t="s">
        <v>31</v>
      </c>
      <c r="AE4" t="s">
        <v>114</v>
      </c>
      <c r="AF4" t="s">
        <v>132</v>
      </c>
      <c r="AG4" t="s">
        <v>138</v>
      </c>
      <c r="AH4" t="s">
        <v>139</v>
      </c>
      <c r="AI4" t="s">
        <v>140</v>
      </c>
      <c r="AJ4" t="s">
        <v>141</v>
      </c>
      <c r="AK4" t="s">
        <v>142</v>
      </c>
      <c r="AL4" t="s">
        <v>143</v>
      </c>
      <c r="AM4" t="s">
        <v>144</v>
      </c>
      <c r="AN4" t="s">
        <v>145</v>
      </c>
      <c r="AO4" t="s">
        <v>146</v>
      </c>
      <c r="AP4" s="47" t="s">
        <v>12</v>
      </c>
    </row>
    <row r="5" spans="1:43">
      <c r="A5" s="96" t="s">
        <v>116</v>
      </c>
      <c r="B5" s="95">
        <f>AVERAGEIF('Profiles - Group B'!$G$6:$G$41, "Non-Smart", 'Task metrics - Group B'!AT$6:AT$41)</f>
        <v>0.32142857142857145</v>
      </c>
      <c r="C5" s="95">
        <f>AVERAGEIF('Profiles - Group B'!$G$6:$G$41, "Non-Smart", 'Task metrics - Group B'!AU$6:AU$41)</f>
        <v>1.7857142857142856E-2</v>
      </c>
      <c r="D5" s="95">
        <f>AVERAGEIF('Profiles - Group B'!$G$6:$G$41, "Non-Smart", 'Task metrics - Group B'!AV$6:AV$41)</f>
        <v>5.3571428571428568E-2</v>
      </c>
      <c r="E5" s="95">
        <f>AVERAGEIF('Profiles - Group B'!$G$6:$G$41, "Non-Smart", 'Task metrics - Group B'!AW$6:AW$41)</f>
        <v>0.25</v>
      </c>
      <c r="F5" s="95">
        <f>AVERAGEIF('Profiles - Group B'!$G$6:$G$41, "Non-Smart", 'Task metrics - Group B'!AX$6:AX$41)</f>
        <v>0.35714285714285715</v>
      </c>
      <c r="G5" s="95">
        <f>AVERAGEIF('Profiles - Group B'!$G$6:$G$41, "Non-Smart", 'Task metrics - Group B'!AY$6:AY$41)</f>
        <v>0.26785714285714285</v>
      </c>
      <c r="H5" s="95">
        <f>AVERAGEIF('Profiles - Group B'!$G$6:$G$41, "Non-Smart", 'Task metrics - Group B'!AZ$6:AZ$41)</f>
        <v>0.17857142857142858</v>
      </c>
      <c r="I5" s="95">
        <f>AVERAGEIF('Profiles - Group B'!$G$6:$G$41, "Non-Smart", 'Task metrics - Group B'!BA$6:BA$41)</f>
        <v>0.4107142857142857</v>
      </c>
      <c r="J5" s="95">
        <f>AVERAGE(B5:I5)</f>
        <v>0.23214285714285715</v>
      </c>
      <c r="K5" s="96"/>
      <c r="L5" s="95">
        <f>AVERAGEIF('Profiles - Group B'!$G$6:$G$41, "Non-Smart", 'Task Time Calcs - Group B'!L$6:L$41)</f>
        <v>206.11111111111111</v>
      </c>
      <c r="M5" s="95">
        <f>AVERAGEIF('Profiles - Group B'!$G$6:$G$41, "Non-Smart", 'Task Time Calcs - Group B'!M$6:M$41)</f>
        <v>180</v>
      </c>
      <c r="N5" s="95">
        <f>AVERAGEIF('Profiles - Group B'!$G$6:$G$41, "Non-Smart", 'Task Time Calcs - Group B'!N$6:N$41)</f>
        <v>160.33333333333334</v>
      </c>
      <c r="O5" s="95">
        <f>AVERAGEIF('Profiles - Group B'!$G$6:$G$41, "Non-Smart", 'Task Time Calcs - Group B'!O$6:O$41)</f>
        <v>120.8</v>
      </c>
      <c r="P5" s="95">
        <f>AVERAGEIF('Profiles - Group B'!$G$6:$G$41, "Non-Smart", 'Task Time Calcs - Group B'!P$6:P$41)</f>
        <v>120</v>
      </c>
      <c r="Q5" s="95">
        <f>AVERAGEIF('Profiles - Group B'!$G$6:$G$41, "Non-Smart", 'Task Time Calcs - Group B'!Q$6:Q$41)</f>
        <v>66.5</v>
      </c>
      <c r="R5" s="95">
        <f>AVERAGEIF('Profiles - Group B'!$G$6:$G$41, "Non-Smart", 'Task Time Calcs - Group B'!R$6:R$41)</f>
        <v>86.75</v>
      </c>
      <c r="S5" s="95">
        <f>AVERAGEIF('Profiles - Group B'!$G$6:$G$41, "Non-Smart", 'Task Time Calcs - Group B'!S$6:S$41)</f>
        <v>127.125</v>
      </c>
      <c r="T5" s="95">
        <f>AVERAGE(L5:S5)</f>
        <v>133.45243055555557</v>
      </c>
      <c r="V5" s="95">
        <f>AVERAGEIF('Profiles - Group B'!$G$6:$G$41, "Non-Smart", 'Task metrics - Group B'!BN$6:BN$41)</f>
        <v>2.9285714285714284</v>
      </c>
      <c r="W5" s="95">
        <f>AVERAGEIF('Profiles - Group B'!$G$6:$G$41, "Non-Smart", 'Task metrics - Group B'!BO$6:BO$41)</f>
        <v>1.7857142857142858</v>
      </c>
      <c r="X5" s="95">
        <f>AVERAGEIF('Profiles - Group B'!$G$6:$G$41, "Non-Smart", 'Task metrics - Group B'!BP$6:BP$41)</f>
        <v>2.1428571428571428</v>
      </c>
      <c r="Y5" s="95">
        <f>AVERAGEIF('Profiles - Group B'!$G$6:$G$41, "Non-Smart", 'Task metrics - Group B'!BQ$6:BQ$41)</f>
        <v>2.0714285714285716</v>
      </c>
      <c r="Z5" s="95">
        <f>AVERAGEIF('Profiles - Group B'!$G$6:$G$41, "Non-Smart", 'Task metrics - Group B'!BR$6:BR$41)</f>
        <v>2.6428571428571428</v>
      </c>
      <c r="AA5" s="95">
        <f>AVERAGEIF('Profiles - Group B'!$G$6:$G$41, "Non-Smart", 'Task metrics - Group B'!BS$6:BS$41)</f>
        <v>2.5714285714285716</v>
      </c>
      <c r="AB5" s="95">
        <f>AVERAGEIF('Profiles - Group B'!$G$6:$G$41, "Non-Smart", 'Task metrics - Group B'!BT$6:BT$41)</f>
        <v>1.8571428571428572</v>
      </c>
      <c r="AC5" s="95">
        <f>AVERAGEIF('Profiles - Group B'!$G$6:$G$41, "Non-Smart", 'Task metrics - Group B'!BU$6:BU$41)</f>
        <v>2.0714285714285716</v>
      </c>
      <c r="AD5" s="95">
        <f>AVERAGE(V5:AC5)</f>
        <v>2.2589285714285716</v>
      </c>
      <c r="AP5" s="95">
        <f>AVERAGEIF('Profiles - Group B'!$G$6:$G$41, "Non-Smart", 'Task metrics - Group B'!CH$6:CH$41)</f>
        <v>31.964285714285715</v>
      </c>
    </row>
    <row r="6" spans="1:43">
      <c r="A6" s="96" t="s">
        <v>115</v>
      </c>
      <c r="B6" s="95">
        <f>AVERAGEIF('Profiles - Group B'!$G$6:$G$41, "&lt;&gt;Non-Smart", 'Task metrics - Group B'!AT$6:AT$41)</f>
        <v>0.45454545454545453</v>
      </c>
      <c r="C6" s="95">
        <f>AVERAGEIF('Profiles - Group B'!$G$6:$G$41, "&lt;&gt;Non-Smart", 'Task metrics - Group B'!AU$6:AU$41)</f>
        <v>5.6818181818181816E-2</v>
      </c>
      <c r="D6" s="95">
        <f>AVERAGEIF('Profiles - Group B'!$G$6:$G$41, "&lt;&gt;Non-Smart", 'Task metrics - Group B'!AV$6:AV$41)</f>
        <v>7.9545454545454544E-2</v>
      </c>
      <c r="E6" s="95">
        <f>AVERAGEIF('Profiles - Group B'!$G$6:$G$41, "&lt;&gt;Non-Smart", 'Task metrics - Group B'!AW$6:AW$41)</f>
        <v>0.15909090909090909</v>
      </c>
      <c r="F6" s="95">
        <f>AVERAGEIF('Profiles - Group B'!$G$6:$G$41, "&lt;&gt;Non-Smart", 'Task metrics - Group B'!AX$6:AX$41)</f>
        <v>0.36363636363636365</v>
      </c>
      <c r="G6" s="95">
        <f>AVERAGEIF('Profiles - Group B'!$G$6:$G$41, "&lt;&gt;Non-Smart", 'Task metrics - Group B'!AY$6:AY$41)</f>
        <v>5.6818181818181816E-2</v>
      </c>
      <c r="H6" s="95">
        <f>AVERAGEIF('Profiles - Group B'!$G$6:$G$41, "&lt;&gt;Non-Smart", 'Task metrics - Group B'!AZ$6:AZ$41)</f>
        <v>0.15909090909090909</v>
      </c>
      <c r="I6" s="95">
        <f>AVERAGEIF('Profiles - Group B'!$G$6:$G$41, "&lt;&gt;Non-Smart", 'Task metrics - Group B'!BA$6:BA$41)</f>
        <v>0.44318181818181818</v>
      </c>
      <c r="J6" s="95">
        <f>AVERAGE(B6:I6)</f>
        <v>0.22159090909090912</v>
      </c>
      <c r="K6" s="96"/>
      <c r="L6" s="95">
        <f>AVERAGEIF('Profiles - Group B'!$G$6:$G$41, "&lt;&gt;Non-Smart", 'Task Time Calcs - Group B'!L$6:L$41)</f>
        <v>207.84210526315789</v>
      </c>
      <c r="M6" s="95">
        <f>AVERAGEIF('Profiles - Group B'!$G$6:$G$41, "&lt;&gt;Non-Smart", 'Task Time Calcs - Group B'!M$6:M$41)</f>
        <v>175</v>
      </c>
      <c r="N6" s="95">
        <f>AVERAGEIF('Profiles - Group B'!$G$6:$G$41, "&lt;&gt;Non-Smart", 'Task Time Calcs - Group B'!N$6:N$41)</f>
        <v>111.75</v>
      </c>
      <c r="O6" s="95">
        <f>AVERAGEIF('Profiles - Group B'!$G$6:$G$41, "&lt;&gt;Non-Smart", 'Task Time Calcs - Group B'!O$6:O$41)</f>
        <v>87.2</v>
      </c>
      <c r="P6" s="95">
        <f>AVERAGEIF('Profiles - Group B'!$G$6:$G$41, "&lt;&gt;Non-Smart", 'Task Time Calcs - Group B'!P$6:P$41)</f>
        <v>124.85714285714286</v>
      </c>
      <c r="Q6" s="95">
        <f>AVERAGEIF('Profiles - Group B'!$G$6:$G$41, "&lt;&gt;Non-Smart", 'Task Time Calcs - Group B'!Q$6:Q$41)</f>
        <v>106.8</v>
      </c>
      <c r="R6" s="95">
        <f>AVERAGEIF('Profiles - Group B'!$G$6:$G$41, "&lt;&gt;Non-Smart", 'Task Time Calcs - Group B'!R$6:R$41)</f>
        <v>132.25</v>
      </c>
      <c r="S6" s="95">
        <f>AVERAGEIF('Profiles - Group B'!$G$6:$G$41, "&lt;&gt;Non-Smart", 'Task Time Calcs - Group B'!S$6:S$41)</f>
        <v>135</v>
      </c>
      <c r="T6" s="95">
        <f>AVERAGE(L6:S6)</f>
        <v>135.0874060150376</v>
      </c>
      <c r="V6" s="95">
        <f>AVERAGEIF('Profiles - Group B'!$G$6:$G$41, "&lt;&gt;Non-Smart", 'Task metrics - Group B'!BN$6:BN$41)</f>
        <v>3.5454545454545454</v>
      </c>
      <c r="W6" s="95">
        <f>AVERAGEIF('Profiles - Group B'!$G$6:$G$41, "&lt;&gt;Non-Smart", 'Task metrics - Group B'!BO$6:BO$41)</f>
        <v>1.8181818181818181</v>
      </c>
      <c r="X6" s="95">
        <f>AVERAGEIF('Profiles - Group B'!$G$6:$G$41, "&lt;&gt;Non-Smart", 'Task metrics - Group B'!BP$6:BP$41)</f>
        <v>1.9090909090909092</v>
      </c>
      <c r="Y6" s="95">
        <f>AVERAGEIF('Profiles - Group B'!$G$6:$G$41, "&lt;&gt;Non-Smart", 'Task metrics - Group B'!BQ$6:BQ$41)</f>
        <v>1.5</v>
      </c>
      <c r="Z6" s="95">
        <f>AVERAGEIF('Profiles - Group B'!$G$6:$G$41, "&lt;&gt;Non-Smart", 'Task metrics - Group B'!BR$6:BR$41)</f>
        <v>2.9545454545454546</v>
      </c>
      <c r="AA6" s="95">
        <f>AVERAGEIF('Profiles - Group B'!$G$6:$G$41, "&lt;&gt;Non-Smart", 'Task metrics - Group B'!BS$6:BS$41)</f>
        <v>1.8636363636363635</v>
      </c>
      <c r="AB6" s="95">
        <f>AVERAGEIF('Profiles - Group B'!$G$6:$G$41, "&lt;&gt;Non-Smart", 'Task metrics - Group B'!BT$6:BT$41)</f>
        <v>1.9545454545454546</v>
      </c>
      <c r="AC6" s="95">
        <f>AVERAGEIF('Profiles - Group B'!$G$6:$G$41, "&lt;&gt;Non-Smart", 'Task metrics - Group B'!BU$6:BU$41)</f>
        <v>1.8181818181818181</v>
      </c>
      <c r="AD6" s="95">
        <f>AVERAGE(V6:AC6)</f>
        <v>2.1704545454545454</v>
      </c>
      <c r="AP6" s="95">
        <f>AVERAGEIF('Profiles - Group B'!$G$6:$G$41, "&lt;&gt;Non-Smart", 'Task metrics - Group B'!CH$6:CH$41)</f>
        <v>30.568181818181817</v>
      </c>
    </row>
    <row r="8" spans="1:43">
      <c r="B8" s="47" t="s">
        <v>27</v>
      </c>
      <c r="C8" s="47" t="s">
        <v>28</v>
      </c>
      <c r="D8" s="47" t="s">
        <v>2</v>
      </c>
      <c r="E8" s="47" t="s">
        <v>3</v>
      </c>
      <c r="F8" s="47" t="s">
        <v>4</v>
      </c>
      <c r="G8" s="47" t="s">
        <v>5</v>
      </c>
      <c r="H8" s="47" t="s">
        <v>6</v>
      </c>
      <c r="I8" s="47" t="s">
        <v>7</v>
      </c>
      <c r="J8" s="47" t="s">
        <v>31</v>
      </c>
      <c r="L8" s="47" t="s">
        <v>27</v>
      </c>
      <c r="M8" s="47" t="s">
        <v>28</v>
      </c>
      <c r="N8" s="47" t="s">
        <v>2</v>
      </c>
      <c r="O8" s="47" t="s">
        <v>3</v>
      </c>
      <c r="P8" s="47" t="s">
        <v>4</v>
      </c>
      <c r="Q8" s="47" t="s">
        <v>5</v>
      </c>
      <c r="R8" s="47" t="s">
        <v>6</v>
      </c>
      <c r="S8" s="47" t="s">
        <v>7</v>
      </c>
      <c r="T8" s="47" t="s">
        <v>31</v>
      </c>
      <c r="V8" s="47" t="s">
        <v>27</v>
      </c>
      <c r="W8" s="47" t="s">
        <v>28</v>
      </c>
      <c r="X8" s="47" t="s">
        <v>2</v>
      </c>
      <c r="Y8" s="47" t="s">
        <v>3</v>
      </c>
      <c r="Z8" s="47" t="s">
        <v>4</v>
      </c>
      <c r="AA8" s="47" t="s">
        <v>5</v>
      </c>
      <c r="AB8" s="47" t="s">
        <v>6</v>
      </c>
      <c r="AC8" s="47" t="s">
        <v>7</v>
      </c>
      <c r="AD8" s="47" t="s">
        <v>31</v>
      </c>
    </row>
    <row r="9" spans="1:43">
      <c r="A9" s="96" t="s">
        <v>117</v>
      </c>
      <c r="B9" s="95">
        <f>AVERAGEIF('Profiles - Group B'!$E$6:$E$41, "18 to 25", 'Task metrics - Group B'!AT$6:AT$41)</f>
        <v>0.55000000000000004</v>
      </c>
      <c r="C9" s="95">
        <f>AVERAGEIF('Profiles - Group B'!$E$6:$E$41, "18 to 25", 'Task metrics - Group B'!AU$6:AU$41)</f>
        <v>0.1</v>
      </c>
      <c r="D9" s="95">
        <f>AVERAGEIF('Profiles - Group B'!$E$6:$E$41, "18 to 25", 'Task metrics - Group B'!AV$6:AV$41)</f>
        <v>0.2</v>
      </c>
      <c r="E9" s="95">
        <f>AVERAGEIF('Profiles - Group B'!$E$6:$E$41, "18 to 25", 'Task metrics - Group B'!AW$6:AW$41)</f>
        <v>0.25</v>
      </c>
      <c r="F9" s="95">
        <f>AVERAGEIF('Profiles - Group B'!$E$6:$E$41, "18 to 25", 'Task metrics - Group B'!AX$6:AX$41)</f>
        <v>0.7</v>
      </c>
      <c r="G9" s="95">
        <f>AVERAGEIF('Profiles - Group B'!$E$6:$E$41, "18 to 25", 'Task metrics - Group B'!AY$6:AY$41)</f>
        <v>0.25</v>
      </c>
      <c r="H9" s="95">
        <f>AVERAGEIF('Profiles - Group B'!$E$6:$E$41, "18 to 25", 'Task metrics - Group B'!AZ$6:AZ$41)</f>
        <v>0.1</v>
      </c>
      <c r="I9" s="95">
        <f>AVERAGEIF('Profiles - Group B'!$E$6:$E$41, "18 to 25", 'Task metrics - Group B'!BA$6:BA$41)</f>
        <v>0.2</v>
      </c>
      <c r="J9" s="95">
        <f t="shared" ref="J9:J14" si="0">AVERAGE(B9:I9)</f>
        <v>0.29375000000000001</v>
      </c>
      <c r="L9" s="95">
        <f>AVERAGEIF('Profiles - Group B'!$E$6:$E$41, "18 to 25", 'Task Time Calcs - Group B'!L$6:L$41)</f>
        <v>159.19999999999999</v>
      </c>
      <c r="M9" s="95">
        <f>AVERAGEIF('Profiles - Group B'!$E$6:$E$41, "18 to 25", 'Task Time Calcs - Group B'!M$6:M$41)</f>
        <v>180</v>
      </c>
      <c r="N9" s="95">
        <f>AVERAGEIF('Profiles - Group B'!$E$6:$E$41, "18 to 25", 'Task Time Calcs - Group B'!N$6:N$41)</f>
        <v>47</v>
      </c>
      <c r="O9" s="95">
        <f>AVERAGEIF('Profiles - Group B'!$E$6:$E$41, "18 to 25", 'Task Time Calcs - Group B'!O$6:O$41)</f>
        <v>49.5</v>
      </c>
      <c r="P9" s="95">
        <f>AVERAGEIF('Profiles - Group B'!$E$6:$E$41, "18 to 25", 'Task Time Calcs - Group B'!P$6:P$41)</f>
        <v>91.4</v>
      </c>
      <c r="Q9" s="95">
        <f>AVERAGEIF('Profiles - Group B'!$E$6:$E$41, "18 to 25", 'Task Time Calcs - Group B'!Q$6:Q$41)</f>
        <v>52.5</v>
      </c>
      <c r="R9" s="95">
        <f>AVERAGEIF('Profiles - Group B'!$E$6:$E$41, "18 to 25", 'Task Time Calcs - Group B'!R$6:R$41)</f>
        <v>62</v>
      </c>
      <c r="S9" s="95">
        <f>AVERAGEIF('Profiles - Group B'!$E$6:$E$41, "18 to 25", 'Task Time Calcs - Group B'!S$6:S$41)</f>
        <v>101</v>
      </c>
      <c r="T9" s="95">
        <f t="shared" ref="T9:T14" si="1">AVERAGE(L9:S9)</f>
        <v>92.825000000000003</v>
      </c>
      <c r="V9" s="95">
        <f>AVERAGEIF('Profiles - Group B'!$E$6:$E$41, "18 to 25", 'Task metrics - Group B'!BN$6:BN$41)</f>
        <v>3.2</v>
      </c>
      <c r="W9" s="95">
        <f>AVERAGEIF('Profiles - Group B'!$E$6:$E$41, "18 to 25", 'Task metrics - Group B'!BO$6:BO$41)</f>
        <v>1.8</v>
      </c>
      <c r="X9" s="95">
        <f>AVERAGEIF('Profiles - Group B'!$E$6:$E$41, "18 to 25", 'Task metrics - Group B'!BP$6:BP$41)</f>
        <v>2.8</v>
      </c>
      <c r="Y9" s="95">
        <f>AVERAGEIF('Profiles - Group B'!$E$6:$E$41, "18 to 25", 'Task metrics - Group B'!BQ$6:BQ$41)</f>
        <v>2.4</v>
      </c>
      <c r="Z9" s="95">
        <f>AVERAGEIF('Profiles - Group B'!$E$6:$E$41, "18 to 25", 'Task metrics - Group B'!BR$6:BR$41)</f>
        <v>3.8</v>
      </c>
      <c r="AA9" s="95">
        <f>AVERAGEIF('Profiles - Group B'!$E$6:$E$41, "18 to 25", 'Task metrics - Group B'!BS$6:BS$41)</f>
        <v>2.4</v>
      </c>
      <c r="AB9" s="95">
        <f>AVERAGEIF('Profiles - Group B'!$E$6:$E$41, "18 to 25", 'Task metrics - Group B'!BT$6:BT$41)</f>
        <v>1.8</v>
      </c>
      <c r="AC9" s="95">
        <f>AVERAGEIF('Profiles - Group B'!$E$6:$E$41, "18 to 25", 'Task metrics - Group B'!BU$6:BU$41)</f>
        <v>1.6</v>
      </c>
      <c r="AD9" s="95">
        <f t="shared" ref="AD9:AD14" si="2">AVERAGE(V9:AC9)</f>
        <v>2.4750000000000001</v>
      </c>
      <c r="AP9" s="95">
        <f>AVERAGEIF('Profiles - Group B'!$E$6:$E$41, "18 to 25", 'Task metrics - Group B'!CH$6:CH$41)</f>
        <v>25</v>
      </c>
    </row>
    <row r="10" spans="1:43">
      <c r="A10" s="96" t="s">
        <v>118</v>
      </c>
      <c r="B10" s="95">
        <f>AVERAGEIF('Profiles - Group B'!$E$6:$E$41, "26 to 35", 'Task metrics - Group B'!AT$6:AT$41)</f>
        <v>0.55000000000000004</v>
      </c>
      <c r="C10" s="95">
        <f>AVERAGEIF('Profiles - Group B'!$E$6:$E$41, "26 to 35", 'Task metrics - Group B'!AU$6:AU$41)</f>
        <v>0.05</v>
      </c>
      <c r="D10" s="95">
        <f>AVERAGEIF('Profiles - Group B'!$E$6:$E$41, "26 to 35", 'Task metrics - Group B'!AV$6:AV$41)</f>
        <v>0.05</v>
      </c>
      <c r="E10" s="95">
        <f>AVERAGEIF('Profiles - Group B'!$E$6:$E$41, "26 to 35", 'Task metrics - Group B'!AW$6:AW$41)</f>
        <v>0.45</v>
      </c>
      <c r="F10" s="95">
        <f>AVERAGEIF('Profiles - Group B'!$E$6:$E$41, "26 to 35", 'Task metrics - Group B'!AX$6:AX$41)</f>
        <v>0.65</v>
      </c>
      <c r="G10" s="95">
        <f>AVERAGEIF('Profiles - Group B'!$E$6:$E$41, "26 to 35", 'Task metrics - Group B'!AY$6:AY$41)</f>
        <v>0.2</v>
      </c>
      <c r="H10" s="95">
        <f>AVERAGEIF('Profiles - Group B'!$E$6:$E$41, "26 to 35", 'Task metrics - Group B'!AZ$6:AZ$41)</f>
        <v>0.2</v>
      </c>
      <c r="I10" s="95">
        <f>AVERAGEIF('Profiles - Group B'!$E$6:$E$41, "26 to 35", 'Task metrics - Group B'!BA$6:BA$41)</f>
        <v>0.85</v>
      </c>
      <c r="J10" s="95">
        <f t="shared" si="0"/>
        <v>0.375</v>
      </c>
      <c r="K10" s="95"/>
      <c r="L10" s="95">
        <f>AVERAGEIF('Profiles - Group B'!$E$6:$E$41, "26 to 35", 'Task Time Calcs - Group B'!L$6:L$41)</f>
        <v>179.2</v>
      </c>
      <c r="M10" s="95">
        <f>AVERAGEIF('Profiles - Group B'!$E$6:$E$41, "26 to 35", 'Task Time Calcs - Group B'!M$6:M$41)</f>
        <v>180</v>
      </c>
      <c r="N10" s="95">
        <f>AVERAGEIF('Profiles - Group B'!$E$6:$E$41, "26 to 35", 'Task Time Calcs - Group B'!N$6:N$41)</f>
        <v>158</v>
      </c>
      <c r="O10" s="95">
        <f>AVERAGEIF('Profiles - Group B'!$E$6:$E$41, "26 to 35", 'Task Time Calcs - Group B'!O$6:O$41)</f>
        <v>125.66666666666667</v>
      </c>
      <c r="P10" s="95">
        <f>AVERAGEIF('Profiles - Group B'!$E$6:$E$41, "26 to 35", 'Task Time Calcs - Group B'!P$6:P$41)</f>
        <v>104.5</v>
      </c>
      <c r="Q10" s="95">
        <f>AVERAGEIF('Profiles - Group B'!$E$6:$E$41, "26 to 35", 'Task Time Calcs - Group B'!Q$6:Q$41)</f>
        <v>99.5</v>
      </c>
      <c r="R10" s="95">
        <f>AVERAGEIF('Profiles - Group B'!$E$6:$E$41, "26 to 35", 'Task Time Calcs - Group B'!R$6:R$41)</f>
        <v>62</v>
      </c>
      <c r="S10" s="95">
        <f>AVERAGEIF('Profiles - Group B'!$E$6:$E$41, "26 to 35", 'Task Time Calcs - Group B'!S$6:S$41)</f>
        <v>149.4</v>
      </c>
      <c r="T10" s="95">
        <f t="shared" si="1"/>
        <v>132.28333333333333</v>
      </c>
      <c r="U10" s="95"/>
      <c r="V10" s="95">
        <f>AVERAGEIF('Profiles - Group B'!$E$6:$E$41, "26 to 35", 'Task metrics - Group B'!BN$6:BN$41)</f>
        <v>4</v>
      </c>
      <c r="W10" s="95">
        <f>AVERAGEIF('Profiles - Group B'!$E$6:$E$41, "26 to 35", 'Task metrics - Group B'!BO$6:BO$41)</f>
        <v>1.8</v>
      </c>
      <c r="X10" s="95">
        <f>AVERAGEIF('Profiles - Group B'!$E$6:$E$41, "26 to 35", 'Task metrics - Group B'!BP$6:BP$41)</f>
        <v>1.4</v>
      </c>
      <c r="Y10" s="95">
        <f>AVERAGEIF('Profiles - Group B'!$E$6:$E$41, "26 to 35", 'Task metrics - Group B'!BQ$6:BQ$41)</f>
        <v>1.8</v>
      </c>
      <c r="Z10" s="95">
        <f>AVERAGEIF('Profiles - Group B'!$E$6:$E$41, "26 to 35", 'Task metrics - Group B'!BR$6:BR$41)</f>
        <v>2.8</v>
      </c>
      <c r="AA10" s="95">
        <f>AVERAGEIF('Profiles - Group B'!$E$6:$E$41, "26 to 35", 'Task metrics - Group B'!BS$6:BS$41)</f>
        <v>2.8</v>
      </c>
      <c r="AB10" s="95">
        <f>AVERAGEIF('Profiles - Group B'!$E$6:$E$41, "26 to 35", 'Task metrics - Group B'!BT$6:BT$41)</f>
        <v>2.2000000000000002</v>
      </c>
      <c r="AC10" s="95">
        <f>AVERAGEIF('Profiles - Group B'!$E$6:$E$41, "26 to 35", 'Task metrics - Group B'!BU$6:BU$41)</f>
        <v>2.4</v>
      </c>
      <c r="AD10" s="95">
        <f t="shared" si="2"/>
        <v>2.4</v>
      </c>
      <c r="AE10" s="95">
        <f>AVERAGE(V9:AC10)</f>
        <v>2.4375</v>
      </c>
      <c r="AP10" s="95">
        <f>AVERAGEIF('Profiles - Group B'!$E$6:$E$41, "26 to 35", 'Task metrics - Group B'!CH$6:CH$41)</f>
        <v>32.5</v>
      </c>
      <c r="AQ10" s="95"/>
    </row>
    <row r="11" spans="1:43">
      <c r="A11" s="96" t="s">
        <v>119</v>
      </c>
      <c r="B11" s="95">
        <f>AVERAGEIF('Profiles - Group B'!$E$6:$E$41, "36 to 45", 'Task metrics - Group B'!AT$6:AT$41)</f>
        <v>0.32142857142857145</v>
      </c>
      <c r="C11" s="95">
        <f>AVERAGEIF('Profiles - Group B'!$E$6:$E$41, "36 to 45", 'Task metrics - Group B'!AU$6:AU$41)</f>
        <v>7.1428571428571425E-2</v>
      </c>
      <c r="D11" s="95">
        <f>AVERAGEIF('Profiles - Group B'!$E$6:$E$41, "36 to 45", 'Task metrics - Group B'!AV$6:AV$41)</f>
        <v>7.1428571428571425E-2</v>
      </c>
      <c r="E11" s="95">
        <f>AVERAGEIF('Profiles - Group B'!$E$6:$E$41, "36 to 45", 'Task metrics - Group B'!AW$6:AW$41)</f>
        <v>0.14285714285714285</v>
      </c>
      <c r="F11" s="95">
        <f>AVERAGEIF('Profiles - Group B'!$E$6:$E$41, "36 to 45", 'Task metrics - Group B'!AX$6:AX$41)</f>
        <v>0.39285714285714285</v>
      </c>
      <c r="G11" s="95">
        <f>AVERAGEIF('Profiles - Group B'!$E$6:$E$41, "36 to 45", 'Task metrics - Group B'!AY$6:AY$41)</f>
        <v>0.14285714285714285</v>
      </c>
      <c r="H11" s="95">
        <f>AVERAGEIF('Profiles - Group B'!$E$6:$E$41, "36 to 45", 'Task metrics - Group B'!AZ$6:AZ$41)</f>
        <v>0.17857142857142858</v>
      </c>
      <c r="I11" s="95">
        <f>AVERAGEIF('Profiles - Group B'!$E$6:$E$41, "36 to 45", 'Task metrics - Group B'!BA$6:BA$41)</f>
        <v>0.5</v>
      </c>
      <c r="J11" s="95">
        <f t="shared" si="0"/>
        <v>0.22767857142857142</v>
      </c>
      <c r="L11" s="95">
        <f>AVERAGEIF('Profiles - Group B'!$E$6:$E$41, "36 to 45", 'Task Time Calcs - Group B'!L$6:L$41)</f>
        <v>203.33333333333334</v>
      </c>
      <c r="M11" s="95">
        <f>AVERAGEIF('Profiles - Group B'!$E$6:$E$41, "36 to 45", 'Task Time Calcs - Group B'!M$6:M$41)</f>
        <v>167.5</v>
      </c>
      <c r="N11" s="95">
        <f>AVERAGEIF('Profiles - Group B'!$E$6:$E$41, "36 to 45", 'Task Time Calcs - Group B'!N$6:N$41)</f>
        <v>110.5</v>
      </c>
      <c r="O11" s="95">
        <f>AVERAGEIF('Profiles - Group B'!$E$6:$E$41, "36 to 45", 'Task Time Calcs - Group B'!O$6:O$41)</f>
        <v>170</v>
      </c>
      <c r="P11" s="95">
        <f>AVERAGEIF('Profiles - Group B'!$E$6:$E$41, "36 to 45", 'Task Time Calcs - Group B'!P$6:P$41)</f>
        <v>120</v>
      </c>
      <c r="Q11" s="95">
        <f>AVERAGEIF('Profiles - Group B'!$E$6:$E$41, "36 to 45", 'Task Time Calcs - Group B'!Q$6:Q$41)</f>
        <v>102</v>
      </c>
      <c r="R11" s="95">
        <f>AVERAGEIF('Profiles - Group B'!$E$6:$E$41, "36 to 45", 'Task Time Calcs - Group B'!R$6:R$41)</f>
        <v>132</v>
      </c>
      <c r="S11" s="95">
        <f>AVERAGEIF('Profiles - Group B'!$E$6:$E$41, "36 to 45", 'Task Time Calcs - Group B'!S$6:S$41)</f>
        <v>126.6</v>
      </c>
      <c r="T11" s="95">
        <f t="shared" si="1"/>
        <v>141.49166666666667</v>
      </c>
      <c r="V11" s="95">
        <f>AVERAGEIF('Profiles - Group B'!$E$6:$E$41, "36 to 45", 'Task metrics - Group B'!BN$6:BN$41)</f>
        <v>3.4285714285714284</v>
      </c>
      <c r="W11" s="95">
        <f>AVERAGEIF('Profiles - Group B'!$E$6:$E$41, "36 to 45", 'Task metrics - Group B'!BO$6:BO$41)</f>
        <v>1.7142857142857142</v>
      </c>
      <c r="X11" s="95">
        <f>AVERAGEIF('Profiles - Group B'!$E$6:$E$41, "36 to 45", 'Task metrics - Group B'!BP$6:BP$41)</f>
        <v>2</v>
      </c>
      <c r="Y11" s="95">
        <f>AVERAGEIF('Profiles - Group B'!$E$6:$E$41, "36 to 45", 'Task metrics - Group B'!BQ$6:BQ$41)</f>
        <v>1.5714285714285714</v>
      </c>
      <c r="Z11" s="95">
        <f>AVERAGEIF('Profiles - Group B'!$E$6:$E$41, "36 to 45", 'Task metrics - Group B'!BR$6:BR$41)</f>
        <v>2.8571428571428572</v>
      </c>
      <c r="AA11" s="95">
        <f>AVERAGEIF('Profiles - Group B'!$E$6:$E$41, "36 to 45", 'Task metrics - Group B'!BS$6:BS$41)</f>
        <v>2</v>
      </c>
      <c r="AB11" s="95">
        <f>AVERAGEIF('Profiles - Group B'!$E$6:$E$41, "36 to 45", 'Task metrics - Group B'!BT$6:BT$41)</f>
        <v>2.5714285714285716</v>
      </c>
      <c r="AC11" s="95">
        <f>AVERAGEIF('Profiles - Group B'!$E$6:$E$41, "36 to 45", 'Task metrics - Group B'!BU$6:BU$41)</f>
        <v>2.1428571428571428</v>
      </c>
      <c r="AD11" s="95">
        <f t="shared" si="2"/>
        <v>2.2857142857142856</v>
      </c>
      <c r="AP11" s="95">
        <f>AVERAGEIF('Profiles - Group B'!$E$6:$E$41, "36 to 45", 'Task metrics - Group B'!CH$6:CH$41)</f>
        <v>44.642857142857146</v>
      </c>
    </row>
    <row r="12" spans="1:43">
      <c r="A12" s="96" t="s">
        <v>120</v>
      </c>
      <c r="B12" s="95">
        <f>AVERAGEIF('Profiles - Group B'!$E$6:$E$41, "46 to 55", 'Task metrics - Group B'!AT$6:AT$41)</f>
        <v>0.46875</v>
      </c>
      <c r="C12" s="95">
        <f>AVERAGEIF('Profiles - Group B'!$E$6:$E$41, "46 to 55", 'Task metrics - Group B'!AU$6:AU$41)</f>
        <v>0</v>
      </c>
      <c r="D12" s="95">
        <f>AVERAGEIF('Profiles - Group B'!$E$6:$E$41, "46 to 55", 'Task metrics - Group B'!AV$6:AV$41)</f>
        <v>3.125E-2</v>
      </c>
      <c r="E12" s="95">
        <f>AVERAGEIF('Profiles - Group B'!$E$6:$E$41, "46 to 55", 'Task metrics - Group B'!AW$6:AW$41)</f>
        <v>3.125E-2</v>
      </c>
      <c r="F12" s="95">
        <f>AVERAGEIF('Profiles - Group B'!$E$6:$E$41, "46 to 55", 'Task metrics - Group B'!AX$6:AX$41)</f>
        <v>0.21875</v>
      </c>
      <c r="G12" s="95">
        <f>AVERAGEIF('Profiles - Group B'!$E$6:$E$41, "46 to 55", 'Task metrics - Group B'!AY$6:AY$41)</f>
        <v>3.125E-2</v>
      </c>
      <c r="H12" s="95">
        <f>AVERAGEIF('Profiles - Group B'!$E$6:$E$41, "46 to 55", 'Task metrics - Group B'!AZ$6:AZ$41)</f>
        <v>0</v>
      </c>
      <c r="I12" s="95">
        <f>AVERAGEIF('Profiles - Group B'!$E$6:$E$41, "46 to 55", 'Task metrics - Group B'!BA$6:BA$41)</f>
        <v>0.1875</v>
      </c>
      <c r="J12" s="95">
        <f t="shared" si="0"/>
        <v>0.12109375</v>
      </c>
      <c r="K12" s="95"/>
      <c r="L12" s="95">
        <f>AVERAGEIF('Profiles - Group B'!$E$6:$E$41, "46 to 55", 'Task Time Calcs - Group B'!L$6:L$41)</f>
        <v>265.5</v>
      </c>
      <c r="M12" s="95"/>
      <c r="N12" s="95">
        <f>AVERAGEIF('Profiles - Group B'!$E$6:$E$41, "46 to 55", 'Task Time Calcs - Group B'!N$6:N$41)</f>
        <v>179</v>
      </c>
      <c r="O12" s="95">
        <f>AVERAGEIF('Profiles - Group B'!$E$6:$E$41, "46 to 55", 'Task Time Calcs - Group B'!O$6:O$41)</f>
        <v>31</v>
      </c>
      <c r="P12" s="95">
        <f>AVERAGEIF('Profiles - Group B'!$E$6:$E$41, "46 to 55", 'Task Time Calcs - Group B'!P$6:P$41)</f>
        <v>149.25</v>
      </c>
      <c r="Q12" s="95">
        <f>AVERAGEIF('Profiles - Group B'!$E$6:$E$41, "46 to 55", 'Task Time Calcs - Group B'!Q$6:Q$41)</f>
        <v>148</v>
      </c>
      <c r="R12" s="95"/>
      <c r="S12" s="95">
        <f>AVERAGEIF('Profiles - Group B'!$E$6:$E$41, "46 to 55", 'Task Time Calcs - Group B'!S$6:S$41)</f>
        <v>180</v>
      </c>
      <c r="T12" s="95">
        <f t="shared" si="1"/>
        <v>158.79166666666666</v>
      </c>
      <c r="U12" s="95"/>
      <c r="V12" s="95">
        <f>AVERAGEIF('Profiles - Group B'!$E$6:$E$41, "46 to 55", 'Task metrics - Group B'!BN$6:BN$41)</f>
        <v>3</v>
      </c>
      <c r="W12" s="95">
        <f>AVERAGEIF('Profiles - Group B'!$E$6:$E$41, "46 to 55", 'Task metrics - Group B'!BO$6:BO$41)</f>
        <v>2</v>
      </c>
      <c r="X12" s="95">
        <f>AVERAGEIF('Profiles - Group B'!$E$6:$E$41, "46 to 55", 'Task metrics - Group B'!BP$6:BP$41)</f>
        <v>2.125</v>
      </c>
      <c r="Y12" s="95">
        <f>AVERAGEIF('Profiles - Group B'!$E$6:$E$41, "46 to 55", 'Task metrics - Group B'!BQ$6:BQ$41)</f>
        <v>1.25</v>
      </c>
      <c r="Z12" s="95">
        <f>AVERAGEIF('Profiles - Group B'!$E$6:$E$41, "46 to 55", 'Task metrics - Group B'!BR$6:BR$41)</f>
        <v>2.875</v>
      </c>
      <c r="AA12" s="95">
        <f>AVERAGEIF('Profiles - Group B'!$E$6:$E$41, "46 to 55", 'Task metrics - Group B'!BS$6:BS$41)</f>
        <v>1.875</v>
      </c>
      <c r="AB12" s="95">
        <f>AVERAGEIF('Profiles - Group B'!$E$6:$E$41, "46 to 55", 'Task metrics - Group B'!BT$6:BT$41)</f>
        <v>1.5</v>
      </c>
      <c r="AC12" s="95">
        <f>AVERAGEIF('Profiles - Group B'!$E$6:$E$41, "46 to 55", 'Task metrics - Group B'!BU$6:BU$41)</f>
        <v>1.5</v>
      </c>
      <c r="AD12" s="95">
        <f t="shared" si="2"/>
        <v>2.015625</v>
      </c>
      <c r="AE12" s="95">
        <f>AVERAGE(V11:AC12)</f>
        <v>2.1506696428571428</v>
      </c>
      <c r="AP12" s="95">
        <f>AVERAGEIF('Profiles - Group B'!$E$6:$E$41, "46 to 55", 'Task metrics - Group B'!CH$6:CH$41)</f>
        <v>27.8125</v>
      </c>
      <c r="AQ12" s="95"/>
    </row>
    <row r="13" spans="1:43">
      <c r="A13" s="96" t="s">
        <v>121</v>
      </c>
      <c r="B13" s="95">
        <f>AVERAGEIF('Profiles - Group B'!$E$6:$E$41, "56 to 65", 'Task metrics - Group B'!AT$6:AT$41)</f>
        <v>0.29166666666666669</v>
      </c>
      <c r="C13" s="95">
        <f>AVERAGEIF('Profiles - Group B'!$E$6:$E$41, "56 to 65", 'Task metrics - Group B'!AU$6:AU$41)</f>
        <v>4.1666666666666664E-2</v>
      </c>
      <c r="D13" s="95">
        <f>AVERAGEIF('Profiles - Group B'!$E$6:$E$41, "56 to 65", 'Task metrics - Group B'!AV$6:AV$41)</f>
        <v>4.1666666666666664E-2</v>
      </c>
      <c r="E13" s="95">
        <f>AVERAGEIF('Profiles - Group B'!$E$6:$E$41, "56 to 65", 'Task metrics - Group B'!AW$6:AW$41)</f>
        <v>0.33333333333333331</v>
      </c>
      <c r="F13" s="95">
        <f>AVERAGEIF('Profiles - Group B'!$E$6:$E$41, "56 to 65", 'Task metrics - Group B'!AX$6:AX$41)</f>
        <v>8.3333333333333329E-2</v>
      </c>
      <c r="G13" s="95">
        <f>AVERAGEIF('Profiles - Group B'!$E$6:$E$41, "56 to 65", 'Task metrics - Group B'!AY$6:AY$41)</f>
        <v>0.20833333333333334</v>
      </c>
      <c r="H13" s="95">
        <f>AVERAGEIF('Profiles - Group B'!$E$6:$E$41, "56 to 65", 'Task metrics - Group B'!AZ$6:AZ$41)</f>
        <v>0.41666666666666669</v>
      </c>
      <c r="I13" s="95">
        <f>AVERAGEIF('Profiles - Group B'!$E$6:$E$41, "56 to 65", 'Task metrics - Group B'!BA$6:BA$41)</f>
        <v>0.54166666666666663</v>
      </c>
      <c r="J13" s="95">
        <f t="shared" si="0"/>
        <v>0.24479166666666669</v>
      </c>
      <c r="L13" s="95">
        <f>AVERAGEIF('Profiles - Group B'!$E$6:$E$41, "56 to 65", 'Task Time Calcs - Group B'!L$6:L$41)</f>
        <v>189.75</v>
      </c>
      <c r="M13" s="95">
        <f>AVERAGEIF('Profiles - Group B'!$E$6:$E$41, "56 to 65", 'Task Time Calcs - Group B'!M$6:M$41)</f>
        <v>180</v>
      </c>
      <c r="N13" s="95">
        <f>AVERAGEIF('Profiles - Group B'!$E$6:$E$41, "56 to 65", 'Task Time Calcs - Group B'!N$6:N$41)</f>
        <v>180</v>
      </c>
      <c r="O13" s="95">
        <f>AVERAGEIF('Profiles - Group B'!$E$6:$E$41, "56 to 65", 'Task Time Calcs - Group B'!O$6:O$41)</f>
        <v>91.5</v>
      </c>
      <c r="P13" s="95">
        <f>AVERAGEIF('Profiles - Group B'!$E$6:$E$41, "56 to 65", 'Task Time Calcs - Group B'!P$6:P$41)</f>
        <v>166</v>
      </c>
      <c r="Q13" s="95">
        <f>AVERAGEIF('Profiles - Group B'!$E$6:$E$41, "56 to 65", 'Task Time Calcs - Group B'!Q$6:Q$41)</f>
        <v>71.5</v>
      </c>
      <c r="R13" s="95">
        <f>AVERAGEIF('Profiles - Group B'!$E$6:$E$41, "56 to 65", 'Task Time Calcs - Group B'!R$6:R$41)</f>
        <v>126.25</v>
      </c>
      <c r="S13" s="95">
        <f>AVERAGEIF('Profiles - Group B'!$E$6:$E$41, "56 to 65", 'Task Time Calcs - Group B'!S$6:S$41)</f>
        <v>118.25</v>
      </c>
      <c r="T13" s="95">
        <f t="shared" si="1"/>
        <v>140.40625</v>
      </c>
      <c r="V13" s="95">
        <f>AVERAGEIF('Profiles - Group B'!$E$6:$E$41, "56 to 65", 'Task metrics - Group B'!BN$6:BN$41)</f>
        <v>3.1666666666666665</v>
      </c>
      <c r="W13" s="95">
        <f>AVERAGEIF('Profiles - Group B'!$E$6:$E$41, "56 to 65", 'Task metrics - Group B'!BO$6:BO$41)</f>
        <v>1.5</v>
      </c>
      <c r="X13" s="95">
        <f>AVERAGEIF('Profiles - Group B'!$E$6:$E$41, "56 to 65", 'Task metrics - Group B'!BP$6:BP$41)</f>
        <v>1.3333333333333333</v>
      </c>
      <c r="Y13" s="95">
        <f>AVERAGEIF('Profiles - Group B'!$E$6:$E$41, "56 to 65", 'Task metrics - Group B'!BQ$6:BQ$41)</f>
        <v>2</v>
      </c>
      <c r="Z13" s="95">
        <f>AVERAGEIF('Profiles - Group B'!$E$6:$E$41, "56 to 65", 'Task metrics - Group B'!BR$6:BR$41)</f>
        <v>2.1666666666666665</v>
      </c>
      <c r="AA13" s="95">
        <f>AVERAGEIF('Profiles - Group B'!$E$6:$E$41, "56 to 65", 'Task metrics - Group B'!BS$6:BS$41)</f>
        <v>2.1666666666666665</v>
      </c>
      <c r="AB13" s="95">
        <f>AVERAGEIF('Profiles - Group B'!$E$6:$E$41, "56 to 65", 'Task metrics - Group B'!BT$6:BT$41)</f>
        <v>1.6666666666666667</v>
      </c>
      <c r="AC13" s="95">
        <f>AVERAGEIF('Profiles - Group B'!$E$6:$E$41, "56 to 65", 'Task metrics - Group B'!BU$6:BU$41)</f>
        <v>2.3333333333333335</v>
      </c>
      <c r="AD13" s="95">
        <f t="shared" si="2"/>
        <v>2.0416666666666665</v>
      </c>
      <c r="AP13" s="95">
        <f>AVERAGEIF('Profiles - Group B'!$E$6:$E$41, "56 to 65", 'Task metrics - Group B'!CH$6:CH$41)</f>
        <v>27.5</v>
      </c>
    </row>
    <row r="14" spans="1:43">
      <c r="A14" s="96" t="s">
        <v>122</v>
      </c>
      <c r="B14" s="95">
        <f>AVERAGEIF('Profiles - Group B'!$E$6:$E$41, "66 to 75", 'Task metrics - Group B'!AT$6:AT$41)</f>
        <v>0.25</v>
      </c>
      <c r="C14" s="95">
        <f>AVERAGEIF('Profiles - Group B'!$E$6:$E$41, "66 to 75", 'Task metrics - Group B'!AU$6:AU$41)</f>
        <v>0</v>
      </c>
      <c r="D14" s="95">
        <f>AVERAGEIF('Profiles - Group B'!$E$6:$E$41, "66 to 75", 'Task metrics - Group B'!AV$6:AV$41)</f>
        <v>0.05</v>
      </c>
      <c r="E14" s="95">
        <f>AVERAGEIF('Profiles - Group B'!$E$6:$E$41, "66 to 75", 'Task metrics - Group B'!AW$6:AW$41)</f>
        <v>0.05</v>
      </c>
      <c r="F14" s="95">
        <f>AVERAGEIF('Profiles - Group B'!$E$6:$E$41, "66 to 75", 'Task metrics - Group B'!AX$6:AX$41)</f>
        <v>0.25</v>
      </c>
      <c r="G14" s="95">
        <f>AVERAGEIF('Profiles - Group B'!$E$6:$E$41, "66 to 75", 'Task metrics - Group B'!AY$6:AY$41)</f>
        <v>0.05</v>
      </c>
      <c r="H14" s="95">
        <f>AVERAGEIF('Profiles - Group B'!$E$6:$E$41, "66 to 75", 'Task metrics - Group B'!AZ$6:AZ$41)</f>
        <v>0.15</v>
      </c>
      <c r="I14" s="95">
        <f>AVERAGEIF('Profiles - Group B'!$E$6:$E$41, "66 to 75", 'Task metrics - Group B'!BA$6:BA$41)</f>
        <v>0.4</v>
      </c>
      <c r="J14" s="95">
        <f t="shared" si="0"/>
        <v>0.15000000000000002</v>
      </c>
      <c r="K14" s="95"/>
      <c r="L14" s="95">
        <f>AVERAGEIF('Profiles - Group B'!$E$6:$E$41, "66 to 75", 'Task Time Calcs - Group B'!L$6:L$41)</f>
        <v>270</v>
      </c>
      <c r="M14" s="95"/>
      <c r="N14" s="95">
        <f>AVERAGEIF('Profiles - Group B'!$E$6:$E$41, "66 to 75", 'Task Time Calcs - Group B'!N$6:N$41)</f>
        <v>143</v>
      </c>
      <c r="O14" s="95">
        <f>AVERAGEIF('Profiles - Group B'!$E$6:$E$41, "66 to 75", 'Task Time Calcs - Group B'!O$6:O$41)</f>
        <v>180</v>
      </c>
      <c r="P14" s="95">
        <f>AVERAGEIF('Profiles - Group B'!$E$6:$E$41, "66 to 75", 'Task Time Calcs - Group B'!P$6:P$41)</f>
        <v>152</v>
      </c>
      <c r="Q14" s="95">
        <f>AVERAGEIF('Profiles - Group B'!$E$6:$E$41, "66 to 75", 'Task Time Calcs - Group B'!Q$6:Q$41)</f>
        <v>37</v>
      </c>
      <c r="R14" s="95">
        <f>AVERAGEIF('Profiles - Group B'!$E$6:$E$41, "66 to 75", 'Task Time Calcs - Group B'!R$6:R$41)</f>
        <v>150</v>
      </c>
      <c r="S14" s="95">
        <f>AVERAGEIF('Profiles - Group B'!$E$6:$E$41, "66 to 75", 'Task Time Calcs - Group B'!S$6:S$41)</f>
        <v>71.5</v>
      </c>
      <c r="T14" s="95">
        <f t="shared" si="1"/>
        <v>143.35714285714286</v>
      </c>
      <c r="U14" s="95"/>
      <c r="V14" s="95">
        <f>AVERAGEIF('Profiles - Group B'!$E$6:$E$41, "66 to 75", 'Task metrics - Group B'!BN$6:BN$41)</f>
        <v>3.2</v>
      </c>
      <c r="W14" s="95">
        <f>AVERAGEIF('Profiles - Group B'!$E$6:$E$41, "66 to 75", 'Task metrics - Group B'!BO$6:BO$41)</f>
        <v>2</v>
      </c>
      <c r="X14" s="95">
        <f>AVERAGEIF('Profiles - Group B'!$E$6:$E$41, "66 to 75", 'Task metrics - Group B'!BP$6:BP$41)</f>
        <v>2.4</v>
      </c>
      <c r="Y14" s="95">
        <f>AVERAGEIF('Profiles - Group B'!$E$6:$E$41, "66 to 75", 'Task metrics - Group B'!BQ$6:BQ$41)</f>
        <v>1.6</v>
      </c>
      <c r="Z14" s="95">
        <f>AVERAGEIF('Profiles - Group B'!$E$6:$E$41, "66 to 75", 'Task metrics - Group B'!BR$6:BR$41)</f>
        <v>2.6</v>
      </c>
      <c r="AA14" s="95">
        <f>AVERAGEIF('Profiles - Group B'!$E$6:$E$41, "66 to 75", 'Task metrics - Group B'!BS$6:BS$41)</f>
        <v>1.8</v>
      </c>
      <c r="AB14" s="95">
        <f>AVERAGEIF('Profiles - Group B'!$E$6:$E$41, "66 to 75", 'Task metrics - Group B'!BT$6:BT$41)</f>
        <v>1.8</v>
      </c>
      <c r="AC14" s="95">
        <f>AVERAGEIF('Profiles - Group B'!$E$6:$E$41, "66 to 75", 'Task metrics - Group B'!BU$6:BU$41)</f>
        <v>1.6</v>
      </c>
      <c r="AD14" s="95">
        <f t="shared" si="2"/>
        <v>2.125</v>
      </c>
      <c r="AE14" s="95">
        <f>AVERAGE(V13:AC14)</f>
        <v>2.0833333333333335</v>
      </c>
      <c r="AP14" s="95">
        <f>AVERAGEIF('Profiles - Group B'!$E$6:$E$41, "66 to 75", 'Task metrics - Group B'!CH$6:CH$41)</f>
        <v>26.5</v>
      </c>
      <c r="AQ14" s="95"/>
    </row>
    <row r="15" spans="1:43">
      <c r="A15" s="96"/>
    </row>
    <row r="16" spans="1:43">
      <c r="A16" s="96"/>
      <c r="B16" s="47" t="s">
        <v>27</v>
      </c>
      <c r="C16" s="47" t="s">
        <v>28</v>
      </c>
      <c r="D16" s="47" t="s">
        <v>2</v>
      </c>
      <c r="E16" s="47" t="s">
        <v>3</v>
      </c>
      <c r="F16" s="47" t="s">
        <v>4</v>
      </c>
      <c r="G16" s="47" t="s">
        <v>5</v>
      </c>
      <c r="H16" s="47" t="s">
        <v>6</v>
      </c>
      <c r="I16" s="47" t="s">
        <v>7</v>
      </c>
      <c r="J16" s="47" t="s">
        <v>31</v>
      </c>
      <c r="L16" s="47" t="s">
        <v>27</v>
      </c>
      <c r="M16" s="47" t="s">
        <v>28</v>
      </c>
      <c r="N16" s="47" t="s">
        <v>2</v>
      </c>
      <c r="O16" s="47" t="s">
        <v>3</v>
      </c>
      <c r="P16" s="47" t="s">
        <v>4</v>
      </c>
      <c r="Q16" s="47" t="s">
        <v>5</v>
      </c>
      <c r="R16" s="47" t="s">
        <v>6</v>
      </c>
      <c r="S16" s="47" t="s">
        <v>7</v>
      </c>
      <c r="T16" s="47" t="s">
        <v>31</v>
      </c>
      <c r="V16" s="47" t="s">
        <v>27</v>
      </c>
      <c r="W16" s="47" t="s">
        <v>28</v>
      </c>
      <c r="X16" s="47" t="s">
        <v>2</v>
      </c>
      <c r="Y16" s="47" t="s">
        <v>3</v>
      </c>
      <c r="Z16" s="47" t="s">
        <v>4</v>
      </c>
      <c r="AA16" s="47" t="s">
        <v>5</v>
      </c>
      <c r="AB16" s="47" t="s">
        <v>6</v>
      </c>
      <c r="AC16" s="47" t="s">
        <v>7</v>
      </c>
      <c r="AD16" s="47" t="s">
        <v>31</v>
      </c>
    </row>
    <row r="17" spans="1:43">
      <c r="A17" s="96" t="s">
        <v>55</v>
      </c>
      <c r="B17" s="95">
        <f>AVERAGEIF('Profiles - Group B'!$H$6:$H$41, "Below £12,000", 'Task metrics - Group B'!AT$6:AT$41)</f>
        <v>0.45833333333333331</v>
      </c>
      <c r="C17" s="95">
        <f>AVERAGEIF('Profiles - Group B'!$H$6:$H$41, "Below £12,000", 'Task metrics - Group B'!AU$6:AU$41)</f>
        <v>4.1666666666666664E-2</v>
      </c>
      <c r="D17" s="95">
        <f>AVERAGEIF('Profiles - Group B'!$H$6:$H$41, "Below £12,000", 'Task metrics - Group B'!AV$6:AV$41)</f>
        <v>0.20833333333333334</v>
      </c>
      <c r="E17" s="95">
        <f>AVERAGEIF('Profiles - Group B'!$H$6:$H$41, "Below £12,000", 'Task metrics - Group B'!AW$6:AW$41)</f>
        <v>4.1666666666666664E-2</v>
      </c>
      <c r="F17" s="95">
        <f>AVERAGEIF('Profiles - Group B'!$H$6:$H$41, "Below £12,000", 'Task metrics - Group B'!AX$6:AX$41)</f>
        <v>0.41666666666666669</v>
      </c>
      <c r="G17" s="95">
        <f>AVERAGEIF('Profiles - Group B'!$H$6:$H$41, "Below £12,000", 'Task metrics - Group B'!AY$6:AY$41)</f>
        <v>0.20833333333333334</v>
      </c>
      <c r="H17" s="95">
        <f>AVERAGEIF('Profiles - Group B'!$H$6:$H$41, "Below £12,000", 'Task metrics - Group B'!AZ$6:AZ$41)</f>
        <v>0.20833333333333334</v>
      </c>
      <c r="I17" s="95">
        <f>AVERAGEIF('Profiles - Group B'!$H$6:$H$41, "Below £12,000", 'Task metrics - Group B'!BA$6:BA$41)</f>
        <v>0.33333333333333331</v>
      </c>
      <c r="J17" s="95">
        <f>AVERAGE(B17:I17)</f>
        <v>0.23958333333333331</v>
      </c>
      <c r="L17" s="95">
        <f>AVERAGEIF('Profiles - Group B'!$H$6:$H$41, "Below £12,000", 'Task Time Calcs - Group B'!L$6:L$41)</f>
        <v>221.6</v>
      </c>
      <c r="M17" s="95">
        <f>AVERAGEIF('Profiles - Group B'!$H$6:$H$41, "Below £12,000", 'Task Time Calcs - Group B'!M$6:M$41)</f>
        <v>180</v>
      </c>
      <c r="N17" s="95">
        <f>AVERAGEIF('Profiles - Group B'!$H$6:$H$41, "Below £12,000", 'Task Time Calcs - Group B'!N$6:N$41)</f>
        <v>113.5</v>
      </c>
      <c r="O17" s="95">
        <f>AVERAGEIF('Profiles - Group B'!$H$6:$H$41, "Below £12,000", 'Task Time Calcs - Group B'!O$6:O$41)</f>
        <v>71</v>
      </c>
      <c r="P17" s="95">
        <f>AVERAGEIF('Profiles - Group B'!$H$6:$H$41, "Below £12,000", 'Task Time Calcs - Group B'!P$6:P$41)</f>
        <v>123.75</v>
      </c>
      <c r="Q17" s="95">
        <f>AVERAGEIF('Profiles - Group B'!$H$6:$H$41, "Below £12,000", 'Task Time Calcs - Group B'!Q$6:Q$41)</f>
        <v>68.5</v>
      </c>
      <c r="R17" s="95">
        <f>AVERAGEIF('Profiles - Group B'!$H$6:$H$41, "Below £12,000", 'Task Time Calcs - Group B'!R$6:R$41)</f>
        <v>69</v>
      </c>
      <c r="S17" s="95">
        <f>AVERAGEIF('Profiles - Group B'!$H$6:$H$41, "Below £12,000", 'Task Time Calcs - Group B'!S$6:S$41)</f>
        <v>105.5</v>
      </c>
      <c r="T17" s="95">
        <f>AVERAGE(L17:S17)</f>
        <v>119.10625</v>
      </c>
      <c r="V17" s="95">
        <f>AVERAGEIF('Profiles - Group B'!$H$6:$H$41, "Below £12,000", 'Task metrics - Group B'!BN$6:BN$41)</f>
        <v>2.8333333333333335</v>
      </c>
      <c r="W17" s="95">
        <f>AVERAGEIF('Profiles - Group B'!$H$6:$H$41, "Below £12,000", 'Task metrics - Group B'!BO$6:BO$41)</f>
        <v>1.8333333333333333</v>
      </c>
      <c r="X17" s="95">
        <f>AVERAGEIF('Profiles - Group B'!$H$6:$H$41, "Below £12,000", 'Task metrics - Group B'!BP$6:BP$41)</f>
        <v>2.1666666666666665</v>
      </c>
      <c r="Y17" s="95">
        <f>AVERAGEIF('Profiles - Group B'!$H$6:$H$41, "Below £12,000", 'Task metrics - Group B'!BQ$6:BQ$41)</f>
        <v>1.8333333333333333</v>
      </c>
      <c r="Z17" s="95">
        <f>AVERAGEIF('Profiles - Group B'!$H$6:$H$41, "Below £12,000", 'Task metrics - Group B'!BR$6:BR$41)</f>
        <v>2.6666666666666665</v>
      </c>
      <c r="AA17" s="95">
        <f>AVERAGEIF('Profiles - Group B'!$H$6:$H$41, "Below £12,000", 'Task metrics - Group B'!BS$6:BS$41)</f>
        <v>2.6666666666666665</v>
      </c>
      <c r="AB17" s="95">
        <f>AVERAGEIF('Profiles - Group B'!$H$6:$H$41, "Below £12,000", 'Task metrics - Group B'!BT$6:BT$41)</f>
        <v>1.8333333333333333</v>
      </c>
      <c r="AC17" s="95">
        <f>AVERAGEIF('Profiles - Group B'!$H$6:$H$41, "Below £12,000", 'Task metrics - Group B'!BU$6:BU$41)</f>
        <v>2.1666666666666665</v>
      </c>
      <c r="AD17" s="95">
        <f>AVERAGE(V17:AC17)</f>
        <v>2.25</v>
      </c>
      <c r="AP17" s="95">
        <f>AVERAGEIF('Profiles - Group B'!$H$6:$H$41, "Below £12,000", 'Task metrics - Group B'!CH$6:CH$41)</f>
        <v>22.916666666666668</v>
      </c>
    </row>
    <row r="18" spans="1:43">
      <c r="A18" s="96" t="s">
        <v>49</v>
      </c>
      <c r="B18" s="95">
        <f>AVERAGEIF('Profiles - Group B'!$H$6:$H$41, "£12,001 - £30,000", 'Task metrics - Group B'!AT$6:AT$41)</f>
        <v>0.30769230769230771</v>
      </c>
      <c r="C18" s="95">
        <f>AVERAGEIF('Profiles - Group B'!$H$6:$H$41, "£12,001 - £30,000", 'Task metrics - Group B'!AU$6:AU$41)</f>
        <v>3.8461538461538464E-2</v>
      </c>
      <c r="D18" s="95">
        <f>AVERAGEIF('Profiles - Group B'!$H$6:$H$41, "£12,001 - £30,000", 'Task metrics - Group B'!AV$6:AV$41)</f>
        <v>3.8461538461538464E-2</v>
      </c>
      <c r="E18" s="95">
        <f>AVERAGEIF('Profiles - Group B'!$H$6:$H$41, "£12,001 - £30,000", 'Task metrics - Group B'!AW$6:AW$41)</f>
        <v>0.32692307692307693</v>
      </c>
      <c r="F18" s="95">
        <f>AVERAGEIF('Profiles - Group B'!$H$6:$H$41, "£12,001 - £30,000", 'Task metrics - Group B'!AX$6:AX$41)</f>
        <v>0.23076923076923078</v>
      </c>
      <c r="G18" s="95">
        <f>AVERAGEIF('Profiles - Group B'!$H$6:$H$41, "£12,001 - £30,000", 'Task metrics - Group B'!AY$6:AY$41)</f>
        <v>0.15384615384615385</v>
      </c>
      <c r="H18" s="95">
        <f>AVERAGEIF('Profiles - Group B'!$H$6:$H$41, "£12,001 - £30,000", 'Task metrics - Group B'!AZ$6:AZ$41)</f>
        <v>0.25</v>
      </c>
      <c r="I18" s="95">
        <f>AVERAGEIF('Profiles - Group B'!$H$6:$H$41, "£12,001 - £30,000", 'Task metrics - Group B'!BA$6:BA$41)</f>
        <v>0.34615384615384615</v>
      </c>
      <c r="J18" s="95">
        <f>AVERAGE(B18:I18)</f>
        <v>0.21153846153846156</v>
      </c>
      <c r="L18" s="95">
        <f>AVERAGEIF('Profiles - Group B'!$H$6:$H$41, "£12,001 - £30,000", 'Task Time Calcs - Group B'!L$6:L$41)</f>
        <v>190.1</v>
      </c>
      <c r="M18" s="95">
        <f>AVERAGEIF('Profiles - Group B'!$H$6:$H$41, "£12,001 - £30,000", 'Task Time Calcs - Group B'!M$6:M$41)</f>
        <v>180</v>
      </c>
      <c r="N18" s="95">
        <f>AVERAGEIF('Profiles - Group B'!$H$6:$H$41, "£12,001 - £30,000", 'Task Time Calcs - Group B'!N$6:N$41)</f>
        <v>150.5</v>
      </c>
      <c r="O18" s="95">
        <f>AVERAGEIF('Profiles - Group B'!$H$6:$H$41, "£12,001 - £30,000", 'Task Time Calcs - Group B'!O$6:O$41)</f>
        <v>98.2</v>
      </c>
      <c r="P18" s="95">
        <f>AVERAGEIF('Profiles - Group B'!$H$6:$H$41, "£12,001 - £30,000", 'Task Time Calcs - Group B'!P$6:P$41)</f>
        <v>97.833333333333329</v>
      </c>
      <c r="Q18" s="95">
        <f>AVERAGEIF('Profiles - Group B'!$H$6:$H$41, "£12,001 - £30,000", 'Task Time Calcs - Group B'!Q$6:Q$41)</f>
        <v>59</v>
      </c>
      <c r="R18" s="95">
        <f>AVERAGEIF('Profiles - Group B'!$H$6:$H$41, "£12,001 - £30,000", 'Task Time Calcs - Group B'!R$6:R$41)</f>
        <v>117.57142857142857</v>
      </c>
      <c r="S18" s="95">
        <f>AVERAGEIF('Profiles - Group B'!$H$6:$H$41, "£12,001 - £30,000", 'Task Time Calcs - Group B'!S$6:S$41)</f>
        <v>105.16666666666667</v>
      </c>
      <c r="T18" s="95">
        <f>AVERAGE(L18:S18)</f>
        <v>124.79642857142858</v>
      </c>
      <c r="V18" s="95">
        <f>AVERAGEIF('Profiles - Group B'!$H$6:$H$41, "£12,001 - £30,000", 'Task metrics - Group B'!BN$6:BN$41)</f>
        <v>3.1538461538461537</v>
      </c>
      <c r="W18" s="95">
        <f>AVERAGEIF('Profiles - Group B'!$H$6:$H$41, "£12,001 - £30,000", 'Task metrics - Group B'!BO$6:BO$41)</f>
        <v>1.9230769230769231</v>
      </c>
      <c r="X18" s="95">
        <f>AVERAGEIF('Profiles - Group B'!$H$6:$H$41, "£12,001 - £30,000", 'Task metrics - Group B'!BP$6:BP$41)</f>
        <v>2.0769230769230771</v>
      </c>
      <c r="Y18" s="95">
        <f>AVERAGEIF('Profiles - Group B'!$H$6:$H$41, "£12,001 - £30,000", 'Task metrics - Group B'!BQ$6:BQ$41)</f>
        <v>2.0769230769230771</v>
      </c>
      <c r="Z18" s="95">
        <f>AVERAGEIF('Profiles - Group B'!$H$6:$H$41, "£12,001 - £30,000", 'Task metrics - Group B'!BR$6:BR$41)</f>
        <v>2.4615384615384617</v>
      </c>
      <c r="AA18" s="95">
        <f>AVERAGEIF('Profiles - Group B'!$H$6:$H$41, "£12,001 - £30,000", 'Task metrics - Group B'!BS$6:BS$41)</f>
        <v>2.1538461538461537</v>
      </c>
      <c r="AB18" s="95">
        <f>AVERAGEIF('Profiles - Group B'!$H$6:$H$41, "£12,001 - £30,000", 'Task metrics - Group B'!BT$6:BT$41)</f>
        <v>1.8461538461538463</v>
      </c>
      <c r="AC18" s="95">
        <f>AVERAGEIF('Profiles - Group B'!$H$6:$H$41, "£12,001 - £30,000", 'Task metrics - Group B'!BU$6:BU$41)</f>
        <v>1.7692307692307692</v>
      </c>
      <c r="AD18" s="95">
        <f>AVERAGE(V18:AC18)</f>
        <v>2.1826923076923075</v>
      </c>
      <c r="AP18" s="95">
        <f>AVERAGEIF('Profiles - Group B'!$H$6:$H$41, "£12,001 - £30,000", 'Task metrics - Group B'!CH$6:CH$41)</f>
        <v>29.615384615384617</v>
      </c>
    </row>
    <row r="19" spans="1:43">
      <c r="A19" s="96" t="s">
        <v>44</v>
      </c>
      <c r="B19" s="95">
        <f>AVERAGEIF('Profiles - Group B'!$H$6:$H$41, "£30,001 - £50,000", 'Task metrics - Group B'!AT$6:AT$41)</f>
        <v>0.4375</v>
      </c>
      <c r="C19" s="95">
        <f>AVERAGEIF('Profiles - Group B'!$H$6:$H$41, "£30,001 - £50,000", 'Task metrics - Group B'!AU$6:AU$41)</f>
        <v>2.0833333333333332E-2</v>
      </c>
      <c r="D19" s="95">
        <f>AVERAGEIF('Profiles - Group B'!$H$6:$H$41, "£30,001 - £50,000", 'Task metrics - Group B'!AV$6:AV$41)</f>
        <v>4.1666666666666664E-2</v>
      </c>
      <c r="E19" s="95">
        <f>AVERAGEIF('Profiles - Group B'!$H$6:$H$41, "£30,001 - £50,000", 'Task metrics - Group B'!AW$6:AW$41)</f>
        <v>0.16666666666666666</v>
      </c>
      <c r="F19" s="95">
        <f>AVERAGEIF('Profiles - Group B'!$H$6:$H$41, "£30,001 - £50,000", 'Task metrics - Group B'!AX$6:AX$41)</f>
        <v>0.4375</v>
      </c>
      <c r="G19" s="95">
        <f>AVERAGEIF('Profiles - Group B'!$H$6:$H$41, "£30,001 - £50,000", 'Task metrics - Group B'!AY$6:AY$41)</f>
        <v>0.10416666666666667</v>
      </c>
      <c r="H19" s="95">
        <f>AVERAGEIF('Profiles - Group B'!$H$6:$H$41, "£30,001 - £50,000", 'Task metrics - Group B'!AZ$6:AZ$41)</f>
        <v>0.10416666666666667</v>
      </c>
      <c r="I19" s="95">
        <f>AVERAGEIF('Profiles - Group B'!$H$6:$H$41, "£30,001 - £50,000", 'Task metrics - Group B'!BA$6:BA$41)</f>
        <v>0.5625</v>
      </c>
      <c r="J19" s="95">
        <f>AVERAGE(B19:I19)</f>
        <v>0.234375</v>
      </c>
      <c r="K19" s="95"/>
      <c r="L19" s="95">
        <f>AVERAGEIF('Profiles - Group B'!$H$6:$H$41, "£30,001 - £50,000", 'Task Time Calcs - Group B'!L$6:L$41)</f>
        <v>222.77777777777777</v>
      </c>
      <c r="M19" s="95">
        <f>AVERAGEIF('Profiles - Group B'!$H$6:$H$41, "£30,001 - £50,000", 'Task Time Calcs - Group B'!M$6:M$41)</f>
        <v>155</v>
      </c>
      <c r="N19" s="95">
        <f>AVERAGEIF('Profiles - Group B'!$H$6:$H$41, "£30,001 - £50,000", 'Task Time Calcs - Group B'!N$6:N$41)</f>
        <v>120</v>
      </c>
      <c r="O19" s="95">
        <f>AVERAGEIF('Profiles - Group B'!$H$6:$H$41, "£30,001 - £50,000", 'Task Time Calcs - Group B'!O$6:O$41)</f>
        <v>133.5</v>
      </c>
      <c r="P19" s="95">
        <f>AVERAGEIF('Profiles - Group B'!$H$6:$H$41, "£30,001 - £50,000", 'Task Time Calcs - Group B'!P$6:P$41)</f>
        <v>138.33333333333334</v>
      </c>
      <c r="Q19" s="95">
        <f>AVERAGEIF('Profiles - Group B'!$H$6:$H$41, "£30,001 - £50,000", 'Task Time Calcs - Group B'!Q$6:Q$41)</f>
        <v>125</v>
      </c>
      <c r="R19" s="95">
        <f>AVERAGEIF('Profiles - Group B'!$H$6:$H$41, "£30,001 - £50,000", 'Task Time Calcs - Group B'!R$6:R$41)</f>
        <v>132</v>
      </c>
      <c r="S19" s="95">
        <f>AVERAGEIF('Profiles - Group B'!$H$6:$H$41, "£30,001 - £50,000", 'Task Time Calcs - Group B'!S$6:S$41)</f>
        <v>136.22222222222223</v>
      </c>
      <c r="T19" s="95">
        <f>AVERAGE(L19:S19)</f>
        <v>145.35416666666669</v>
      </c>
      <c r="U19" s="95"/>
      <c r="V19" s="95">
        <f>AVERAGEIF('Profiles - Group B'!$H$6:$H$41, "£30,001 - £50,000", 'Task metrics - Group B'!BN$6:BN$41)</f>
        <v>3.6666666666666665</v>
      </c>
      <c r="W19" s="95">
        <f>AVERAGEIF('Profiles - Group B'!$H$6:$H$41, "£30,001 - £50,000", 'Task metrics - Group B'!BO$6:BO$41)</f>
        <v>1.6666666666666667</v>
      </c>
      <c r="X19" s="95">
        <f>AVERAGEIF('Profiles - Group B'!$H$6:$H$41, "£30,001 - £50,000", 'Task metrics - Group B'!BP$6:BP$41)</f>
        <v>1.9166666666666667</v>
      </c>
      <c r="Y19" s="95">
        <f>AVERAGEIF('Profiles - Group B'!$H$6:$H$41, "£30,001 - £50,000", 'Task metrics - Group B'!BQ$6:BQ$41)</f>
        <v>1.5</v>
      </c>
      <c r="Z19" s="95">
        <f>AVERAGEIF('Profiles - Group B'!$H$6:$H$41, "£30,001 - £50,000", 'Task metrics - Group B'!BR$6:BR$41)</f>
        <v>3.0833333333333335</v>
      </c>
      <c r="AA19" s="95">
        <f>AVERAGEIF('Profiles - Group B'!$H$6:$H$41, "£30,001 - £50,000", 'Task metrics - Group B'!BS$6:BS$41)</f>
        <v>2</v>
      </c>
      <c r="AB19" s="95">
        <f>AVERAGEIF('Profiles - Group B'!$H$6:$H$41, "£30,001 - £50,000", 'Task metrics - Group B'!BT$6:BT$41)</f>
        <v>2.1666666666666665</v>
      </c>
      <c r="AC19" s="95">
        <f>AVERAGEIF('Profiles - Group B'!$H$6:$H$41, "£30,001 - £50,000", 'Task metrics - Group B'!BU$6:BU$41)</f>
        <v>2</v>
      </c>
      <c r="AD19" s="95">
        <f>AVERAGE(V19:AC19)</f>
        <v>2.25</v>
      </c>
      <c r="AE19" s="95">
        <f>AVERAGE(V18:AC19)</f>
        <v>2.2163461538461537</v>
      </c>
      <c r="AP19" s="95">
        <f>AVERAGEIF('Profiles - Group B'!$H$6:$H$41, "£30,001 - £50,000", 'Task metrics - Group B'!CH$6:CH$41)</f>
        <v>35.625</v>
      </c>
    </row>
    <row r="20" spans="1:43">
      <c r="A20" s="96" t="s">
        <v>56</v>
      </c>
      <c r="B20" s="95">
        <f>AVERAGEIF('Profiles - Group B'!$H$6:$H$41, "Above £50,000", 'Task metrics - Group B'!AT$6:AT$41)</f>
        <v>0.5</v>
      </c>
      <c r="C20" s="95">
        <f>AVERAGEIF('Profiles - Group B'!$H$6:$H$41, "Above £50,000", 'Task metrics - Group B'!AU$6:AU$41)</f>
        <v>0.1</v>
      </c>
      <c r="D20" s="95">
        <f>AVERAGEIF('Profiles - Group B'!$H$6:$H$41, "Above £50,000", 'Task metrics - Group B'!AV$6:AV$41)</f>
        <v>0.05</v>
      </c>
      <c r="E20" s="95">
        <f>AVERAGEIF('Profiles - Group B'!$H$6:$H$41, "Above £50,000", 'Task metrics - Group B'!AW$6:AW$41)</f>
        <v>0.1</v>
      </c>
      <c r="F20" s="95">
        <f>AVERAGEIF('Profiles - Group B'!$H$6:$H$41, "Above £50,000", 'Task metrics - Group B'!AX$6:AX$41)</f>
        <v>0.45</v>
      </c>
      <c r="G20" s="95">
        <f>AVERAGEIF('Profiles - Group B'!$H$6:$H$41, "Above £50,000", 'Task metrics - Group B'!AY$6:AY$41)</f>
        <v>0.1</v>
      </c>
      <c r="H20" s="95">
        <f>AVERAGEIF('Profiles - Group B'!$H$6:$H$41, "Above £50,000", 'Task metrics - Group B'!AZ$6:AZ$41)</f>
        <v>0.05</v>
      </c>
      <c r="I20" s="95">
        <f>AVERAGEIF('Profiles - Group B'!$H$6:$H$41, "Above £50,000", 'Task metrics - Group B'!BA$6:BA$41)</f>
        <v>0.45</v>
      </c>
      <c r="J20" s="95">
        <f>AVERAGE(B20:I20)</f>
        <v>0.22500000000000001</v>
      </c>
      <c r="L20" s="95">
        <f>AVERAGEIF('Profiles - Group B'!$H$6:$H$41, "Above £50,000", 'Task Time Calcs - Group B'!L$6:L$41)</f>
        <v>197.5</v>
      </c>
      <c r="M20" s="95">
        <f>AVERAGEIF('Profiles - Group B'!$H$6:$H$41, "Above £50,000", 'Task Time Calcs - Group B'!M$6:M$41)</f>
        <v>180</v>
      </c>
      <c r="N20" s="95">
        <f>AVERAGEIF('Profiles - Group B'!$H$6:$H$41, "Above £50,000", 'Task Time Calcs - Group B'!N$6:N$41)</f>
        <v>160</v>
      </c>
      <c r="O20" s="95">
        <f>AVERAGEIF('Profiles - Group B'!$H$6:$H$41, "Above £50,000", 'Task Time Calcs - Group B'!O$6:O$41)</f>
        <v>105.5</v>
      </c>
      <c r="P20" s="95">
        <f>AVERAGEIF('Profiles - Group B'!$H$6:$H$41, "Above £50,000", 'Task Time Calcs - Group B'!P$6:P$41)</f>
        <v>127</v>
      </c>
      <c r="Q20" s="95">
        <f>AVERAGEIF('Profiles - Group B'!$H$6:$H$41, "Above £50,000", 'Task Time Calcs - Group B'!Q$6:Q$41)</f>
        <v>125.5</v>
      </c>
      <c r="R20" s="95">
        <f>AVERAGEIF('Profiles - Group B'!$H$6:$H$41, "Above £50,000", 'Task Time Calcs - Group B'!R$6:R$41)</f>
        <v>180</v>
      </c>
      <c r="S20" s="95">
        <f>AVERAGEIF('Profiles - Group B'!$H$6:$H$41, "Above £50,000", 'Task Time Calcs - Group B'!S$6:S$41)</f>
        <v>189.66666666666666</v>
      </c>
      <c r="T20" s="95">
        <f>AVERAGE(L20:S20)</f>
        <v>158.14583333333334</v>
      </c>
      <c r="V20" s="95">
        <f>AVERAGEIF('Profiles - Group B'!$H$6:$H$41, "Above £50,000", 'Task metrics - Group B'!BN$6:BN$41)</f>
        <v>3.4</v>
      </c>
      <c r="W20" s="95">
        <f>AVERAGEIF('Profiles - Group B'!$H$6:$H$41, "Above £50,000", 'Task metrics - Group B'!BO$6:BO$41)</f>
        <v>1.8</v>
      </c>
      <c r="X20" s="95">
        <f>AVERAGEIF('Profiles - Group B'!$H$6:$H$41, "Above £50,000", 'Task metrics - Group B'!BP$6:BP$41)</f>
        <v>1.8</v>
      </c>
      <c r="Y20" s="95">
        <f>AVERAGEIF('Profiles - Group B'!$H$6:$H$41, "Above £50,000", 'Task metrics - Group B'!BQ$6:BQ$41)</f>
        <v>1.2</v>
      </c>
      <c r="Z20" s="95">
        <f>AVERAGEIF('Profiles - Group B'!$H$6:$H$41, "Above £50,000", 'Task metrics - Group B'!BR$6:BR$41)</f>
        <v>3.4</v>
      </c>
      <c r="AA20" s="95">
        <f>AVERAGEIF('Profiles - Group B'!$H$6:$H$41, "Above £50,000", 'Task metrics - Group B'!BS$6:BS$41)</f>
        <v>1.8</v>
      </c>
      <c r="AB20" s="95">
        <f>AVERAGEIF('Profiles - Group B'!$H$6:$H$41, "Above £50,000", 'Task metrics - Group B'!BT$6:BT$41)</f>
        <v>1.6</v>
      </c>
      <c r="AC20" s="95">
        <f>AVERAGEIF('Profiles - Group B'!$H$6:$H$41, "Above £50,000", 'Task metrics - Group B'!BU$6:BU$41)</f>
        <v>1.8</v>
      </c>
      <c r="AD20" s="95">
        <f>AVERAGE(V20:AC20)</f>
        <v>2.1</v>
      </c>
      <c r="AP20" s="95">
        <f>AVERAGEIF('Profiles - Group B'!$H$6:$H$41, "Above £50,000", 'Task metrics - Group B'!CH$6:CH$41)</f>
        <v>34</v>
      </c>
    </row>
    <row r="21" spans="1:43">
      <c r="A21" s="96"/>
    </row>
    <row r="22" spans="1:43">
      <c r="A22" s="96"/>
      <c r="B22" s="47" t="s">
        <v>27</v>
      </c>
      <c r="C22" s="47" t="s">
        <v>28</v>
      </c>
      <c r="D22" s="47" t="s">
        <v>2</v>
      </c>
      <c r="E22" s="47" t="s">
        <v>3</v>
      </c>
      <c r="F22" s="47" t="s">
        <v>4</v>
      </c>
      <c r="G22" s="47" t="s">
        <v>5</v>
      </c>
      <c r="H22" s="47" t="s">
        <v>6</v>
      </c>
      <c r="I22" s="47" t="s">
        <v>7</v>
      </c>
      <c r="J22" s="47" t="s">
        <v>31</v>
      </c>
      <c r="L22" s="47" t="s">
        <v>27</v>
      </c>
      <c r="M22" s="47" t="s">
        <v>28</v>
      </c>
      <c r="N22" s="47" t="s">
        <v>2</v>
      </c>
      <c r="O22" s="47" t="s">
        <v>3</v>
      </c>
      <c r="P22" s="47" t="s">
        <v>4</v>
      </c>
      <c r="Q22" s="47" t="s">
        <v>5</v>
      </c>
      <c r="R22" s="47" t="s">
        <v>6</v>
      </c>
      <c r="S22" s="47" t="s">
        <v>7</v>
      </c>
      <c r="T22" s="47" t="s">
        <v>31</v>
      </c>
      <c r="V22" s="47" t="s">
        <v>27</v>
      </c>
      <c r="W22" s="47" t="s">
        <v>28</v>
      </c>
      <c r="X22" s="47" t="s">
        <v>2</v>
      </c>
      <c r="Y22" s="47" t="s">
        <v>3</v>
      </c>
      <c r="Z22" s="47" t="s">
        <v>4</v>
      </c>
      <c r="AA22" s="47" t="s">
        <v>5</v>
      </c>
      <c r="AB22" s="47" t="s">
        <v>6</v>
      </c>
      <c r="AC22" s="47" t="s">
        <v>7</v>
      </c>
      <c r="AD22" s="47" t="s">
        <v>31</v>
      </c>
    </row>
    <row r="23" spans="1:43">
      <c r="A23" s="97" t="s">
        <v>42</v>
      </c>
      <c r="B23" s="95">
        <f>AVERAGEIF('Profiles - Group B'!$F$6:$F$41, "Below or completed GCSE", 'Task metrics - Group B'!AT$6:AT$41)</f>
        <v>0.4</v>
      </c>
      <c r="C23" s="95">
        <f>AVERAGEIF('Profiles - Group B'!$F$6:$F$41, "Below or completed GCSE", 'Task metrics - Group B'!AU$6:AU$41)</f>
        <v>2.5000000000000001E-2</v>
      </c>
      <c r="D23" s="95">
        <f>AVERAGEIF('Profiles - Group B'!$F$6:$F$41, "Below or completed GCSE", 'Task metrics - Group B'!AV$6:AV$41)</f>
        <v>0</v>
      </c>
      <c r="E23" s="95">
        <f>AVERAGEIF('Profiles - Group B'!$F$6:$F$41, "Below or completed GCSE", 'Task metrics - Group B'!AW$6:AW$41)</f>
        <v>0.2</v>
      </c>
      <c r="F23" s="95">
        <f>AVERAGEIF('Profiles - Group B'!$F$6:$F$41, "Below or completed GCSE", 'Task metrics - Group B'!AX$6:AX$41)</f>
        <v>0.25</v>
      </c>
      <c r="G23" s="95">
        <f>AVERAGEIF('Profiles - Group B'!$F$6:$F$41, "Below or completed GCSE", 'Task metrics - Group B'!AY$6:AY$41)</f>
        <v>0.2</v>
      </c>
      <c r="H23" s="95">
        <f>AVERAGEIF('Profiles - Group B'!$F$6:$F$41, "Below or completed GCSE", 'Task metrics - Group B'!AZ$6:AZ$41)</f>
        <v>0.2</v>
      </c>
      <c r="I23" s="95">
        <f>AVERAGEIF('Profiles - Group B'!$F$6:$F$41, "Below or completed GCSE", 'Task metrics - Group B'!BA$6:BA$41)</f>
        <v>0.55000000000000004</v>
      </c>
      <c r="J23" s="95">
        <f>AVERAGE(B23:I23)</f>
        <v>0.22812499999999999</v>
      </c>
      <c r="L23" s="95">
        <f>AVERAGEIF('Profiles - Group B'!$F$6:$F$41, "Below or completed GCSE", 'Task Time Calcs - Group B'!L$6:L$41)</f>
        <v>233.14285714285714</v>
      </c>
      <c r="M23" s="95">
        <f>AVERAGEIF('Profiles - Group B'!$F$6:$F$41, "Below or completed GCSE", 'Task Time Calcs - Group B'!M$6:M$41)</f>
        <v>180</v>
      </c>
      <c r="N23" s="95"/>
      <c r="O23" s="95">
        <f>AVERAGEIF('Profiles - Group B'!$F$6:$F$41, "Below or completed GCSE", 'Task Time Calcs - Group B'!O$6:O$41)</f>
        <v>124</v>
      </c>
      <c r="P23" s="95">
        <f>AVERAGEIF('Profiles - Group B'!$F$6:$F$41, "Below or completed GCSE", 'Task Time Calcs - Group B'!P$6:P$41)</f>
        <v>155.25</v>
      </c>
      <c r="Q23" s="95">
        <f>AVERAGEIF('Profiles - Group B'!$F$6:$F$41, "Below or completed GCSE", 'Task Time Calcs - Group B'!Q$6:Q$41)</f>
        <v>78</v>
      </c>
      <c r="R23" s="95">
        <f>AVERAGEIF('Profiles - Group B'!$F$6:$F$41, "Below or completed GCSE", 'Task Time Calcs - Group B'!R$6:R$41)</f>
        <v>135.4</v>
      </c>
      <c r="S23" s="95">
        <f>AVERAGEIF('Profiles - Group B'!$F$6:$F$41, "Below or completed GCSE", 'Task Time Calcs - Group B'!S$6:S$41)</f>
        <v>123.71428571428571</v>
      </c>
      <c r="T23" s="95">
        <f>AVERAGE(L23:S23)</f>
        <v>147.07244897959183</v>
      </c>
      <c r="V23" s="95">
        <f>AVERAGEIF('Profiles - Group B'!$F$6:$F$41, "Below or completed GCSE", 'Task metrics - Group B'!BN$6:BN$41)</f>
        <v>3.2</v>
      </c>
      <c r="W23" s="95">
        <f>AVERAGEIF('Profiles - Group B'!$F$6:$F$41, "Below or completed GCSE", 'Task metrics - Group B'!BO$6:BO$41)</f>
        <v>1.6</v>
      </c>
      <c r="X23" s="95">
        <f>AVERAGEIF('Profiles - Group B'!$F$6:$F$41, "Below or completed GCSE", 'Task metrics - Group B'!BP$6:BP$41)</f>
        <v>1.4</v>
      </c>
      <c r="Y23" s="95">
        <f>AVERAGEIF('Profiles - Group B'!$F$6:$F$41, "Below or completed GCSE", 'Task metrics - Group B'!BQ$6:BQ$41)</f>
        <v>1.8</v>
      </c>
      <c r="Z23" s="95">
        <f>AVERAGEIF('Profiles - Group B'!$F$6:$F$41, "Below or completed GCSE", 'Task metrics - Group B'!BR$6:BR$41)</f>
        <v>2.1</v>
      </c>
      <c r="AA23" s="95">
        <f>AVERAGEIF('Profiles - Group B'!$F$6:$F$41, "Below or completed GCSE", 'Task metrics - Group B'!BS$6:BS$41)</f>
        <v>2.2000000000000002</v>
      </c>
      <c r="AB23" s="95">
        <f>AVERAGEIF('Profiles - Group B'!$F$6:$F$41, "Below or completed GCSE", 'Task metrics - Group B'!BT$6:BT$41)</f>
        <v>2</v>
      </c>
      <c r="AC23" s="95">
        <f>AVERAGEIF('Profiles - Group B'!$F$6:$F$41, "Below or completed GCSE", 'Task metrics - Group B'!BU$6:BU$41)</f>
        <v>2.1</v>
      </c>
      <c r="AD23" s="95">
        <f>AVERAGE(V23:AC23)</f>
        <v>2.0500000000000003</v>
      </c>
      <c r="AP23" s="95">
        <f>AVERAGEIF('Profiles - Group B'!$F$6:$F$41, "Below or completed GCSE", 'Task metrics - Group B'!CH$6:CH$41)</f>
        <v>28.5</v>
      </c>
    </row>
    <row r="24" spans="1:43">
      <c r="A24" s="98" t="s">
        <v>50</v>
      </c>
      <c r="B24" s="95">
        <f>AVERAGEIF('Profiles - Group B'!$F$6:$F$41, "Completed A Level", 'Task metrics - Group B'!AT$6:AT$41)</f>
        <v>0.4642857142857143</v>
      </c>
      <c r="C24" s="95">
        <f>AVERAGEIF('Profiles - Group B'!$F$6:$F$41, "Completed A Level", 'Task metrics - Group B'!AU$6:AU$41)</f>
        <v>5.3571428571428568E-2</v>
      </c>
      <c r="D24" s="95">
        <f>AVERAGEIF('Profiles - Group B'!$F$6:$F$41, "Completed A Level", 'Task metrics - Group B'!AV$6:AV$41)</f>
        <v>0.125</v>
      </c>
      <c r="E24" s="95">
        <f>AVERAGEIF('Profiles - Group B'!$F$6:$F$41, "Completed A Level", 'Task metrics - Group B'!AW$6:AW$41)</f>
        <v>0.17857142857142858</v>
      </c>
      <c r="F24" s="95">
        <f>AVERAGEIF('Profiles - Group B'!$F$6:$F$41, "Completed A Level", 'Task metrics - Group B'!AX$6:AX$41)</f>
        <v>0.3392857142857143</v>
      </c>
      <c r="G24" s="95">
        <f>AVERAGEIF('Profiles - Group B'!$F$6:$F$41, "Completed A Level", 'Task metrics - Group B'!AY$6:AY$41)</f>
        <v>5.3571428571428568E-2</v>
      </c>
      <c r="H24" s="95">
        <f>AVERAGEIF('Profiles - Group B'!$F$6:$F$41, "Completed A Level", 'Task metrics - Group B'!AZ$6:AZ$41)</f>
        <v>0.125</v>
      </c>
      <c r="I24" s="95">
        <f>AVERAGEIF('Profiles - Group B'!$F$6:$F$41, "Completed A Level", 'Task metrics - Group B'!BA$6:BA$41)</f>
        <v>0.30357142857142855</v>
      </c>
      <c r="J24" s="95">
        <f>AVERAGE(B24:I24)</f>
        <v>0.20535714285714288</v>
      </c>
      <c r="K24" s="95"/>
      <c r="L24" s="95">
        <f>AVERAGEIF('Profiles - Group B'!$F$6:$F$41, "Completed A Level", 'Task Time Calcs - Group B'!L$6:L$41)</f>
        <v>170.36363636363637</v>
      </c>
      <c r="M24" s="95">
        <f>AVERAGEIF('Profiles - Group B'!$F$6:$F$41, "Completed A Level", 'Task Time Calcs - Group B'!M$6:M$41)</f>
        <v>180</v>
      </c>
      <c r="N24" s="95">
        <f>AVERAGEIF('Profiles - Group B'!$F$6:$F$41, "Completed A Level", 'Task Time Calcs - Group B'!N$6:N$41)</f>
        <v>132.5</v>
      </c>
      <c r="O24" s="95">
        <f>AVERAGEIF('Profiles - Group B'!$F$6:$F$41, "Completed A Level", 'Task Time Calcs - Group B'!O$6:O$41)</f>
        <v>84</v>
      </c>
      <c r="P24" s="95">
        <f>AVERAGEIF('Profiles - Group B'!$F$6:$F$41, "Completed A Level", 'Task Time Calcs - Group B'!P$6:P$41)</f>
        <v>113.3</v>
      </c>
      <c r="Q24" s="95">
        <f>AVERAGEIF('Profiles - Group B'!$F$6:$F$41, "Completed A Level", 'Task Time Calcs - Group B'!Q$6:Q$41)</f>
        <v>61</v>
      </c>
      <c r="R24" s="95">
        <f>AVERAGEIF('Profiles - Group B'!$F$6:$F$41, "Completed A Level", 'Task Time Calcs - Group B'!R$6:R$41)</f>
        <v>136.5</v>
      </c>
      <c r="S24" s="95">
        <f>AVERAGEIF('Profiles - Group B'!$F$6:$F$41, "Completed A Level", 'Task Time Calcs - Group B'!S$6:S$41)</f>
        <v>136.80000000000001</v>
      </c>
      <c r="T24" s="95">
        <f>AVERAGE(L24:S24)</f>
        <v>126.80795454545455</v>
      </c>
      <c r="U24" s="95"/>
      <c r="V24" s="95">
        <f>AVERAGEIF('Profiles - Group B'!$F$6:$F$41, "Completed A Level", 'Task metrics - Group B'!BN$6:BN$41)</f>
        <v>3.5</v>
      </c>
      <c r="W24" s="95">
        <f>AVERAGEIF('Profiles - Group B'!$F$6:$F$41, "Completed A Level", 'Task metrics - Group B'!BO$6:BO$41)</f>
        <v>1.9285714285714286</v>
      </c>
      <c r="X24" s="95">
        <f>AVERAGEIF('Profiles - Group B'!$F$6:$F$41, "Completed A Level", 'Task metrics - Group B'!BP$6:BP$41)</f>
        <v>2.5</v>
      </c>
      <c r="Y24" s="95">
        <f>AVERAGEIF('Profiles - Group B'!$F$6:$F$41, "Completed A Level", 'Task metrics - Group B'!BQ$6:BQ$41)</f>
        <v>1.7857142857142858</v>
      </c>
      <c r="Z24" s="95">
        <f>AVERAGEIF('Profiles - Group B'!$F$6:$F$41, "Completed A Level", 'Task metrics - Group B'!BR$6:BR$41)</f>
        <v>3.2142857142857144</v>
      </c>
      <c r="AA24" s="95">
        <f>AVERAGEIF('Profiles - Group B'!$F$6:$F$41, "Completed A Level", 'Task metrics - Group B'!BS$6:BS$41)</f>
        <v>2.2142857142857144</v>
      </c>
      <c r="AB24" s="95">
        <f>AVERAGEIF('Profiles - Group B'!$F$6:$F$41, "Completed A Level", 'Task metrics - Group B'!BT$6:BT$41)</f>
        <v>1.7857142857142858</v>
      </c>
      <c r="AC24" s="95">
        <f>AVERAGEIF('Profiles - Group B'!$F$6:$F$41, "Completed A Level", 'Task metrics - Group B'!BU$6:BU$41)</f>
        <v>1.4285714285714286</v>
      </c>
      <c r="AD24" s="95">
        <f>AVERAGE(V24:AC24)</f>
        <v>2.2946428571428572</v>
      </c>
      <c r="AE24" s="95">
        <f>AVERAGE(V23:AC24)</f>
        <v>2.1723214285714287</v>
      </c>
      <c r="AP24" s="95">
        <f>AVERAGEIF('Profiles - Group B'!$F$6:$F$41, "Completed A Level", 'Task metrics - Group B'!CH$6:CH$41)</f>
        <v>34.107142857142854</v>
      </c>
      <c r="AQ24" s="95"/>
    </row>
    <row r="25" spans="1:43">
      <c r="A25" s="98" t="s">
        <v>51</v>
      </c>
      <c r="B25" s="95">
        <f>AVERAGEIF('Profiles - Group B'!$F$6:$F$41, "Undergraduate", 'Task metrics - Group B'!AT$6:AT$41)</f>
        <v>0.3611111111111111</v>
      </c>
      <c r="C25" s="95">
        <f>AVERAGEIF('Profiles - Group B'!$F$6:$F$41, "Undergraduate", 'Task metrics - Group B'!AU$6:AU$41)</f>
        <v>2.7777777777777776E-2</v>
      </c>
      <c r="D25" s="95">
        <f>AVERAGEIF('Profiles - Group B'!$F$6:$F$41, "Undergraduate", 'Task metrics - Group B'!AV$6:AV$41)</f>
        <v>5.5555555555555552E-2</v>
      </c>
      <c r="E25" s="95">
        <f>AVERAGEIF('Profiles - Group B'!$F$6:$F$41, "Undergraduate", 'Task metrics - Group B'!AW$6:AW$41)</f>
        <v>5.5555555555555552E-2</v>
      </c>
      <c r="F25" s="95">
        <f>AVERAGEIF('Profiles - Group B'!$F$6:$F$41, "Undergraduate", 'Task metrics - Group B'!AX$6:AX$41)</f>
        <v>0.58333333333333337</v>
      </c>
      <c r="G25" s="95">
        <f>AVERAGEIF('Profiles - Group B'!$F$6:$F$41, "Undergraduate", 'Task metrics - Group B'!AY$6:AY$41)</f>
        <v>0.22222222222222221</v>
      </c>
      <c r="H25" s="95">
        <f>AVERAGEIF('Profiles - Group B'!$F$6:$F$41, "Undergraduate", 'Task metrics - Group B'!AZ$6:AZ$41)</f>
        <v>2.7777777777777776E-2</v>
      </c>
      <c r="I25" s="95">
        <f>AVERAGEIF('Profiles - Group B'!$F$6:$F$41, "Undergraduate", 'Task metrics - Group B'!BA$6:BA$41)</f>
        <v>0.3888888888888889</v>
      </c>
      <c r="J25" s="95">
        <f>AVERAGE(B25:I25)</f>
        <v>0.21527777777777779</v>
      </c>
      <c r="L25" s="95">
        <f>AVERAGEIF('Profiles - Group B'!$F$6:$F$41, "Undergraduate", 'Task Time Calcs - Group B'!L$6:L$41)</f>
        <v>220.28571428571428</v>
      </c>
      <c r="M25" s="95">
        <f>AVERAGEIF('Profiles - Group B'!$F$6:$F$41, "Undergraduate", 'Task Time Calcs - Group B'!M$6:M$41)</f>
        <v>180</v>
      </c>
      <c r="N25" s="95">
        <f>AVERAGEIF('Profiles - Group B'!$F$6:$F$41, "Undergraduate", 'Task Time Calcs - Group B'!N$6:N$41)</f>
        <v>168.5</v>
      </c>
      <c r="O25" s="95">
        <f>AVERAGEIF('Profiles - Group B'!$F$6:$F$41, "Undergraduate", 'Task Time Calcs - Group B'!O$6:O$41)</f>
        <v>125.5</v>
      </c>
      <c r="P25" s="95">
        <f>AVERAGEIF('Profiles - Group B'!$F$6:$F$41, "Undergraduate", 'Task Time Calcs - Group B'!P$6:P$41)</f>
        <v>113.16666666666667</v>
      </c>
      <c r="Q25" s="95">
        <f>AVERAGEIF('Profiles - Group B'!$F$6:$F$41, "Undergraduate", 'Task Time Calcs - Group B'!Q$6:Q$41)</f>
        <v>103.2</v>
      </c>
      <c r="R25" s="95">
        <f>AVERAGEIF('Profiles - Group B'!$F$6:$F$41, "Undergraduate", 'Task Time Calcs - Group B'!R$6:R$41)</f>
        <v>38</v>
      </c>
      <c r="S25" s="95">
        <f>AVERAGEIF('Profiles - Group B'!$F$6:$F$41, "Undergraduate", 'Task Time Calcs - Group B'!S$6:S$41)</f>
        <v>155.4</v>
      </c>
      <c r="T25" s="95">
        <f>AVERAGE(L25:S25)</f>
        <v>138.00654761904761</v>
      </c>
      <c r="V25" s="95">
        <f>AVERAGEIF('Profiles - Group B'!$F$6:$F$41, "Undergraduate", 'Task metrics - Group B'!BN$6:BN$41)</f>
        <v>3.1111111111111112</v>
      </c>
      <c r="W25" s="95">
        <f>AVERAGEIF('Profiles - Group B'!$F$6:$F$41, "Undergraduate", 'Task metrics - Group B'!BO$6:BO$41)</f>
        <v>1.8888888888888888</v>
      </c>
      <c r="X25" s="95">
        <f>AVERAGEIF('Profiles - Group B'!$F$6:$F$41, "Undergraduate", 'Task metrics - Group B'!BP$6:BP$41)</f>
        <v>2.1111111111111112</v>
      </c>
      <c r="Y25" s="95">
        <f>AVERAGEIF('Profiles - Group B'!$F$6:$F$41, "Undergraduate", 'Task metrics - Group B'!BQ$6:BQ$41)</f>
        <v>1.3333333333333333</v>
      </c>
      <c r="Z25" s="95">
        <f>AVERAGEIF('Profiles - Group B'!$F$6:$F$41, "Undergraduate", 'Task metrics - Group B'!BR$6:BR$41)</f>
        <v>3.1111111111111112</v>
      </c>
      <c r="AA25" s="95">
        <f>AVERAGEIF('Profiles - Group B'!$F$6:$F$41, "Undergraduate", 'Task metrics - Group B'!BS$6:BS$41)</f>
        <v>2.1111111111111112</v>
      </c>
      <c r="AB25" s="95">
        <f>AVERAGEIF('Profiles - Group B'!$F$6:$F$41, "Undergraduate", 'Task metrics - Group B'!BT$6:BT$41)</f>
        <v>1.7777777777777777</v>
      </c>
      <c r="AC25" s="95">
        <f>AVERAGEIF('Profiles - Group B'!$F$6:$F$41, "Undergraduate", 'Task metrics - Group B'!BU$6:BU$41)</f>
        <v>2.3333333333333335</v>
      </c>
      <c r="AD25" s="95">
        <f>AVERAGE(V25:AC25)</f>
        <v>2.2222222222222219</v>
      </c>
      <c r="AP25" s="95">
        <f>AVERAGEIF('Profiles - Group B'!$F$6:$F$41, "Undergraduate", 'Task metrics - Group B'!CH$6:CH$41)</f>
        <v>29.722222222222221</v>
      </c>
    </row>
    <row r="26" spans="1:43">
      <c r="A26" s="99" t="s">
        <v>53</v>
      </c>
      <c r="B26" s="95">
        <f>AVERAGEIF('Profiles - Group B'!$F$6:$F$41, "Graduate (Masters or above)", 'Task metrics - Group B'!AT$6:AT$41)</f>
        <v>0.25</v>
      </c>
      <c r="C26" s="95">
        <f>AVERAGEIF('Profiles - Group B'!$F$6:$F$41, "Graduate (Masters or above)", 'Task metrics - Group B'!AU$6:AU$41)</f>
        <v>8.3333333333333329E-2</v>
      </c>
      <c r="D26" s="95">
        <f>AVERAGEIF('Profiles - Group B'!$F$6:$F$41, "Graduate (Masters or above)", 'Task metrics - Group B'!AV$6:AV$41)</f>
        <v>8.3333333333333329E-2</v>
      </c>
      <c r="E26" s="95">
        <f>AVERAGEIF('Profiles - Group B'!$F$6:$F$41, "Graduate (Masters or above)", 'Task metrics - Group B'!AW$6:AW$41)</f>
        <v>0.66666666666666663</v>
      </c>
      <c r="F26" s="95">
        <f>AVERAGEIF('Profiles - Group B'!$F$6:$F$41, "Graduate (Masters or above)", 'Task metrics - Group B'!AX$6:AX$41)</f>
        <v>0.16666666666666666</v>
      </c>
      <c r="G26" s="95">
        <f>AVERAGEIF('Profiles - Group B'!$F$6:$F$41, "Graduate (Masters or above)", 'Task metrics - Group B'!AY$6:AY$41)</f>
        <v>8.3333333333333329E-2</v>
      </c>
      <c r="H26" s="95">
        <f>AVERAGEIF('Profiles - Group B'!$F$6:$F$41, "Graduate (Masters or above)", 'Task metrics - Group B'!AZ$6:AZ$41)</f>
        <v>0.66666666666666663</v>
      </c>
      <c r="I26" s="95">
        <f>AVERAGEIF('Profiles - Group B'!$F$6:$F$41, "Graduate (Masters or above)", 'Task metrics - Group B'!BA$6:BA$41)</f>
        <v>0.75</v>
      </c>
      <c r="J26" s="95">
        <f>AVERAGE(B26:I26)</f>
        <v>0.34375</v>
      </c>
      <c r="K26" s="95"/>
      <c r="L26" s="95">
        <f>AVERAGEIF('Profiles - Group B'!$F$6:$F$41, "Graduate (Masters or above)", 'Task Time Calcs - Group B'!L$6:L$41)</f>
        <v>252</v>
      </c>
      <c r="M26" s="95">
        <f>AVERAGEIF('Profiles - Group B'!$F$6:$F$41, "Graduate (Masters or above)", 'Task Time Calcs - Group B'!M$6:M$41)</f>
        <v>155</v>
      </c>
      <c r="N26" s="95">
        <f>AVERAGEIF('Profiles - Group B'!$F$6:$F$41, "Graduate (Masters or above)", 'Task Time Calcs - Group B'!N$6:N$41)</f>
        <v>61</v>
      </c>
      <c r="O26" s="95">
        <f>AVERAGEIF('Profiles - Group B'!$F$6:$F$41, "Graduate (Masters or above)", 'Task Time Calcs - Group B'!O$6:O$41)</f>
        <v>102.5</v>
      </c>
      <c r="P26" s="95">
        <f>AVERAGEIF('Profiles - Group B'!$F$6:$F$41, "Graduate (Masters or above)", 'Task Time Calcs - Group B'!P$6:P$41)</f>
        <v>137.5</v>
      </c>
      <c r="Q26" s="95">
        <f>AVERAGEIF('Profiles - Group B'!$F$6:$F$41, "Graduate (Masters or above)", 'Task Time Calcs - Group B'!Q$6:Q$41)</f>
        <v>78</v>
      </c>
      <c r="R26" s="95">
        <f>AVERAGEIF('Profiles - Group B'!$F$6:$F$41, "Graduate (Masters or above)", 'Task Time Calcs - Group B'!R$6:R$41)</f>
        <v>72</v>
      </c>
      <c r="S26" s="95">
        <f>AVERAGEIF('Profiles - Group B'!$F$6:$F$41, "Graduate (Masters or above)", 'Task Time Calcs - Group B'!S$6:S$41)</f>
        <v>103.33333333333333</v>
      </c>
      <c r="T26" s="95">
        <f>AVERAGE(L26:S26)</f>
        <v>120.16666666666667</v>
      </c>
      <c r="U26" s="95"/>
      <c r="V26" s="95">
        <f>AVERAGEIF('Profiles - Group B'!$F$6:$F$41, "Graduate (Masters or above)", 'Task metrics - Group B'!BN$6:BN$41)</f>
        <v>3.3333333333333335</v>
      </c>
      <c r="W26" s="95">
        <f>AVERAGEIF('Profiles - Group B'!$F$6:$F$41, "Graduate (Masters or above)", 'Task metrics - Group B'!BO$6:BO$41)</f>
        <v>1.6666666666666667</v>
      </c>
      <c r="X26" s="95">
        <f>AVERAGEIF('Profiles - Group B'!$F$6:$F$41, "Graduate (Masters or above)", 'Task metrics - Group B'!BP$6:BP$41)</f>
        <v>1.3333333333333333</v>
      </c>
      <c r="Y26" s="95">
        <f>AVERAGEIF('Profiles - Group B'!$F$6:$F$41, "Graduate (Masters or above)", 'Task metrics - Group B'!BQ$6:BQ$41)</f>
        <v>2.3333333333333335</v>
      </c>
      <c r="Z26" s="95">
        <f>AVERAGEIF('Profiles - Group B'!$F$6:$F$41, "Graduate (Masters or above)", 'Task metrics - Group B'!BR$6:BR$41)</f>
        <v>2.6666666666666665</v>
      </c>
      <c r="AA26" s="95">
        <f>AVERAGEIF('Profiles - Group B'!$F$6:$F$41, "Graduate (Masters or above)", 'Task metrics - Group B'!BS$6:BS$41)</f>
        <v>1.6666666666666667</v>
      </c>
      <c r="AB26" s="95">
        <f>AVERAGEIF('Profiles - Group B'!$F$6:$F$41, "Graduate (Masters or above)", 'Task metrics - Group B'!BT$6:BT$41)</f>
        <v>2.6666666666666665</v>
      </c>
      <c r="AC26" s="95">
        <f>AVERAGEIF('Profiles - Group B'!$F$6:$F$41, "Graduate (Masters or above)", 'Task metrics - Group B'!BU$6:BU$41)</f>
        <v>2.3333333333333335</v>
      </c>
      <c r="AD26" s="95">
        <f>AVERAGE(V26:AC26)</f>
        <v>2.2499999999999996</v>
      </c>
      <c r="AE26" s="95">
        <f>AVERAGE(V25:AC26)</f>
        <v>2.2361111111111112</v>
      </c>
      <c r="AP26" s="95">
        <f>AVERAGEIF('Profiles - Group B'!$F$6:$F$41, "Graduate (Masters or above)", 'Task metrics - Group B'!CH$6:CH$41)</f>
        <v>30</v>
      </c>
      <c r="AQ26" s="95"/>
    </row>
    <row r="28" spans="1:43">
      <c r="B28" s="47" t="s">
        <v>27</v>
      </c>
      <c r="C28" s="47" t="s">
        <v>28</v>
      </c>
      <c r="D28" s="47" t="s">
        <v>2</v>
      </c>
      <c r="E28" s="47" t="s">
        <v>3</v>
      </c>
      <c r="F28" s="47" t="s">
        <v>4</v>
      </c>
      <c r="G28" s="47" t="s">
        <v>5</v>
      </c>
      <c r="H28" s="47" t="s">
        <v>6</v>
      </c>
      <c r="I28" s="47" t="s">
        <v>7</v>
      </c>
      <c r="J28" s="47" t="s">
        <v>31</v>
      </c>
      <c r="L28" s="47" t="s">
        <v>27</v>
      </c>
      <c r="M28" s="47" t="s">
        <v>28</v>
      </c>
      <c r="N28" s="47" t="s">
        <v>2</v>
      </c>
      <c r="O28" s="47" t="s">
        <v>3</v>
      </c>
      <c r="P28" s="47" t="s">
        <v>4</v>
      </c>
      <c r="Q28" s="47" t="s">
        <v>5</v>
      </c>
      <c r="R28" s="47" t="s">
        <v>6</v>
      </c>
      <c r="S28" s="47" t="s">
        <v>7</v>
      </c>
      <c r="T28" s="47" t="s">
        <v>31</v>
      </c>
      <c r="V28" s="47" t="s">
        <v>27</v>
      </c>
      <c r="W28" s="47" t="s">
        <v>28</v>
      </c>
      <c r="X28" s="47" t="s">
        <v>2</v>
      </c>
      <c r="Y28" s="47" t="s">
        <v>3</v>
      </c>
      <c r="Z28" s="47" t="s">
        <v>4</v>
      </c>
      <c r="AA28" s="47" t="s">
        <v>5</v>
      </c>
      <c r="AB28" s="47" t="s">
        <v>6</v>
      </c>
      <c r="AC28" s="47" t="s">
        <v>7</v>
      </c>
      <c r="AD28" s="47" t="s">
        <v>31</v>
      </c>
    </row>
    <row r="29" spans="1:43">
      <c r="A29" s="100" t="s">
        <v>123</v>
      </c>
      <c r="B29" s="95">
        <f>AVERAGEIF('Profiles - Group B'!$I$6:$I$41, "&lt;&gt;No", 'Task metrics - Group B'!AT$6:AT$41)</f>
        <v>0.29166666666666669</v>
      </c>
      <c r="C29" s="95">
        <f>AVERAGEIF('Profiles - Group B'!$I$6:$I$41, "&lt;&gt;No", 'Task metrics - Group B'!AU$6:AU$41)</f>
        <v>0</v>
      </c>
      <c r="D29" s="95">
        <f>AVERAGEIF('Profiles - Group B'!$I$6:$I$41, "&lt;&gt;No", 'Task metrics - Group B'!AV$6:AV$41)</f>
        <v>0</v>
      </c>
      <c r="E29" s="95">
        <f>AVERAGEIF('Profiles - Group B'!$I$6:$I$41, "&lt;&gt;No", 'Task metrics - Group B'!AW$6:AW$41)</f>
        <v>0.16666666666666666</v>
      </c>
      <c r="F29" s="95">
        <f>AVERAGEIF('Profiles - Group B'!$I$6:$I$41, "&lt;&gt;No", 'Task metrics - Group B'!AX$6:AX$41)</f>
        <v>0.54166666666666663</v>
      </c>
      <c r="G29" s="95">
        <f>AVERAGEIF('Profiles - Group B'!$I$6:$I$41, "&lt;&gt;No", 'Task metrics - Group B'!AY$6:AY$41)</f>
        <v>0.16666666666666666</v>
      </c>
      <c r="H29" s="95">
        <f>AVERAGEIF('Profiles - Group B'!$I$6:$I$41, "&lt;&gt;No", 'Task metrics - Group B'!AZ$6:AZ$41)</f>
        <v>0.41666666666666669</v>
      </c>
      <c r="I29" s="95">
        <f>AVERAGEIF('Profiles - Group B'!$I$6:$I$41, "&lt;&gt;No", 'Task metrics - Group B'!BA$6:BA$41)</f>
        <v>0.54166666666666663</v>
      </c>
      <c r="J29" s="95">
        <f>AVERAGE(B29:I29)</f>
        <v>0.265625</v>
      </c>
      <c r="L29" s="95">
        <f>AVERAGEIF('Profiles - Group B'!$I$6:$I$41, "&lt;&gt;No", 'Task Time Calcs - Group B'!L$6:L$41)</f>
        <v>213</v>
      </c>
      <c r="M29" s="95" t="e">
        <f>AVERAGEIF('Profiles - Group B'!$I$6:$I$41, "&lt;&gt;No", 'Task Time Calcs - Group B'!M$6:M$41)</f>
        <v>#DIV/0!</v>
      </c>
      <c r="N29" s="95" t="e">
        <f>AVERAGEIF('Profiles - Group B'!$I$6:$I$41, "&lt;&gt;No", 'Task Time Calcs - Group B'!N$6:N$41)</f>
        <v>#DIV/0!</v>
      </c>
      <c r="O29" s="95">
        <f>AVERAGEIF('Profiles - Group B'!$I$6:$I$41, "&lt;&gt;No", 'Task Time Calcs - Group B'!O$6:O$41)</f>
        <v>170</v>
      </c>
      <c r="P29" s="95">
        <f>AVERAGEIF('Profiles - Group B'!$I$6:$I$41, "&lt;&gt;No", 'Task Time Calcs - Group B'!P$6:P$41)</f>
        <v>136.25</v>
      </c>
      <c r="Q29" s="95">
        <f>AVERAGEIF('Profiles - Group B'!$I$6:$I$41, "&lt;&gt;No", 'Task Time Calcs - Group B'!Q$6:Q$41)</f>
        <v>102</v>
      </c>
      <c r="R29" s="95">
        <f>AVERAGEIF('Profiles - Group B'!$I$6:$I$41, "&lt;&gt;No", 'Task Time Calcs - Group B'!R$6:R$41)</f>
        <v>136</v>
      </c>
      <c r="S29" s="95">
        <f>AVERAGEIF('Profiles - Group B'!$I$6:$I$41, "&lt;&gt;No", 'Task Time Calcs - Group B'!S$6:S$41)</f>
        <v>107.25</v>
      </c>
      <c r="T29" s="95" t="e">
        <f>AVERAGE(L29:S29)</f>
        <v>#DIV/0!</v>
      </c>
      <c r="V29" s="95">
        <f>AVERAGEIF('Profiles - Group B'!$I$6:$I$41, "&lt;&gt;No", 'Task metrics - Group B'!BN$6:BN$41)</f>
        <v>3.6666666666666665</v>
      </c>
      <c r="W29" s="95">
        <f>AVERAGEIF('Profiles - Group B'!$I$6:$I$41, "&lt;&gt;No", 'Task metrics - Group B'!BO$6:BO$41)</f>
        <v>1.5</v>
      </c>
      <c r="X29" s="95">
        <f>AVERAGEIF('Profiles - Group B'!$I$6:$I$41, "&lt;&gt;No", 'Task metrics - Group B'!BP$6:BP$41)</f>
        <v>1.8333333333333333</v>
      </c>
      <c r="Y29" s="95">
        <f>AVERAGEIF('Profiles - Group B'!$I$6:$I$41, "&lt;&gt;No", 'Task metrics - Group B'!BQ$6:BQ$41)</f>
        <v>1.6666666666666667</v>
      </c>
      <c r="Z29" s="95">
        <f>AVERAGEIF('Profiles - Group B'!$I$6:$I$41, "&lt;&gt;No", 'Task metrics - Group B'!BR$6:BR$41)</f>
        <v>2.8333333333333335</v>
      </c>
      <c r="AA29" s="95">
        <f>AVERAGEIF('Profiles - Group B'!$I$6:$I$41, "&lt;&gt;No", 'Task metrics - Group B'!BS$6:BS$41)</f>
        <v>1.8333333333333333</v>
      </c>
      <c r="AB29" s="95">
        <f>AVERAGEIF('Profiles - Group B'!$I$6:$I$41, "&lt;&gt;No", 'Task metrics - Group B'!BT$6:BT$41)</f>
        <v>2.1666666666666665</v>
      </c>
      <c r="AC29" s="95">
        <f>AVERAGEIF('Profiles - Group B'!$I$6:$I$41, "&lt;&gt;No", 'Task metrics - Group B'!BU$6:BU$41)</f>
        <v>2.1666666666666665</v>
      </c>
      <c r="AD29" s="95">
        <f>AVERAGE(V29:AC29)</f>
        <v>2.2083333333333335</v>
      </c>
      <c r="AP29" s="95">
        <f>AVERAGEIF('Profiles - Group B'!$I$6:$I$41, "&lt;&gt;No", 'Task metrics - Group B'!CH$6:CH$41)</f>
        <v>32.916666666666664</v>
      </c>
    </row>
    <row r="30" spans="1:43">
      <c r="A30" s="100" t="s">
        <v>124</v>
      </c>
      <c r="B30" s="95">
        <f>AVERAGEIF('Profiles - Group B'!$I$6:$I$41, "No", 'Task metrics - Group B'!AT$6:AT$41)</f>
        <v>0.42499999999999999</v>
      </c>
      <c r="C30" s="95">
        <f>AVERAGEIF('Profiles - Group B'!$I$6:$I$41, "No", 'Task metrics - Group B'!AU$6:AU$41)</f>
        <v>0.05</v>
      </c>
      <c r="D30" s="95">
        <f>AVERAGEIF('Profiles - Group B'!$I$6:$I$41, "No", 'Task metrics - Group B'!AV$6:AV$41)</f>
        <v>8.3333333333333329E-2</v>
      </c>
      <c r="E30" s="95">
        <f>AVERAGEIF('Profiles - Group B'!$I$6:$I$41, "No", 'Task metrics - Group B'!AW$6:AW$41)</f>
        <v>0.2</v>
      </c>
      <c r="F30" s="95">
        <f>AVERAGEIF('Profiles - Group B'!$I$6:$I$41, "No", 'Task metrics - Group B'!AX$6:AX$41)</f>
        <v>0.32500000000000001</v>
      </c>
      <c r="G30" s="95">
        <f>AVERAGEIF('Profiles - Group B'!$I$6:$I$41, "No", 'Task metrics - Group B'!AY$6:AY$41)</f>
        <v>0.13333333333333333</v>
      </c>
      <c r="H30" s="95">
        <f>AVERAGEIF('Profiles - Group B'!$I$6:$I$41, "No", 'Task metrics - Group B'!AZ$6:AZ$41)</f>
        <v>0.11666666666666667</v>
      </c>
      <c r="I30" s="95">
        <f>AVERAGEIF('Profiles - Group B'!$I$6:$I$41, "No", 'Task metrics - Group B'!BA$6:BA$41)</f>
        <v>0.40833333333333333</v>
      </c>
      <c r="J30" s="95">
        <f>AVERAGE(B30:I30)</f>
        <v>0.21770833333333334</v>
      </c>
      <c r="L30" s="95">
        <f>AVERAGEIF('Profiles - Group B'!$I$6:$I$41, "No", 'Task Time Calcs - Group B'!L$6:L$41)</f>
        <v>206.33333333333334</v>
      </c>
      <c r="M30" s="95">
        <f>AVERAGEIF('Profiles - Group B'!$I$6:$I$41, "No", 'Task Time Calcs - Group B'!M$6:M$41)</f>
        <v>175.83333333333334</v>
      </c>
      <c r="N30" s="95"/>
      <c r="O30" s="95">
        <f>AVERAGEIF('Profiles - Group B'!$I$6:$I$41, "No", 'Task Time Calcs - Group B'!O$6:O$41)</f>
        <v>96.666666666666671</v>
      </c>
      <c r="P30" s="95">
        <f>AVERAGEIF('Profiles - Group B'!$I$6:$I$41, "No", 'Task Time Calcs - Group B'!P$6:P$41)</f>
        <v>120.16666666666667</v>
      </c>
      <c r="Q30" s="95">
        <f>AVERAGEIF('Profiles - Group B'!$I$6:$I$41, "No", 'Task Time Calcs - Group B'!Q$6:Q$41)</f>
        <v>83.1</v>
      </c>
      <c r="R30" s="95">
        <f>AVERAGEIF('Profiles - Group B'!$I$6:$I$41, "No", 'Task Time Calcs - Group B'!R$6:R$41)</f>
        <v>107.625</v>
      </c>
      <c r="S30" s="95">
        <f>AVERAGEIF('Profiles - Group B'!$I$6:$I$41, "No", 'Task Time Calcs - Group B'!S$6:S$41)</f>
        <v>138</v>
      </c>
      <c r="T30" s="95">
        <f>AVERAGE(L30:S30)</f>
        <v>132.53214285714287</v>
      </c>
      <c r="V30" s="95">
        <f>AVERAGEIF('Profiles - Group B'!$I$6:$I$41, "No", 'Task metrics - Group B'!BN$6:BN$41)</f>
        <v>3.2333333333333334</v>
      </c>
      <c r="W30" s="95">
        <f>AVERAGEIF('Profiles - Group B'!$I$6:$I$41, "No", 'Task metrics - Group B'!BO$6:BO$41)</f>
        <v>1.8666666666666667</v>
      </c>
      <c r="X30" s="95">
        <f>AVERAGEIF('Profiles - Group B'!$I$6:$I$41, "No", 'Task metrics - Group B'!BP$6:BP$41)</f>
        <v>2.0333333333333332</v>
      </c>
      <c r="Y30" s="95">
        <f>AVERAGEIF('Profiles - Group B'!$I$6:$I$41, "No", 'Task metrics - Group B'!BQ$6:BQ$41)</f>
        <v>1.7333333333333334</v>
      </c>
      <c r="Z30" s="95">
        <f>AVERAGEIF('Profiles - Group B'!$I$6:$I$41, "No", 'Task metrics - Group B'!BR$6:BR$41)</f>
        <v>2.8333333333333335</v>
      </c>
      <c r="AA30" s="95">
        <f>AVERAGEIF('Profiles - Group B'!$I$6:$I$41, "No", 'Task metrics - Group B'!BS$6:BS$41)</f>
        <v>2.2000000000000002</v>
      </c>
      <c r="AB30" s="95">
        <f>AVERAGEIF('Profiles - Group B'!$I$6:$I$41, "No", 'Task metrics - Group B'!BT$6:BT$41)</f>
        <v>1.8666666666666667</v>
      </c>
      <c r="AC30" s="95">
        <f>AVERAGEIF('Profiles - Group B'!$I$6:$I$41, "No", 'Task metrics - Group B'!BU$6:BU$41)</f>
        <v>1.8666666666666667</v>
      </c>
      <c r="AD30" s="95">
        <f>AVERAGE(V30:AC30)</f>
        <v>2.2041666666666671</v>
      </c>
      <c r="AP30" s="95">
        <f>AVERAGEIF('Profiles - Group B'!$I$6:$I$41, "No", 'Task metrics - Group B'!CH$6:CH$41)</f>
        <v>30.75</v>
      </c>
    </row>
    <row r="33" spans="1:11">
      <c r="A33" s="47"/>
    </row>
    <row r="34" spans="1:11">
      <c r="B34" s="47"/>
      <c r="C34" s="47"/>
      <c r="D34" s="47"/>
      <c r="E34" s="47"/>
      <c r="F34" s="47"/>
      <c r="G34" s="47"/>
      <c r="H34" s="47"/>
      <c r="I34" s="47"/>
      <c r="J34" s="47"/>
    </row>
    <row r="35" spans="1:11">
      <c r="A35" s="96"/>
      <c r="B35" s="95"/>
      <c r="C35" s="95"/>
      <c r="D35" s="95"/>
      <c r="E35" s="95"/>
      <c r="F35" s="95"/>
      <c r="G35" s="95"/>
      <c r="H35" s="95"/>
      <c r="I35" s="95"/>
      <c r="J35" s="95"/>
    </row>
    <row r="36" spans="1:11">
      <c r="A36" s="96"/>
      <c r="B36" s="95"/>
      <c r="C36" s="95"/>
      <c r="D36" s="95"/>
      <c r="E36" s="95"/>
      <c r="F36" s="95"/>
      <c r="G36" s="95"/>
      <c r="H36" s="95"/>
      <c r="I36" s="95"/>
      <c r="J36" s="95"/>
    </row>
    <row r="38" spans="1:11">
      <c r="B38" s="47"/>
      <c r="C38" s="47"/>
      <c r="D38" s="47"/>
      <c r="E38" s="47"/>
      <c r="F38" s="47"/>
      <c r="G38" s="47"/>
      <c r="H38" s="47"/>
      <c r="I38" s="47"/>
      <c r="J38" s="47"/>
    </row>
    <row r="39" spans="1:11">
      <c r="A39" s="96"/>
      <c r="B39" s="95"/>
      <c r="C39" s="95"/>
      <c r="D39" s="95"/>
      <c r="E39" s="95"/>
      <c r="F39" s="95"/>
      <c r="G39" s="95"/>
      <c r="H39" s="95"/>
      <c r="I39" s="95"/>
      <c r="J39" s="95"/>
    </row>
    <row r="40" spans="1:11">
      <c r="A40" s="96"/>
      <c r="B40" s="95"/>
      <c r="C40" s="95"/>
      <c r="D40" s="95"/>
      <c r="E40" s="95"/>
      <c r="F40" s="95"/>
      <c r="G40" s="95"/>
      <c r="H40" s="95"/>
      <c r="I40" s="95"/>
      <c r="J40" s="95"/>
      <c r="K40" s="95"/>
    </row>
    <row r="41" spans="1:11">
      <c r="A41" s="96"/>
      <c r="B41" s="95"/>
      <c r="C41" s="95"/>
      <c r="D41" s="95"/>
      <c r="E41" s="95"/>
      <c r="F41" s="95"/>
      <c r="G41" s="95"/>
      <c r="H41" s="95"/>
      <c r="I41" s="95"/>
      <c r="J41" s="95"/>
    </row>
    <row r="42" spans="1:11">
      <c r="A42" s="96"/>
      <c r="B42" s="95"/>
      <c r="C42" s="95"/>
      <c r="D42" s="95"/>
      <c r="E42" s="95"/>
      <c r="F42" s="95"/>
      <c r="G42" s="95"/>
      <c r="H42" s="95"/>
      <c r="I42" s="95"/>
      <c r="J42" s="95"/>
      <c r="K42" s="95"/>
    </row>
    <row r="43" spans="1:11">
      <c r="A43" s="96"/>
      <c r="B43" s="95"/>
      <c r="C43" s="95"/>
      <c r="D43" s="95"/>
      <c r="E43" s="95"/>
      <c r="F43" s="95"/>
      <c r="G43" s="95"/>
      <c r="H43" s="95"/>
      <c r="I43" s="95"/>
      <c r="J43" s="95"/>
    </row>
    <row r="44" spans="1:11">
      <c r="A44" s="96"/>
      <c r="B44" s="95"/>
      <c r="C44" s="95"/>
      <c r="D44" s="95"/>
      <c r="E44" s="95"/>
      <c r="F44" s="95"/>
      <c r="G44" s="95"/>
      <c r="H44" s="95"/>
      <c r="I44" s="95"/>
      <c r="J44" s="95"/>
      <c r="K44" s="95"/>
    </row>
    <row r="45" spans="1:11">
      <c r="A45" s="96"/>
    </row>
    <row r="46" spans="1:11">
      <c r="A46" s="96"/>
      <c r="B46" s="47"/>
      <c r="C46" s="47"/>
      <c r="D46" s="47"/>
      <c r="E46" s="47"/>
      <c r="F46" s="47"/>
      <c r="G46" s="47"/>
      <c r="H46" s="47"/>
      <c r="I46" s="47"/>
      <c r="J46" s="47"/>
    </row>
    <row r="47" spans="1:11">
      <c r="A47" s="96"/>
      <c r="B47" s="95"/>
      <c r="C47" s="95"/>
      <c r="D47" s="95"/>
      <c r="E47" s="95"/>
      <c r="F47" s="95"/>
      <c r="G47" s="95"/>
      <c r="H47" s="95"/>
      <c r="I47" s="95"/>
      <c r="J47" s="95"/>
    </row>
    <row r="48" spans="1:11">
      <c r="A48" s="96"/>
      <c r="B48" s="95"/>
      <c r="C48" s="95"/>
      <c r="D48" s="95"/>
      <c r="E48" s="95"/>
      <c r="F48" s="95"/>
      <c r="G48" s="95"/>
      <c r="H48" s="95"/>
      <c r="I48" s="95"/>
      <c r="J48" s="95"/>
    </row>
    <row r="49" spans="1:11">
      <c r="A49" s="96"/>
      <c r="B49" s="95"/>
      <c r="C49" s="95"/>
      <c r="D49" s="95"/>
      <c r="E49" s="95"/>
      <c r="F49" s="95"/>
      <c r="G49" s="95"/>
      <c r="H49" s="95"/>
      <c r="I49" s="95"/>
      <c r="J49" s="95"/>
      <c r="K49" s="95"/>
    </row>
    <row r="50" spans="1:11">
      <c r="A50" s="96"/>
      <c r="B50" s="95"/>
      <c r="C50" s="95"/>
      <c r="D50" s="95"/>
      <c r="E50" s="95"/>
      <c r="F50" s="95"/>
      <c r="G50" s="95"/>
      <c r="H50" s="95"/>
      <c r="I50" s="95"/>
      <c r="J50" s="95"/>
    </row>
    <row r="51" spans="1:11">
      <c r="A51" s="96"/>
    </row>
    <row r="52" spans="1:11">
      <c r="A52" s="96"/>
      <c r="B52" s="47"/>
      <c r="C52" s="47"/>
      <c r="D52" s="47"/>
      <c r="E52" s="47"/>
      <c r="F52" s="47"/>
      <c r="G52" s="47"/>
      <c r="H52" s="47"/>
      <c r="I52" s="47"/>
      <c r="J52" s="47"/>
    </row>
    <row r="53" spans="1:11">
      <c r="A53" s="97"/>
      <c r="B53" s="95"/>
      <c r="C53" s="95"/>
      <c r="D53" s="95"/>
      <c r="E53" s="95"/>
      <c r="F53" s="95"/>
      <c r="G53" s="95"/>
      <c r="H53" s="95"/>
      <c r="I53" s="95"/>
      <c r="J53" s="95"/>
    </row>
    <row r="54" spans="1:11">
      <c r="A54" s="98"/>
      <c r="B54" s="95"/>
      <c r="C54" s="95"/>
      <c r="D54" s="95"/>
      <c r="E54" s="95"/>
      <c r="F54" s="95"/>
      <c r="G54" s="95"/>
      <c r="H54" s="95"/>
      <c r="I54" s="95"/>
      <c r="J54" s="95"/>
      <c r="K54" s="95"/>
    </row>
    <row r="55" spans="1:11">
      <c r="A55" s="98"/>
      <c r="B55" s="95"/>
      <c r="C55" s="95"/>
      <c r="D55" s="95"/>
      <c r="E55" s="95"/>
      <c r="F55" s="95"/>
      <c r="G55" s="95"/>
      <c r="H55" s="95"/>
      <c r="I55" s="95"/>
      <c r="J55" s="95"/>
    </row>
    <row r="56" spans="1:11">
      <c r="A56" s="99"/>
      <c r="B56" s="95"/>
      <c r="C56" s="95"/>
      <c r="D56" s="95"/>
      <c r="E56" s="95"/>
      <c r="F56" s="95"/>
      <c r="G56" s="95"/>
      <c r="H56" s="95"/>
      <c r="I56" s="95"/>
      <c r="J56" s="95"/>
      <c r="K56" s="95"/>
    </row>
    <row r="58" spans="1:11">
      <c r="B58" s="47"/>
      <c r="C58" s="47"/>
      <c r="D58" s="47"/>
      <c r="E58" s="47"/>
      <c r="F58" s="47"/>
      <c r="G58" s="47"/>
      <c r="H58" s="47"/>
      <c r="I58" s="47"/>
      <c r="J58" s="47"/>
    </row>
    <row r="59" spans="1:11">
      <c r="A59" s="100"/>
      <c r="B59" s="95"/>
      <c r="C59" s="95"/>
      <c r="D59" s="95"/>
      <c r="E59" s="95"/>
      <c r="F59" s="95"/>
      <c r="G59" s="95"/>
      <c r="H59" s="95"/>
      <c r="I59" s="95"/>
      <c r="J59" s="95"/>
    </row>
    <row r="60" spans="1:11">
      <c r="A60" s="100"/>
      <c r="B60" s="95"/>
      <c r="C60" s="95"/>
      <c r="D60" s="95"/>
      <c r="E60" s="95"/>
      <c r="F60" s="95"/>
      <c r="G60" s="95"/>
      <c r="H60" s="95"/>
      <c r="I60" s="95"/>
      <c r="J60" s="95"/>
    </row>
    <row r="63" spans="1:11">
      <c r="A63" s="47"/>
    </row>
    <row r="64" spans="1:11">
      <c r="B64" s="47"/>
      <c r="C64" s="47"/>
      <c r="D64" s="47"/>
      <c r="E64" s="47"/>
      <c r="F64" s="47"/>
      <c r="G64" s="47"/>
      <c r="H64" s="47"/>
      <c r="I64" s="47"/>
      <c r="J64" s="47"/>
    </row>
    <row r="65" spans="1:11">
      <c r="A65" s="96"/>
      <c r="B65" s="95"/>
      <c r="C65" s="95"/>
      <c r="D65" s="95"/>
      <c r="E65" s="95"/>
      <c r="F65" s="95"/>
      <c r="G65" s="95"/>
      <c r="H65" s="95"/>
      <c r="I65" s="95"/>
      <c r="J65" s="95"/>
    </row>
    <row r="66" spans="1:11">
      <c r="A66" s="96"/>
      <c r="B66" s="95"/>
      <c r="C66" s="95"/>
      <c r="D66" s="95"/>
      <c r="E66" s="95"/>
      <c r="F66" s="95"/>
      <c r="G66" s="95"/>
      <c r="H66" s="95"/>
      <c r="I66" s="95"/>
      <c r="J66" s="95"/>
    </row>
    <row r="68" spans="1:11">
      <c r="B68" s="47"/>
      <c r="C68" s="47"/>
      <c r="D68" s="47"/>
      <c r="E68" s="47"/>
      <c r="F68" s="47"/>
      <c r="G68" s="47"/>
      <c r="H68" s="47"/>
      <c r="I68" s="47"/>
      <c r="J68" s="47"/>
    </row>
    <row r="69" spans="1:11">
      <c r="A69" s="96"/>
      <c r="B69" s="95"/>
      <c r="C69" s="95"/>
      <c r="D69" s="95"/>
      <c r="E69" s="95"/>
      <c r="F69" s="95"/>
      <c r="G69" s="95"/>
      <c r="H69" s="95"/>
      <c r="I69" s="95"/>
      <c r="J69" s="95"/>
    </row>
    <row r="70" spans="1:11">
      <c r="A70" s="96"/>
      <c r="B70" s="95"/>
      <c r="C70" s="95"/>
      <c r="D70" s="95"/>
      <c r="E70" s="95"/>
      <c r="F70" s="95"/>
      <c r="G70" s="95"/>
      <c r="H70" s="95"/>
      <c r="I70" s="95"/>
      <c r="J70" s="95"/>
      <c r="K70" s="95"/>
    </row>
    <row r="71" spans="1:11">
      <c r="A71" s="96"/>
      <c r="B71" s="95"/>
      <c r="C71" s="95"/>
      <c r="D71" s="95"/>
      <c r="E71" s="95"/>
      <c r="F71" s="95"/>
      <c r="G71" s="95"/>
      <c r="H71" s="95"/>
      <c r="I71" s="95"/>
      <c r="J71" s="95"/>
    </row>
    <row r="72" spans="1:11">
      <c r="A72" s="96"/>
      <c r="B72" s="95"/>
      <c r="C72" s="95"/>
      <c r="D72" s="95"/>
      <c r="E72" s="95"/>
      <c r="F72" s="95"/>
      <c r="G72" s="95"/>
      <c r="H72" s="95"/>
      <c r="I72" s="95"/>
      <c r="J72" s="95"/>
      <c r="K72" s="95"/>
    </row>
    <row r="73" spans="1:11">
      <c r="A73" s="96"/>
      <c r="B73" s="95"/>
      <c r="C73" s="95"/>
      <c r="D73" s="95"/>
      <c r="E73" s="95"/>
      <c r="F73" s="95"/>
      <c r="G73" s="95"/>
      <c r="H73" s="95"/>
      <c r="I73" s="95"/>
      <c r="J73" s="95"/>
    </row>
    <row r="74" spans="1:11">
      <c r="A74" s="96"/>
      <c r="B74" s="95"/>
      <c r="C74" s="95"/>
      <c r="D74" s="95"/>
      <c r="E74" s="95"/>
      <c r="F74" s="95"/>
      <c r="G74" s="95"/>
      <c r="H74" s="95"/>
      <c r="I74" s="95"/>
      <c r="J74" s="95"/>
      <c r="K74" s="95"/>
    </row>
    <row r="75" spans="1:11">
      <c r="A75" s="96"/>
    </row>
    <row r="76" spans="1:11">
      <c r="A76" s="96"/>
      <c r="B76" s="47"/>
      <c r="C76" s="47"/>
      <c r="D76" s="47"/>
      <c r="E76" s="47"/>
      <c r="F76" s="47"/>
      <c r="G76" s="47"/>
      <c r="H76" s="47"/>
      <c r="I76" s="47"/>
      <c r="J76" s="47"/>
    </row>
    <row r="77" spans="1:11">
      <c r="A77" s="96"/>
      <c r="B77" s="95"/>
      <c r="C77" s="95"/>
      <c r="D77" s="95"/>
      <c r="E77" s="95"/>
      <c r="F77" s="95"/>
      <c r="G77" s="95"/>
      <c r="H77" s="95"/>
      <c r="I77" s="95"/>
      <c r="J77" s="95"/>
    </row>
    <row r="78" spans="1:11">
      <c r="A78" s="96"/>
      <c r="B78" s="95"/>
      <c r="C78" s="95"/>
      <c r="D78" s="95"/>
      <c r="E78" s="95"/>
      <c r="F78" s="95"/>
      <c r="G78" s="95"/>
      <c r="H78" s="95"/>
      <c r="I78" s="95"/>
      <c r="J78" s="95"/>
    </row>
    <row r="79" spans="1:11">
      <c r="A79" s="96"/>
      <c r="B79" s="95"/>
      <c r="C79" s="95"/>
      <c r="D79" s="95"/>
      <c r="E79" s="95"/>
      <c r="F79" s="95"/>
      <c r="G79" s="95"/>
      <c r="H79" s="95"/>
      <c r="I79" s="95"/>
      <c r="J79" s="95"/>
      <c r="K79" s="95"/>
    </row>
    <row r="80" spans="1:11">
      <c r="A80" s="96"/>
      <c r="B80" s="95"/>
      <c r="C80" s="95"/>
      <c r="D80" s="95"/>
      <c r="E80" s="95"/>
      <c r="F80" s="95"/>
      <c r="G80" s="95"/>
      <c r="H80" s="95"/>
      <c r="I80" s="95"/>
      <c r="J80" s="95"/>
    </row>
    <row r="81" spans="1:11">
      <c r="A81" s="96"/>
    </row>
    <row r="82" spans="1:11">
      <c r="A82" s="96"/>
      <c r="B82" s="47"/>
      <c r="C82" s="47"/>
      <c r="D82" s="47"/>
      <c r="E82" s="47"/>
      <c r="F82" s="47"/>
      <c r="G82" s="47"/>
      <c r="H82" s="47"/>
      <c r="I82" s="47"/>
      <c r="J82" s="47"/>
    </row>
    <row r="83" spans="1:11">
      <c r="A83" s="97"/>
      <c r="B83" s="95"/>
      <c r="C83" s="95"/>
      <c r="D83" s="95"/>
      <c r="E83" s="95"/>
      <c r="F83" s="95"/>
      <c r="G83" s="95"/>
      <c r="H83" s="95"/>
      <c r="I83" s="95"/>
      <c r="J83" s="95"/>
    </row>
    <row r="84" spans="1:11">
      <c r="A84" s="98"/>
      <c r="B84" s="95"/>
      <c r="C84" s="95"/>
      <c r="D84" s="95"/>
      <c r="E84" s="95"/>
      <c r="F84" s="95"/>
      <c r="G84" s="95"/>
      <c r="H84" s="95"/>
      <c r="I84" s="95"/>
      <c r="J84" s="95"/>
      <c r="K84" s="95"/>
    </row>
    <row r="85" spans="1:11">
      <c r="A85" s="98"/>
      <c r="B85" s="95"/>
      <c r="C85" s="95"/>
      <c r="D85" s="95"/>
      <c r="E85" s="95"/>
      <c r="F85" s="95"/>
      <c r="G85" s="95"/>
      <c r="H85" s="95"/>
      <c r="I85" s="95"/>
      <c r="J85" s="95"/>
    </row>
    <row r="86" spans="1:11">
      <c r="A86" s="99"/>
      <c r="B86" s="95"/>
      <c r="C86" s="95"/>
      <c r="D86" s="95"/>
      <c r="E86" s="95"/>
      <c r="F86" s="95"/>
      <c r="G86" s="95"/>
      <c r="H86" s="95"/>
      <c r="I86" s="95"/>
      <c r="J86" s="95"/>
      <c r="K86" s="95"/>
    </row>
    <row r="88" spans="1:11">
      <c r="B88" s="47"/>
      <c r="C88" s="47"/>
      <c r="D88" s="47"/>
      <c r="E88" s="47"/>
      <c r="F88" s="47"/>
      <c r="G88" s="47"/>
      <c r="H88" s="47"/>
      <c r="I88" s="47"/>
      <c r="J88" s="47"/>
    </row>
    <row r="89" spans="1:11">
      <c r="A89" s="100"/>
      <c r="B89" s="95"/>
      <c r="C89" s="95"/>
      <c r="D89" s="95"/>
      <c r="E89" s="95"/>
      <c r="F89" s="95"/>
      <c r="G89" s="95"/>
      <c r="H89" s="95"/>
      <c r="I89" s="95"/>
      <c r="J89" s="95"/>
    </row>
    <row r="90" spans="1:11">
      <c r="A90" s="100"/>
      <c r="B90" s="95"/>
      <c r="C90" s="95"/>
      <c r="D90" s="95"/>
      <c r="E90" s="95"/>
      <c r="F90" s="95"/>
      <c r="G90" s="95"/>
      <c r="H90" s="95"/>
      <c r="I90" s="95"/>
      <c r="J90" s="95"/>
    </row>
    <row r="1048576" spans="2:2">
      <c r="B1048576" s="95"/>
    </row>
  </sheetData>
  <mergeCells count="3">
    <mergeCell ref="A3:J3"/>
    <mergeCell ref="L3:T3"/>
    <mergeCell ref="V3:AP3"/>
  </mergeCells>
  <pageMargins left="0.7" right="0.7" top="0.75" bottom="0.75" header="0.3" footer="0.3"/>
  <pageSetup paperSize="9" orientation="portrait" horizontalDpi="0" verticalDpi="0" r:id="rId1"/>
  <tableParts count="3">
    <tablePart r:id="rId2"/>
    <tablePart r:id="rId3"/>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48576"/>
  <sheetViews>
    <sheetView topLeftCell="M1" workbookViewId="0">
      <selection activeCell="T1" sqref="T1"/>
    </sheetView>
  </sheetViews>
  <sheetFormatPr defaultRowHeight="15"/>
  <cols>
    <col min="1" max="1" width="28.5703125" bestFit="1" customWidth="1"/>
    <col min="2" max="2" width="9.42578125" customWidth="1"/>
    <col min="3" max="3" width="9.5703125" customWidth="1"/>
    <col min="10" max="10" width="9.5703125" customWidth="1"/>
    <col min="12" max="12" width="9.42578125" customWidth="1"/>
    <col min="13" max="13" width="9.5703125" customWidth="1"/>
    <col min="15" max="15" width="9.140625" customWidth="1"/>
    <col min="20" max="20" width="9.5703125" customWidth="1"/>
    <col min="22" max="22" width="9.42578125" customWidth="1"/>
    <col min="23" max="23" width="9.5703125" customWidth="1"/>
    <col min="30" max="30" width="9.5703125" customWidth="1"/>
    <col min="31" max="41" width="0" hidden="1" customWidth="1"/>
  </cols>
  <sheetData>
    <row r="1" spans="1:43" ht="28.5">
      <c r="A1" s="125" t="s">
        <v>193</v>
      </c>
      <c r="B1" s="125"/>
      <c r="C1" s="125"/>
      <c r="D1" s="125"/>
      <c r="E1" s="125"/>
      <c r="F1" s="125"/>
      <c r="G1" s="125"/>
      <c r="H1" s="125"/>
      <c r="I1" s="125"/>
      <c r="J1" s="125"/>
    </row>
    <row r="3" spans="1:43" ht="28.5">
      <c r="A3" s="159" t="s">
        <v>8</v>
      </c>
      <c r="B3" s="159"/>
      <c r="C3" s="159"/>
      <c r="D3" s="159"/>
      <c r="E3" s="159"/>
      <c r="F3" s="159"/>
      <c r="G3" s="159"/>
      <c r="H3" s="159"/>
      <c r="I3" s="159"/>
      <c r="J3" s="159"/>
      <c r="L3" s="159" t="s">
        <v>125</v>
      </c>
      <c r="M3" s="159"/>
      <c r="N3" s="159"/>
      <c r="O3" s="159"/>
      <c r="P3" s="159"/>
      <c r="Q3" s="159"/>
      <c r="R3" s="159"/>
      <c r="S3" s="159"/>
      <c r="T3" s="159"/>
      <c r="V3" s="159" t="s">
        <v>10</v>
      </c>
      <c r="W3" s="159"/>
      <c r="X3" s="159"/>
      <c r="Y3" s="159"/>
      <c r="Z3" s="159"/>
      <c r="AA3" s="159"/>
      <c r="AB3" s="159"/>
      <c r="AC3" s="159"/>
      <c r="AD3" s="159"/>
      <c r="AE3" s="122"/>
      <c r="AF3" s="122"/>
      <c r="AG3" s="122"/>
      <c r="AH3" s="122"/>
      <c r="AI3" s="122"/>
      <c r="AJ3" s="122"/>
      <c r="AK3" s="122"/>
      <c r="AL3" s="122"/>
      <c r="AM3" s="122"/>
      <c r="AN3" s="122"/>
      <c r="AO3" s="122"/>
      <c r="AP3" s="122"/>
    </row>
    <row r="4" spans="1:43">
      <c r="A4" t="s">
        <v>137</v>
      </c>
      <c r="B4" s="47" t="s">
        <v>27</v>
      </c>
      <c r="C4" s="47" t="s">
        <v>28</v>
      </c>
      <c r="D4" s="47" t="s">
        <v>2</v>
      </c>
      <c r="E4" s="47" t="s">
        <v>3</v>
      </c>
      <c r="F4" s="47" t="s">
        <v>4</v>
      </c>
      <c r="G4" s="47" t="s">
        <v>5</v>
      </c>
      <c r="H4" s="47" t="s">
        <v>6</v>
      </c>
      <c r="I4" s="47" t="s">
        <v>7</v>
      </c>
      <c r="J4" s="47" t="s">
        <v>31</v>
      </c>
      <c r="L4" s="47" t="s">
        <v>27</v>
      </c>
      <c r="M4" s="47" t="s">
        <v>28</v>
      </c>
      <c r="N4" s="47" t="s">
        <v>2</v>
      </c>
      <c r="O4" s="47" t="s">
        <v>3</v>
      </c>
      <c r="P4" s="47" t="s">
        <v>4</v>
      </c>
      <c r="Q4" s="47" t="s">
        <v>5</v>
      </c>
      <c r="R4" s="47" t="s">
        <v>6</v>
      </c>
      <c r="S4" s="47" t="s">
        <v>7</v>
      </c>
      <c r="T4" s="47" t="s">
        <v>31</v>
      </c>
      <c r="V4" s="47" t="s">
        <v>27</v>
      </c>
      <c r="W4" s="47" t="s">
        <v>28</v>
      </c>
      <c r="X4" s="47" t="s">
        <v>2</v>
      </c>
      <c r="Y4" s="47" t="s">
        <v>3</v>
      </c>
      <c r="Z4" s="47" t="s">
        <v>4</v>
      </c>
      <c r="AA4" s="47" t="s">
        <v>5</v>
      </c>
      <c r="AB4" s="47" t="s">
        <v>6</v>
      </c>
      <c r="AC4" s="47" t="s">
        <v>7</v>
      </c>
      <c r="AD4" s="47" t="s">
        <v>31</v>
      </c>
      <c r="AF4" s="47"/>
      <c r="AG4" s="47"/>
      <c r="AP4" s="47" t="s">
        <v>12</v>
      </c>
    </row>
    <row r="5" spans="1:43">
      <c r="A5" s="96" t="s">
        <v>116</v>
      </c>
      <c r="B5" s="95">
        <f>AVERAGEIF('Profiles - Group B'!$G$6:$G$41, "Non-Smart", 'Task metrics - Group B'!C6:C41)</f>
        <v>0.17857142857142858</v>
      </c>
      <c r="C5" s="95">
        <f>AVERAGEIF('Profiles - Group B'!$G$6:$G$41, "Non-Smart", 'Task metrics - Group B'!D6:D41)</f>
        <v>0.16071428571428573</v>
      </c>
      <c r="D5" s="95">
        <f>AVERAGEIF('Profiles - Group B'!$G$6:$G$41, "Non-Smart", 'Task metrics - Group B'!E6:E41)</f>
        <v>0.14285714285714285</v>
      </c>
      <c r="E5" s="95">
        <f>AVERAGEIF('Profiles - Group B'!$G$6:$G$41, "Non-Smart", 'Task metrics - Group B'!F6:F41)</f>
        <v>0.3392857142857143</v>
      </c>
      <c r="F5" s="95">
        <f>AVERAGEIF('Profiles - Group B'!$G$6:$G$41, "Non-Smart", 'Task metrics - Group B'!G6:G41)</f>
        <v>0.6071428571428571</v>
      </c>
      <c r="G5" s="95">
        <f>AVERAGEIF('Profiles - Group B'!$G$6:$G$41, "Non-Smart", 'Task metrics - Group B'!H6:H41)</f>
        <v>0.7321428571428571</v>
      </c>
      <c r="H5" s="95">
        <f>AVERAGEIF('Profiles - Group B'!$G$6:$G$41, "Non-Smart", 'Task metrics - Group B'!I6:I41)</f>
        <v>0.44642857142857145</v>
      </c>
      <c r="I5" s="95">
        <f>AVERAGEIF('Profiles - Group B'!$G$6:$G$41, "Non-Smart", 'Task metrics - Group B'!J6:J41)</f>
        <v>0.7678571428571429</v>
      </c>
      <c r="J5" s="95">
        <f>AVERAGE(B5:I5)</f>
        <v>0.421875</v>
      </c>
      <c r="K5" s="104"/>
      <c r="L5" s="95">
        <f>AVERAGEIF('Profiles - Group B'!$G$6:$G$41, "Non-Smart", 'Task Time Calcs - Group B'!B$6:B$41)</f>
        <v>238.6</v>
      </c>
      <c r="M5" s="95">
        <f>AVERAGEIF('Profiles - Group B'!$G$6:$G$41, "Non-Smart", 'Task Time Calcs - Group B'!C$6:C$41)</f>
        <v>157.77777777777777</v>
      </c>
      <c r="N5" s="95">
        <f>AVERAGEIF('Profiles - Group B'!$G$6:$G$41, "Non-Smart", 'Task Time Calcs - Group B'!D$6:D$41)</f>
        <v>124.5</v>
      </c>
      <c r="O5" s="95">
        <f>AVERAGEIF('Profiles - Group B'!$G$6:$G$41, "Non-Smart", 'Task Time Calcs - Group B'!E$6:E$41)</f>
        <v>128.28571428571428</v>
      </c>
      <c r="P5" s="95">
        <f>AVERAGEIF('Profiles - Group B'!$G$6:$G$41, "Non-Smart", 'Task Time Calcs - Group B'!F$6:F$41)</f>
        <v>109</v>
      </c>
      <c r="Q5" s="95">
        <f>AVERAGEIF('Profiles - Group B'!$G$6:$G$41, "Non-Smart", 'Task Time Calcs - Group B'!G$6:G$41)</f>
        <v>58.5</v>
      </c>
      <c r="R5" s="95">
        <f>AVERAGEIF('Profiles - Group B'!$G$6:$G$41, "Non-Smart", 'Task Time Calcs - Group B'!H$6:H$41)</f>
        <v>61.428571428571431</v>
      </c>
      <c r="S5" s="95">
        <f>AVERAGEIF('Profiles - Group B'!$G$6:$G$41, "Non-Smart", 'Task Time Calcs - Group B'!I$6:I$41)</f>
        <v>68.92307692307692</v>
      </c>
      <c r="T5" s="95">
        <f>AVERAGE(L5:S5)</f>
        <v>118.37689255189254</v>
      </c>
      <c r="V5" s="95">
        <f>AVERAGEIF('Profiles - Group B'!$G$6:$G$41, "Non-Smart", 'Task metrics - Group B'!W6:W41)</f>
        <v>2.7142857142857144</v>
      </c>
      <c r="W5" s="95">
        <f>AVERAGEIF('Profiles - Group B'!$G$6:$G$41, "Non-Smart", 'Task metrics - Group B'!X6:X41)</f>
        <v>2.5714285714285716</v>
      </c>
      <c r="X5" s="95">
        <f>AVERAGEIF('Profiles - Group B'!$G$6:$G$41, "Non-Smart", 'Task metrics - Group B'!Y6:Y41)</f>
        <v>2.5714285714285716</v>
      </c>
      <c r="Y5" s="95">
        <f>AVERAGEIF('Profiles - Group B'!$G$6:$G$41, "Non-Smart", 'Task metrics - Group B'!Z6:Z41)</f>
        <v>1.8571428571428572</v>
      </c>
      <c r="Z5" s="95">
        <f>AVERAGEIF('Profiles - Group B'!$G$6:$G$41, "Non-Smart", 'Task metrics - Group B'!AA6:AA41)</f>
        <v>2.7142857142857144</v>
      </c>
      <c r="AA5" s="95">
        <f>AVERAGEIF('Profiles - Group B'!$G$6:$G$41, "Non-Smart", 'Task metrics - Group B'!AB6:AB41)</f>
        <v>3.7857142857142856</v>
      </c>
      <c r="AB5" s="95">
        <f>AVERAGEIF('Profiles - Group B'!$G$6:$G$41, "Non-Smart", 'Task metrics - Group B'!AC6:AC41)</f>
        <v>2.3571428571428572</v>
      </c>
      <c r="AC5" s="95">
        <f>AVERAGEIF('Profiles - Group B'!$G$6:$G$41, "Non-Smart", 'Task metrics - Group B'!AD6:AD41)</f>
        <v>3.8571428571428572</v>
      </c>
      <c r="AD5" s="95">
        <f>AVERAGE(V5:AC5)</f>
        <v>2.8035714285714288</v>
      </c>
      <c r="AJ5" s="95"/>
      <c r="AP5" s="95">
        <f>AVERAGEIF('Profiles - Group B'!$G$6:$G$41, "Non-Smart", 'Task metrics - Group B'!AQ6:AQ41)</f>
        <v>51.964285714285715</v>
      </c>
    </row>
    <row r="6" spans="1:43">
      <c r="A6" s="96" t="s">
        <v>115</v>
      </c>
      <c r="B6" s="95">
        <f>AVERAGEIF('Profiles - Group B'!$G$6:$G$41, "&lt;&gt;Non-Smart", 'Task metrics - Group B'!C6:C41)</f>
        <v>0.17045454545454544</v>
      </c>
      <c r="C6" s="95">
        <f>AVERAGEIF('Profiles - Group B'!$G$6:$G$41, "&lt;&gt;Non-Smart", 'Task metrics - Group B'!D6:D41)</f>
        <v>0.17045454545454544</v>
      </c>
      <c r="D6" s="95">
        <f>AVERAGEIF('Profiles - Group B'!$G$6:$G$41, "&lt;&gt;Non-Smart", 'Task metrics - Group B'!E6:E41)</f>
        <v>0.17045454545454544</v>
      </c>
      <c r="E6" s="95">
        <f>AVERAGEIF('Profiles - Group B'!$G$6:$G$41, "&lt;&gt;Non-Smart", 'Task metrics - Group B'!F6:F41)</f>
        <v>0.54545454545454541</v>
      </c>
      <c r="F6" s="95">
        <f>AVERAGEIF('Profiles - Group B'!$G$6:$G$41, "&lt;&gt;Non-Smart", 'Task metrics - Group B'!G6:G41)</f>
        <v>0.75</v>
      </c>
      <c r="G6" s="95">
        <f>AVERAGEIF('Profiles - Group B'!$G$6:$G$41, "&lt;&gt;Non-Smart", 'Task metrics - Group B'!H6:H41)</f>
        <v>0.77272727272727271</v>
      </c>
      <c r="H6" s="95">
        <f>AVERAGEIF('Profiles - Group B'!$G$6:$G$41, "&lt;&gt;Non-Smart", 'Task metrics - Group B'!I6:I41)</f>
        <v>0.71590909090909094</v>
      </c>
      <c r="I6" s="95">
        <f>AVERAGEIF('Profiles - Group B'!$G$6:$G$41, "&lt;&gt;Non-Smart", 'Task metrics - Group B'!J6:J41)</f>
        <v>0.77272727272727271</v>
      </c>
      <c r="J6" s="95">
        <f>AVERAGE(B6:I6)</f>
        <v>0.50852272727272718</v>
      </c>
      <c r="K6" s="96"/>
      <c r="L6" s="95">
        <f>AVERAGEIF('Profiles - Group B'!$G$6:$G$41, "&lt;&gt;Non-Smart", 'Task Time Calcs - Group B'!B$6:B$41)</f>
        <v>251.46666666666667</v>
      </c>
      <c r="M6" s="95">
        <f>AVERAGEIF('Profiles - Group B'!$G$6:$G$41, "&lt;&gt;Non-Smart", 'Task Time Calcs - Group B'!C$6:C$41)</f>
        <v>157.26666666666668</v>
      </c>
      <c r="N6" s="95">
        <f>AVERAGEIF('Profiles - Group B'!$G$6:$G$41, "&lt;&gt;Non-Smart", 'Task Time Calcs - Group B'!D$6:D$41)</f>
        <v>124.26666666666667</v>
      </c>
      <c r="O6" s="95">
        <f>AVERAGEIF('Profiles - Group B'!$G$6:$G$41, "&lt;&gt;Non-Smart", 'Task Time Calcs - Group B'!E$6:E$41)</f>
        <v>108.75</v>
      </c>
      <c r="P6" s="95">
        <f>AVERAGEIF('Profiles - Group B'!$G$6:$G$41, "&lt;&gt;Non-Smart", 'Task Time Calcs - Group B'!F$6:F$41)</f>
        <v>89.333333333333329</v>
      </c>
      <c r="Q6" s="95">
        <f>AVERAGEIF('Profiles - Group B'!$G$6:$G$41, "&lt;&gt;Non-Smart", 'Task Time Calcs - Group B'!G$6:G$41)</f>
        <v>63.2</v>
      </c>
      <c r="R6" s="95">
        <f>AVERAGEIF('Profiles - Group B'!$G$6:$G$41, "&lt;&gt;Non-Smart", 'Task Time Calcs - Group B'!H$6:H$41)</f>
        <v>56.166666666666664</v>
      </c>
      <c r="S6" s="95">
        <f>AVERAGEIF('Profiles - Group B'!$G$6:$G$41, "&lt;&gt;Non-Smart", 'Task Time Calcs - Group B'!I$6:I$41)</f>
        <v>45.55</v>
      </c>
      <c r="T6" s="95">
        <f>AVERAGE(L6:S6)</f>
        <v>112</v>
      </c>
      <c r="V6" s="95">
        <f>AVERAGEIF('Profiles - Group B'!$G$6:$G$41, "&lt;&gt;Non-Smart", 'Task metrics - Group B'!W6:W41)</f>
        <v>2.6363636363636362</v>
      </c>
      <c r="W6" s="95">
        <f>AVERAGEIF('Profiles - Group B'!$G$6:$G$41, "&lt;&gt;Non-Smart", 'Task metrics - Group B'!X6:X41)</f>
        <v>2.4090909090909092</v>
      </c>
      <c r="X6" s="95">
        <f>AVERAGEIF('Profiles - Group B'!$G$6:$G$41, "&lt;&gt;Non-Smart", 'Task metrics - Group B'!Y6:Y41)</f>
        <v>2.9090909090909092</v>
      </c>
      <c r="Y6" s="95">
        <f>AVERAGEIF('Profiles - Group B'!$G$6:$G$41, "&lt;&gt;Non-Smart", 'Task metrics - Group B'!Z6:Z41)</f>
        <v>2.5</v>
      </c>
      <c r="Z6" s="95">
        <f>AVERAGEIF('Profiles - Group B'!$G$6:$G$41, "&lt;&gt;Non-Smart", 'Task metrics - Group B'!AA6:AA41)</f>
        <v>3.0909090909090908</v>
      </c>
      <c r="AA6" s="95">
        <f>AVERAGEIF('Profiles - Group B'!$G$6:$G$41, "&lt;&gt;Non-Smart", 'Task metrics - Group B'!AB6:AB41)</f>
        <v>3.7272727272727271</v>
      </c>
      <c r="AB6" s="95">
        <f>AVERAGEIF('Profiles - Group B'!$G$6:$G$41, "&lt;&gt;Non-Smart", 'Task metrics - Group B'!AC6:AC41)</f>
        <v>3.4545454545454546</v>
      </c>
      <c r="AC6" s="95">
        <f>AVERAGEIF('Profiles - Group B'!$G$6:$G$41, "&lt;&gt;Non-Smart", 'Task metrics - Group B'!AD6:AD41)</f>
        <v>4</v>
      </c>
      <c r="AD6" s="95">
        <f>AVERAGE(V6:AC6)</f>
        <v>3.0909090909090904</v>
      </c>
      <c r="AP6" s="95">
        <f>AVERAGEIF('Profiles - Group B'!$G$6:$G$41, "&lt;&gt;Non-Smart", 'Task metrics - Group B'!AQ6:AQ41)</f>
        <v>50.56818181818182</v>
      </c>
    </row>
    <row r="8" spans="1:43">
      <c r="B8" s="47" t="s">
        <v>27</v>
      </c>
      <c r="C8" s="47" t="s">
        <v>28</v>
      </c>
      <c r="D8" s="47" t="s">
        <v>2</v>
      </c>
      <c r="E8" s="47" t="s">
        <v>3</v>
      </c>
      <c r="F8" s="47" t="s">
        <v>4</v>
      </c>
      <c r="G8" s="47" t="s">
        <v>5</v>
      </c>
      <c r="H8" s="47" t="s">
        <v>6</v>
      </c>
      <c r="I8" s="47" t="s">
        <v>7</v>
      </c>
      <c r="J8" s="47" t="s">
        <v>31</v>
      </c>
      <c r="L8" s="47" t="s">
        <v>27</v>
      </c>
      <c r="M8" s="47" t="s">
        <v>28</v>
      </c>
      <c r="N8" s="47" t="s">
        <v>2</v>
      </c>
      <c r="O8" s="47" t="s">
        <v>3</v>
      </c>
      <c r="P8" s="47" t="s">
        <v>4</v>
      </c>
      <c r="Q8" s="47" t="s">
        <v>5</v>
      </c>
      <c r="R8" s="47" t="s">
        <v>6</v>
      </c>
      <c r="S8" s="47" t="s">
        <v>7</v>
      </c>
      <c r="T8" s="47" t="s">
        <v>31</v>
      </c>
      <c r="V8" s="47" t="s">
        <v>27</v>
      </c>
      <c r="W8" s="47" t="s">
        <v>28</v>
      </c>
      <c r="X8" s="47" t="s">
        <v>2</v>
      </c>
      <c r="Y8" s="47" t="s">
        <v>3</v>
      </c>
      <c r="Z8" s="47" t="s">
        <v>4</v>
      </c>
      <c r="AA8" s="47" t="s">
        <v>5</v>
      </c>
      <c r="AB8" s="47" t="s">
        <v>6</v>
      </c>
      <c r="AC8" s="47" t="s">
        <v>7</v>
      </c>
      <c r="AD8" s="47" t="s">
        <v>31</v>
      </c>
      <c r="AP8" s="95"/>
    </row>
    <row r="9" spans="1:43">
      <c r="A9" s="96" t="s">
        <v>117</v>
      </c>
      <c r="B9" s="95">
        <f>AVERAGEIF('Profiles - Group B'!$E$6:$E$41, "18 to 25", 'Task metrics - Group B'!C$6:C$41)</f>
        <v>0.25</v>
      </c>
      <c r="C9" s="95">
        <f>AVERAGEIF('Profiles - Group B'!$E$6:$E$41, "18 to 25", 'Task metrics - Group B'!D$6:D$41)</f>
        <v>0.2</v>
      </c>
      <c r="D9" s="95">
        <f>AVERAGEIF('Profiles - Group B'!$E$6:$E$41, "18 to 25", 'Task metrics - Group B'!E$6:E$41)</f>
        <v>0.2</v>
      </c>
      <c r="E9" s="95">
        <f>AVERAGEIF('Profiles - Group B'!$E$6:$E$41, "18 to 25", 'Task metrics - Group B'!F$6:F$41)</f>
        <v>0.45</v>
      </c>
      <c r="F9" s="95">
        <f>AVERAGEIF('Profiles - Group B'!$E$6:$E$41, "18 to 25", 'Task metrics - Group B'!G$6:G$41)</f>
        <v>0.5</v>
      </c>
      <c r="G9" s="95">
        <f>AVERAGEIF('Profiles - Group B'!$E$6:$E$41, "18 to 25", 'Task metrics - Group B'!H$6:H$41)</f>
        <v>0.6</v>
      </c>
      <c r="H9" s="95">
        <f>AVERAGEIF('Profiles - Group B'!$E$6:$E$41, "18 to 25", 'Task metrics - Group B'!I$6:I$41)</f>
        <v>0.65</v>
      </c>
      <c r="I9" s="95">
        <f>AVERAGEIF('Profiles - Group B'!$E$6:$E$41, "18 to 25", 'Task metrics - Group B'!J$6:J$41)</f>
        <v>0.85</v>
      </c>
      <c r="J9" s="95">
        <f t="shared" ref="J9:J14" si="0">AVERAGE(B9:I9)</f>
        <v>0.46250000000000002</v>
      </c>
      <c r="L9" s="95">
        <f>AVERAGEIF('Profiles - Group B'!$E$6:$E$41, "18 to 25", 'Task Time Calcs - Group B'!B$6:B$41)</f>
        <v>184.4</v>
      </c>
      <c r="M9" s="95">
        <f>AVERAGEIF('Profiles - Group B'!$E$6:$E$41, "18 to 25", 'Task Time Calcs - Group B'!C$6:C$41)</f>
        <v>128</v>
      </c>
      <c r="N9" s="95">
        <f>AVERAGEIF('Profiles - Group B'!$E$6:$E$41, "18 to 25", 'Task Time Calcs - Group B'!D$6:D$41)</f>
        <v>85.75</v>
      </c>
      <c r="O9" s="95">
        <f>AVERAGEIF('Profiles - Group B'!$E$6:$E$41, "18 to 25", 'Task Time Calcs - Group B'!E$6:E$41)</f>
        <v>55.666666666666664</v>
      </c>
      <c r="P9" s="95">
        <f>AVERAGEIF('Profiles - Group B'!$E$6:$E$41, "18 to 25", 'Task Time Calcs - Group B'!F$6:F$41)</f>
        <v>46</v>
      </c>
      <c r="Q9" s="95">
        <f>AVERAGEIF('Profiles - Group B'!$E$6:$E$41, "18 to 25", 'Task Time Calcs - Group B'!G$6:G$41)</f>
        <v>37</v>
      </c>
      <c r="R9" s="95">
        <f>AVERAGEIF('Profiles - Group B'!$E$6:$E$41, "18 to 25", 'Task Time Calcs - Group B'!H$6:H$41)</f>
        <v>49.5</v>
      </c>
      <c r="S9" s="95">
        <f>AVERAGEIF('Profiles - Group B'!$E$6:$E$41, "18 to 25", 'Task Time Calcs - Group B'!I$6:I$41)</f>
        <v>25.6</v>
      </c>
      <c r="T9" s="95">
        <f t="shared" ref="T9:T14" si="1">AVERAGE(L9:S9)</f>
        <v>76.489583333333329</v>
      </c>
      <c r="V9" s="95">
        <f>AVERAGEIF('Profiles - Group B'!$E$6:$E$41, "18 to 25", 'Task metrics - Group B'!W$6:W$41)</f>
        <v>3</v>
      </c>
      <c r="W9" s="95">
        <f>AVERAGEIF('Profiles - Group B'!$E$6:$E$41, "18 to 25", 'Task metrics - Group B'!X$6:X$41)</f>
        <v>2.8</v>
      </c>
      <c r="X9" s="95">
        <f>AVERAGEIF('Profiles - Group B'!$E$6:$E$41, "18 to 25", 'Task metrics - Group B'!Y$6:Y$41)</f>
        <v>3.6</v>
      </c>
      <c r="Y9" s="95">
        <f>AVERAGEIF('Profiles - Group B'!$E$6:$E$41, "18 to 25", 'Task metrics - Group B'!Z$6:Z$41)</f>
        <v>2.4</v>
      </c>
      <c r="Z9" s="95">
        <f>AVERAGEIF('Profiles - Group B'!$E$6:$E$41, "18 to 25", 'Task metrics - Group B'!AA$6:AA$41)</f>
        <v>3</v>
      </c>
      <c r="AA9" s="95">
        <f>AVERAGEIF('Profiles - Group B'!$E$6:$E$41, "18 to 25", 'Task metrics - Group B'!AB$6:AB$41)</f>
        <v>3.2</v>
      </c>
      <c r="AB9" s="95">
        <f>AVERAGEIF('Profiles - Group B'!$E$6:$E$41, "18 to 25", 'Task metrics - Group B'!AC$6:AC$41)</f>
        <v>3</v>
      </c>
      <c r="AC9" s="95">
        <f>AVERAGEIF('Profiles - Group B'!$E$6:$E$41, "18 to 25", 'Task metrics - Group B'!AD$6:AD$41)</f>
        <v>4.5999999999999996</v>
      </c>
      <c r="AD9" s="95">
        <f t="shared" ref="AD9:AD14" si="2">AVERAGE(V9:AC9)</f>
        <v>3.2</v>
      </c>
      <c r="AP9" s="95">
        <f>AVERAGEIF('Profiles - Group B'!$E$6:$E$41, "18 to 25", 'Task metrics - Group B'!AQ$6:AQ$41)</f>
        <v>54</v>
      </c>
    </row>
    <row r="10" spans="1:43">
      <c r="A10" s="96" t="s">
        <v>118</v>
      </c>
      <c r="B10" s="95">
        <f>AVERAGEIF('Profiles - Group B'!$E$6:$E$41, "26 to 35", 'Task metrics - Group B'!C$6:C$41)</f>
        <v>0.25</v>
      </c>
      <c r="C10" s="95">
        <f>AVERAGEIF('Profiles - Group B'!$E$6:$E$41, "26 to 35", 'Task metrics - Group B'!D$6:D$41)</f>
        <v>0.2</v>
      </c>
      <c r="D10" s="95">
        <f>AVERAGEIF('Profiles - Group B'!$E$6:$E$41, "26 to 35", 'Task metrics - Group B'!E$6:E$41)</f>
        <v>0.2</v>
      </c>
      <c r="E10" s="95">
        <f>AVERAGEIF('Profiles - Group B'!$E$6:$E$41, "26 to 35", 'Task metrics - Group B'!F$6:F$41)</f>
        <v>0.6</v>
      </c>
      <c r="F10" s="95">
        <f>AVERAGEIF('Profiles - Group B'!$E$6:$E$41, "26 to 35", 'Task metrics - Group B'!G$6:G$41)</f>
        <v>1</v>
      </c>
      <c r="G10" s="95">
        <f>AVERAGEIF('Profiles - Group B'!$E$6:$E$41, "26 to 35", 'Task metrics - Group B'!H$6:H$41)</f>
        <v>1</v>
      </c>
      <c r="H10" s="95">
        <f>AVERAGEIF('Profiles - Group B'!$E$6:$E$41, "26 to 35", 'Task metrics - Group B'!I$6:I$41)</f>
        <v>0.8</v>
      </c>
      <c r="I10" s="95">
        <f>AVERAGEIF('Profiles - Group B'!$E$6:$E$41, "26 to 35", 'Task metrics - Group B'!J$6:J$41)</f>
        <v>0.85</v>
      </c>
      <c r="J10" s="95">
        <f t="shared" si="0"/>
        <v>0.61249999999999993</v>
      </c>
      <c r="K10" s="95"/>
      <c r="L10" s="95">
        <f>AVERAGEIF('Profiles - Group B'!$E$6:$E$41, "26 to 35", 'Task Time Calcs - Group B'!B$6:B$41)</f>
        <v>277.60000000000002</v>
      </c>
      <c r="M10" s="95">
        <f>AVERAGEIF('Profiles - Group B'!$E$6:$E$41, "26 to 35", 'Task Time Calcs - Group B'!C$6:C$41)</f>
        <v>158.75</v>
      </c>
      <c r="N10" s="95">
        <f>AVERAGEIF('Profiles - Group B'!$E$6:$E$41, "26 to 35", 'Task Time Calcs - Group B'!D$6:D$41)</f>
        <v>149.25</v>
      </c>
      <c r="O10" s="95">
        <f>AVERAGEIF('Profiles - Group B'!$E$6:$E$41, "26 to 35", 'Task Time Calcs - Group B'!E$6:E$41)</f>
        <v>78.333333333333329</v>
      </c>
      <c r="P10" s="95">
        <f>AVERAGEIF('Profiles - Group B'!$E$6:$E$41, "26 to 35", 'Task Time Calcs - Group B'!F$6:F$41)</f>
        <v>86.2</v>
      </c>
      <c r="Q10" s="95">
        <f>AVERAGEIF('Profiles - Group B'!$E$6:$E$41, "26 to 35", 'Task Time Calcs - Group B'!G$6:G$41)</f>
        <v>44</v>
      </c>
      <c r="R10" s="95">
        <f>AVERAGEIF('Profiles - Group B'!$E$6:$E$41, "26 to 35", 'Task Time Calcs - Group B'!H$6:H$41)</f>
        <v>40</v>
      </c>
      <c r="S10" s="95">
        <f>AVERAGEIF('Profiles - Group B'!$E$6:$E$41, "26 to 35", 'Task Time Calcs - Group B'!I$6:I$41)</f>
        <v>38.6</v>
      </c>
      <c r="T10" s="95">
        <f t="shared" si="1"/>
        <v>109.09166666666668</v>
      </c>
      <c r="U10" s="95"/>
      <c r="V10" s="95">
        <f>AVERAGEIF('Profiles - Group B'!$E$6:$E$41, "26 to 35", 'Task metrics - Group B'!W$6:W$41)</f>
        <v>2.4</v>
      </c>
      <c r="W10" s="95">
        <f>AVERAGEIF('Profiles - Group B'!$E$6:$E$41, "26 to 35", 'Task metrics - Group B'!X$6:X$41)</f>
        <v>1.8</v>
      </c>
      <c r="X10" s="95">
        <f>AVERAGEIF('Profiles - Group B'!$E$6:$E$41, "26 to 35", 'Task metrics - Group B'!Y$6:Y$41)</f>
        <v>2.4</v>
      </c>
      <c r="Y10" s="95">
        <f>AVERAGEIF('Profiles - Group B'!$E$6:$E$41, "26 to 35", 'Task metrics - Group B'!Z$6:Z$41)</f>
        <v>1.8</v>
      </c>
      <c r="Z10" s="95">
        <f>AVERAGEIF('Profiles - Group B'!$E$6:$E$41, "26 to 35", 'Task metrics - Group B'!AA$6:AA$41)</f>
        <v>2.8</v>
      </c>
      <c r="AA10" s="95">
        <f>AVERAGEIF('Profiles - Group B'!$E$6:$E$41, "26 to 35", 'Task metrics - Group B'!AB$6:AB$41)</f>
        <v>3.4</v>
      </c>
      <c r="AB10" s="95">
        <f>AVERAGEIF('Profiles - Group B'!$E$6:$E$41, "26 to 35", 'Task metrics - Group B'!AC$6:AC$41)</f>
        <v>3</v>
      </c>
      <c r="AC10" s="95">
        <f>AVERAGEIF('Profiles - Group B'!$E$6:$E$41, "26 to 35", 'Task metrics - Group B'!AD$6:AD$41)</f>
        <v>3.8</v>
      </c>
      <c r="AD10" s="95">
        <f t="shared" si="2"/>
        <v>2.6750000000000003</v>
      </c>
      <c r="AE10" s="95"/>
      <c r="AP10" s="95">
        <f>AVERAGEIF('Profiles - Group B'!$E$6:$E$41, "26 to 35", 'Task metrics - Group B'!AQ$6:AQ$41)</f>
        <v>47</v>
      </c>
      <c r="AQ10" s="95"/>
    </row>
    <row r="11" spans="1:43">
      <c r="A11" s="96" t="s">
        <v>119</v>
      </c>
      <c r="B11" s="95">
        <f>AVERAGEIF('Profiles - Group B'!$E$6:$E$41, "36 to 45", 'Task metrics - Group B'!C$6:C$41)</f>
        <v>0.10714285714285714</v>
      </c>
      <c r="C11" s="95">
        <f>AVERAGEIF('Profiles - Group B'!$E$6:$E$41, "36 to 45", 'Task metrics - Group B'!D$6:D$41)</f>
        <v>0.25</v>
      </c>
      <c r="D11" s="95">
        <f>AVERAGEIF('Profiles - Group B'!$E$6:$E$41, "36 to 45", 'Task metrics - Group B'!E$6:E$41)</f>
        <v>0.17857142857142858</v>
      </c>
      <c r="E11" s="95">
        <f>AVERAGEIF('Profiles - Group B'!$E$6:$E$41, "36 to 45", 'Task metrics - Group B'!F$6:F$41)</f>
        <v>0.42857142857142855</v>
      </c>
      <c r="F11" s="95">
        <f>AVERAGEIF('Profiles - Group B'!$E$6:$E$41, "36 to 45", 'Task metrics - Group B'!G$6:G$41)</f>
        <v>1</v>
      </c>
      <c r="G11" s="95">
        <f>AVERAGEIF('Profiles - Group B'!$E$6:$E$41, "36 to 45", 'Task metrics - Group B'!H$6:H$41)</f>
        <v>0.8928571428571429</v>
      </c>
      <c r="H11" s="95">
        <f>AVERAGEIF('Profiles - Group B'!$E$6:$E$41, "36 to 45", 'Task metrics - Group B'!I$6:I$41)</f>
        <v>0.8571428571428571</v>
      </c>
      <c r="I11" s="95">
        <f>AVERAGEIF('Profiles - Group B'!$E$6:$E$41, "36 to 45", 'Task metrics - Group B'!J$6:J$41)</f>
        <v>0.7857142857142857</v>
      </c>
      <c r="J11" s="95">
        <f t="shared" si="0"/>
        <v>0.5625</v>
      </c>
      <c r="L11" s="95">
        <f>AVERAGEIF('Profiles - Group B'!$E$6:$E$41, "36 to 45", 'Task Time Calcs - Group B'!B$6:B$41)</f>
        <v>300</v>
      </c>
      <c r="M11" s="95">
        <f>AVERAGEIF('Profiles - Group B'!$E$6:$E$41, "36 to 45", 'Task Time Calcs - Group B'!C$6:C$41)</f>
        <v>151.14285714285714</v>
      </c>
      <c r="N11" s="95">
        <f>AVERAGEIF('Profiles - Group B'!$E$6:$E$41, "36 to 45", 'Task Time Calcs - Group B'!D$6:D$41)</f>
        <v>111.6</v>
      </c>
      <c r="O11" s="95">
        <f>AVERAGEIF('Profiles - Group B'!$E$6:$E$41, "36 to 45", 'Task Time Calcs - Group B'!E$6:E$41)</f>
        <v>69</v>
      </c>
      <c r="P11" s="95">
        <f>AVERAGEIF('Profiles - Group B'!$E$6:$E$41, "36 to 45", 'Task Time Calcs - Group B'!F$6:F$41)</f>
        <v>125.71428571428571</v>
      </c>
      <c r="Q11" s="95">
        <f>AVERAGEIF('Profiles - Group B'!$E$6:$E$41, "36 to 45", 'Task Time Calcs - Group B'!G$6:G$41)</f>
        <v>66</v>
      </c>
      <c r="R11" s="95">
        <f>AVERAGEIF('Profiles - Group B'!$E$6:$E$41, "36 to 45", 'Task Time Calcs - Group B'!H$6:H$41)</f>
        <v>40.666666666666664</v>
      </c>
      <c r="S11" s="95">
        <f>AVERAGEIF('Profiles - Group B'!$E$6:$E$41, "36 to 45", 'Task Time Calcs - Group B'!I$6:I$41)</f>
        <v>46.285714285714285</v>
      </c>
      <c r="T11" s="95">
        <f t="shared" si="1"/>
        <v>113.80119047619047</v>
      </c>
      <c r="V11" s="95">
        <f>AVERAGEIF('Profiles - Group B'!$E$6:$E$41, "36 to 45", 'Task metrics - Group B'!W$6:W$41)</f>
        <v>2.4285714285714284</v>
      </c>
      <c r="W11" s="95">
        <f>AVERAGEIF('Profiles - Group B'!$E$6:$E$41, "36 to 45", 'Task metrics - Group B'!X$6:X$41)</f>
        <v>3</v>
      </c>
      <c r="X11" s="95">
        <f>AVERAGEIF('Profiles - Group B'!$E$6:$E$41, "36 to 45", 'Task metrics - Group B'!Y$6:Y$41)</f>
        <v>3.4285714285714284</v>
      </c>
      <c r="Y11" s="95">
        <f>AVERAGEIF('Profiles - Group B'!$E$6:$E$41, "36 to 45", 'Task metrics - Group B'!Z$6:Z$41)</f>
        <v>3.4285714285714284</v>
      </c>
      <c r="Z11" s="95">
        <f>AVERAGEIF('Profiles - Group B'!$E$6:$E$41, "36 to 45", 'Task metrics - Group B'!AA$6:AA$41)</f>
        <v>3.2857142857142856</v>
      </c>
      <c r="AA11" s="95">
        <f>AVERAGEIF('Profiles - Group B'!$E$6:$E$41, "36 to 45", 'Task metrics - Group B'!AB$6:AB$41)</f>
        <v>4.2857142857142856</v>
      </c>
      <c r="AB11" s="95">
        <f>AVERAGEIF('Profiles - Group B'!$E$6:$E$41, "36 to 45", 'Task metrics - Group B'!AC$6:AC$41)</f>
        <v>4</v>
      </c>
      <c r="AC11" s="95">
        <f>AVERAGEIF('Profiles - Group B'!$E$6:$E$41, "36 to 45", 'Task metrics - Group B'!AD$6:AD$41)</f>
        <v>4.1428571428571432</v>
      </c>
      <c r="AD11" s="95">
        <f t="shared" si="2"/>
        <v>3.5</v>
      </c>
      <c r="AP11" s="95">
        <f>AVERAGEIF('Profiles - Group B'!$E$6:$E$41, "36 to 45", 'Task metrics - Group B'!AQ$6:AQ$41)</f>
        <v>58.928571428571431</v>
      </c>
    </row>
    <row r="12" spans="1:43">
      <c r="A12" s="96" t="s">
        <v>120</v>
      </c>
      <c r="B12" s="95">
        <f>AVERAGEIF('Profiles - Group B'!$E$6:$E$41, "46 to 55", 'Task metrics - Group B'!C$6:C$41)</f>
        <v>0.1875</v>
      </c>
      <c r="C12" s="95">
        <f>AVERAGEIF('Profiles - Group B'!$E$6:$E$41, "46 to 55", 'Task metrics - Group B'!D$6:D$41)</f>
        <v>9.375E-2</v>
      </c>
      <c r="D12" s="95">
        <f>AVERAGEIF('Profiles - Group B'!$E$6:$E$41, "46 to 55", 'Task metrics - Group B'!E$6:E$41)</f>
        <v>0.21875</v>
      </c>
      <c r="E12" s="95">
        <f>AVERAGEIF('Profiles - Group B'!$E$6:$E$41, "46 to 55", 'Task metrics - Group B'!F$6:F$41)</f>
        <v>0.625</v>
      </c>
      <c r="F12" s="95">
        <f>AVERAGEIF('Profiles - Group B'!$E$6:$E$41, "46 to 55", 'Task metrics - Group B'!G$6:G$41)</f>
        <v>0.625</v>
      </c>
      <c r="G12" s="95">
        <f>AVERAGEIF('Profiles - Group B'!$E$6:$E$41, "46 to 55", 'Task metrics - Group B'!H$6:H$41)</f>
        <v>0.71875</v>
      </c>
      <c r="H12" s="95">
        <f>AVERAGEIF('Profiles - Group B'!$E$6:$E$41, "46 to 55", 'Task metrics - Group B'!I$6:I$41)</f>
        <v>0.78125</v>
      </c>
      <c r="I12" s="95">
        <f>AVERAGEIF('Profiles - Group B'!$E$6:$E$41, "46 to 55", 'Task metrics - Group B'!J$6:J$41)</f>
        <v>0.90625</v>
      </c>
      <c r="J12" s="95">
        <f t="shared" si="0"/>
        <v>0.51953125</v>
      </c>
      <c r="K12" s="95"/>
      <c r="L12" s="95">
        <f>AVERAGEIF('Profiles - Group B'!$E$6:$E$41, "46 to 55", 'Task Time Calcs - Group B'!B$6:B$41)</f>
        <v>245</v>
      </c>
      <c r="M12" s="95">
        <f>AVERAGEIF('Profiles - Group B'!$E$6:$E$41, "46 to 55", 'Task Time Calcs - Group B'!C$6:C$41)</f>
        <v>180</v>
      </c>
      <c r="N12" s="95">
        <f>AVERAGEIF('Profiles - Group B'!$E$6:$E$41, "46 to 55", 'Task Time Calcs - Group B'!D$6:D$41)</f>
        <v>138.85714285714286</v>
      </c>
      <c r="O12" s="95">
        <f>AVERAGEIF('Profiles - Group B'!$E$6:$E$41, "46 to 55", 'Task Time Calcs - Group B'!E$6:E$41)</f>
        <v>160.6</v>
      </c>
      <c r="P12" s="95">
        <f>AVERAGEIF('Profiles - Group B'!$E$6:$E$41, "46 to 55", 'Task Time Calcs - Group B'!F$6:F$41)</f>
        <v>80.400000000000006</v>
      </c>
      <c r="Q12" s="95">
        <f>AVERAGEIF('Profiles - Group B'!$E$6:$E$41, "46 to 55", 'Task Time Calcs - Group B'!G$6:G$41)</f>
        <v>57.75</v>
      </c>
      <c r="R12" s="95">
        <f>AVERAGEIF('Profiles - Group B'!$E$6:$E$41, "46 to 55", 'Task Time Calcs - Group B'!H$6:H$41)</f>
        <v>65.142857142857139</v>
      </c>
      <c r="S12" s="95">
        <f>AVERAGEIF('Profiles - Group B'!$E$6:$E$41, "46 to 55", 'Task Time Calcs - Group B'!I$6:I$41)</f>
        <v>69.375</v>
      </c>
      <c r="T12" s="95">
        <f t="shared" si="1"/>
        <v>124.640625</v>
      </c>
      <c r="U12" s="95"/>
      <c r="V12" s="95">
        <f>AVERAGEIF('Profiles - Group B'!$E$6:$E$41, "46 to 55", 'Task metrics - Group B'!W$6:W$41)</f>
        <v>3.25</v>
      </c>
      <c r="W12" s="95">
        <f>AVERAGEIF('Profiles - Group B'!$E$6:$E$41, "46 to 55", 'Task metrics - Group B'!X$6:X$41)</f>
        <v>2.5</v>
      </c>
      <c r="X12" s="95">
        <f>AVERAGEIF('Profiles - Group B'!$E$6:$E$41, "46 to 55", 'Task metrics - Group B'!Y$6:Y$41)</f>
        <v>3.125</v>
      </c>
      <c r="Y12" s="95">
        <f>AVERAGEIF('Profiles - Group B'!$E$6:$E$41, "46 to 55", 'Task metrics - Group B'!Z$6:Z$41)</f>
        <v>2.5</v>
      </c>
      <c r="Z12" s="95">
        <f>AVERAGEIF('Profiles - Group B'!$E$6:$E$41, "46 to 55", 'Task metrics - Group B'!AA$6:AA$41)</f>
        <v>3.125</v>
      </c>
      <c r="AA12" s="95">
        <f>AVERAGEIF('Profiles - Group B'!$E$6:$E$41, "46 to 55", 'Task metrics - Group B'!AB$6:AB$41)</f>
        <v>4.25</v>
      </c>
      <c r="AB12" s="95">
        <f>AVERAGEIF('Profiles - Group B'!$E$6:$E$41, "46 to 55", 'Task metrics - Group B'!AC$6:AC$41)</f>
        <v>3.375</v>
      </c>
      <c r="AC12" s="95">
        <f>AVERAGEIF('Profiles - Group B'!$E$6:$E$41, "46 to 55", 'Task metrics - Group B'!AD$6:AD$41)</f>
        <v>4.625</v>
      </c>
      <c r="AD12" s="95">
        <f t="shared" si="2"/>
        <v>3.34375</v>
      </c>
      <c r="AE12" s="95"/>
      <c r="AP12" s="95">
        <f>AVERAGEIF('Profiles - Group B'!$E$6:$E$41, "46 to 55", 'Task metrics - Group B'!AQ$6:AQ$41)</f>
        <v>62.8125</v>
      </c>
      <c r="AQ12" s="95"/>
    </row>
    <row r="13" spans="1:43">
      <c r="A13" s="96" t="s">
        <v>121</v>
      </c>
      <c r="B13" s="95">
        <f>AVERAGEIF('Profiles - Group B'!$E$6:$E$41, "56 to 65", 'Task metrics - Group B'!C$6:C$41)</f>
        <v>0.16666666666666666</v>
      </c>
      <c r="C13" s="95">
        <f>AVERAGEIF('Profiles - Group B'!$E$6:$E$41, "56 to 65", 'Task metrics - Group B'!D$6:D$41)</f>
        <v>0.125</v>
      </c>
      <c r="D13" s="95">
        <f>AVERAGEIF('Profiles - Group B'!$E$6:$E$41, "56 to 65", 'Task metrics - Group B'!E$6:E$41)</f>
        <v>8.3333333333333329E-2</v>
      </c>
      <c r="E13" s="95">
        <f>AVERAGEIF('Profiles - Group B'!$E$6:$E$41, "56 to 65", 'Task metrics - Group B'!F$6:F$41)</f>
        <v>0.25</v>
      </c>
      <c r="F13" s="95">
        <f>AVERAGEIF('Profiles - Group B'!$E$6:$E$41, "56 to 65", 'Task metrics - Group B'!G$6:G$41)</f>
        <v>0.41666666666666669</v>
      </c>
      <c r="G13" s="95">
        <f>AVERAGEIF('Profiles - Group B'!$E$6:$E$41, "56 to 65", 'Task metrics - Group B'!H$6:H$41)</f>
        <v>0.625</v>
      </c>
      <c r="H13" s="95">
        <f>AVERAGEIF('Profiles - Group B'!$E$6:$E$41, "56 to 65", 'Task metrics - Group B'!I$6:I$41)</f>
        <v>0.20833333333333334</v>
      </c>
      <c r="I13" s="95">
        <f>AVERAGEIF('Profiles - Group B'!$E$6:$E$41, "56 to 65", 'Task metrics - Group B'!J$6:J$41)</f>
        <v>0.54166666666666663</v>
      </c>
      <c r="J13" s="95">
        <f t="shared" si="0"/>
        <v>0.30208333333333331</v>
      </c>
      <c r="L13" s="95">
        <f>AVERAGEIF('Profiles - Group B'!$E$6:$E$41, "56 to 65", 'Task Time Calcs - Group B'!B$6:B$41)</f>
        <v>219.5</v>
      </c>
      <c r="M13" s="95">
        <f>AVERAGEIF('Profiles - Group B'!$E$6:$E$41, "56 to 65", 'Task Time Calcs - Group B'!C$6:C$41)</f>
        <v>169</v>
      </c>
      <c r="N13" s="95">
        <f>AVERAGEIF('Profiles - Group B'!$E$6:$E$41, "56 to 65", 'Task Time Calcs - Group B'!D$6:D$41)</f>
        <v>105</v>
      </c>
      <c r="O13" s="95">
        <f>AVERAGEIF('Profiles - Group B'!$E$6:$E$41, "56 to 65", 'Task Time Calcs - Group B'!E$6:E$41)</f>
        <v>158.66666666666666</v>
      </c>
      <c r="P13" s="95">
        <f>AVERAGEIF('Profiles - Group B'!$E$6:$E$41, "56 to 65", 'Task Time Calcs - Group B'!F$6:F$41)</f>
        <v>108.75</v>
      </c>
      <c r="Q13" s="95">
        <f>AVERAGEIF('Profiles - Group B'!$E$6:$E$41, "56 to 65", 'Task Time Calcs - Group B'!G$6:G$41)</f>
        <v>77.166666666666671</v>
      </c>
      <c r="R13" s="95">
        <f>AVERAGEIF('Profiles - Group B'!$E$6:$E$41, "56 to 65", 'Task Time Calcs - Group B'!H$6:H$41)</f>
        <v>128</v>
      </c>
      <c r="S13" s="95">
        <f>AVERAGEIF('Profiles - Group B'!$E$6:$E$41, "56 to 65", 'Task Time Calcs - Group B'!I$6:I$41)</f>
        <v>84.75</v>
      </c>
      <c r="T13" s="95">
        <f t="shared" si="1"/>
        <v>131.35416666666666</v>
      </c>
      <c r="V13" s="95">
        <f>AVERAGEIF('Profiles - Group B'!$E$6:$E$41, "56 to 65", 'Task metrics - Group B'!W$6:W$41)</f>
        <v>2.5</v>
      </c>
      <c r="W13" s="95">
        <f>AVERAGEIF('Profiles - Group B'!$E$6:$E$41, "56 to 65", 'Task metrics - Group B'!X$6:X$41)</f>
        <v>2.1666666666666665</v>
      </c>
      <c r="X13" s="95">
        <f>AVERAGEIF('Profiles - Group B'!$E$6:$E$41, "56 to 65", 'Task metrics - Group B'!Y$6:Y$41)</f>
        <v>2.3333333333333335</v>
      </c>
      <c r="Y13" s="95">
        <f>AVERAGEIF('Profiles - Group B'!$E$6:$E$41, "56 to 65", 'Task metrics - Group B'!Z$6:Z$41)</f>
        <v>1.5</v>
      </c>
      <c r="Z13" s="95">
        <f>AVERAGEIF('Profiles - Group B'!$E$6:$E$41, "56 to 65", 'Task metrics - Group B'!AA$6:AA$41)</f>
        <v>2.6666666666666665</v>
      </c>
      <c r="AA13" s="95">
        <f>AVERAGEIF('Profiles - Group B'!$E$6:$E$41, "56 to 65", 'Task metrics - Group B'!AB$6:AB$41)</f>
        <v>3.6666666666666665</v>
      </c>
      <c r="AB13" s="95">
        <f>AVERAGEIF('Profiles - Group B'!$E$6:$E$41, "56 to 65", 'Task metrics - Group B'!AC$6:AC$41)</f>
        <v>2</v>
      </c>
      <c r="AC13" s="95">
        <f>AVERAGEIF('Profiles - Group B'!$E$6:$E$41, "56 to 65", 'Task metrics - Group B'!AD$6:AD$41)</f>
        <v>3</v>
      </c>
      <c r="AD13" s="95">
        <f t="shared" si="2"/>
        <v>2.4791666666666665</v>
      </c>
      <c r="AP13" s="95">
        <f>AVERAGEIF('Profiles - Group B'!$E$6:$E$41, "56 to 65", 'Task metrics - Group B'!AQ$6:AQ$41)</f>
        <v>48.333333333333336</v>
      </c>
    </row>
    <row r="14" spans="1:43">
      <c r="A14" s="96" t="s">
        <v>122</v>
      </c>
      <c r="B14" s="95">
        <f>AVERAGEIF('Profiles - Group B'!$E$6:$E$41, "66 to 75", 'Task metrics - Group B'!C$6:C$41)</f>
        <v>0.1</v>
      </c>
      <c r="C14" s="95">
        <f>AVERAGEIF('Profiles - Group B'!$E$6:$E$41, "66 to 75", 'Task metrics - Group B'!D$6:D$41)</f>
        <v>0.15</v>
      </c>
      <c r="D14" s="95">
        <f>AVERAGEIF('Profiles - Group B'!$E$6:$E$41, "66 to 75", 'Task metrics - Group B'!E$6:E$41)</f>
        <v>0.05</v>
      </c>
      <c r="E14" s="95">
        <f>AVERAGEIF('Profiles - Group B'!$E$6:$E$41, "66 to 75", 'Task metrics - Group B'!F$6:F$41)</f>
        <v>0.4</v>
      </c>
      <c r="F14" s="95">
        <f>AVERAGEIF('Profiles - Group B'!$E$6:$E$41, "66 to 75", 'Task metrics - Group B'!G$6:G$41)</f>
        <v>0.6</v>
      </c>
      <c r="G14" s="95">
        <f>AVERAGEIF('Profiles - Group B'!$E$6:$E$41, "66 to 75", 'Task metrics - Group B'!H$6:H$41)</f>
        <v>0.7</v>
      </c>
      <c r="H14" s="95">
        <f>AVERAGEIF('Profiles - Group B'!$E$6:$E$41, "66 to 75", 'Task metrics - Group B'!I$6:I$41)</f>
        <v>0.25</v>
      </c>
      <c r="I14" s="95">
        <f>AVERAGEIF('Profiles - Group B'!$E$6:$E$41, "66 to 75", 'Task metrics - Group B'!J$6:J$41)</f>
        <v>0.65</v>
      </c>
      <c r="J14" s="95">
        <f t="shared" si="0"/>
        <v>0.36249999999999999</v>
      </c>
      <c r="K14" s="95"/>
      <c r="L14" s="95">
        <f>AVERAGEIF('Profiles - Group B'!$E$6:$E$41, "66 to 75", 'Task Time Calcs - Group B'!B$6:B$41)</f>
        <v>300</v>
      </c>
      <c r="M14" s="95">
        <f>AVERAGEIF('Profiles - Group B'!$E$6:$E$41, "66 to 75", 'Task Time Calcs - Group B'!C$6:C$41)</f>
        <v>175.66666666666666</v>
      </c>
      <c r="N14" s="95">
        <f>AVERAGEIF('Profiles - Group B'!$E$6:$E$41, "66 to 75", 'Task Time Calcs - Group B'!D$6:D$41)</f>
        <v>180</v>
      </c>
      <c r="O14" s="95">
        <f>AVERAGEIF('Profiles - Group B'!$E$6:$E$41, "66 to 75", 'Task Time Calcs - Group B'!E$6:E$41)</f>
        <v>157.5</v>
      </c>
      <c r="P14" s="95">
        <f>AVERAGEIF('Profiles - Group B'!$E$6:$E$41, "66 to 75", 'Task Time Calcs - Group B'!F$6:F$41)</f>
        <v>122</v>
      </c>
      <c r="Q14" s="95">
        <f>AVERAGEIF('Profiles - Group B'!$E$6:$E$41, "66 to 75", 'Task Time Calcs - Group B'!G$6:G$41)</f>
        <v>73</v>
      </c>
      <c r="R14" s="95">
        <f>AVERAGEIF('Profiles - Group B'!$E$6:$E$41, "66 to 75", 'Task Time Calcs - Group B'!H$6:H$41)</f>
        <v>63.5</v>
      </c>
      <c r="S14" s="95">
        <f>AVERAGEIF('Profiles - Group B'!$E$6:$E$41, "66 to 75", 'Task Time Calcs - Group B'!I$6:I$41)</f>
        <v>67</v>
      </c>
      <c r="T14" s="95">
        <f t="shared" si="1"/>
        <v>142.33333333333331</v>
      </c>
      <c r="U14" s="95"/>
      <c r="V14" s="95">
        <f>AVERAGEIF('Profiles - Group B'!$E$6:$E$41, "66 to 75", 'Task metrics - Group B'!W$6:W$41)</f>
        <v>2.2000000000000002</v>
      </c>
      <c r="W14" s="95">
        <f>AVERAGEIF('Profiles - Group B'!$E$6:$E$41, "66 to 75", 'Task metrics - Group B'!X$6:X$41)</f>
        <v>2.4</v>
      </c>
      <c r="X14" s="95">
        <f>AVERAGEIF('Profiles - Group B'!$E$6:$E$41, "66 to 75", 'Task metrics - Group B'!Y$6:Y$41)</f>
        <v>1.4</v>
      </c>
      <c r="Y14" s="95">
        <f>AVERAGEIF('Profiles - Group B'!$E$6:$E$41, "66 to 75", 'Task metrics - Group B'!Z$6:Z$41)</f>
        <v>1.4</v>
      </c>
      <c r="Z14" s="95">
        <f>AVERAGEIF('Profiles - Group B'!$E$6:$E$41, "66 to 75", 'Task metrics - Group B'!AA$6:AA$41)</f>
        <v>2.6</v>
      </c>
      <c r="AA14" s="95">
        <f>AVERAGEIF('Profiles - Group B'!$E$6:$E$41, "66 to 75", 'Task metrics - Group B'!AB$6:AB$41)</f>
        <v>3.2</v>
      </c>
      <c r="AB14" s="95">
        <f>AVERAGEIF('Profiles - Group B'!$E$6:$E$41, "66 to 75", 'Task metrics - Group B'!AC$6:AC$41)</f>
        <v>2.4</v>
      </c>
      <c r="AC14" s="95">
        <f>AVERAGEIF('Profiles - Group B'!$E$6:$E$41, "66 to 75", 'Task metrics - Group B'!AD$6:AD$41)</f>
        <v>3.2</v>
      </c>
      <c r="AD14" s="95">
        <f t="shared" si="2"/>
        <v>2.35</v>
      </c>
      <c r="AE14" s="95"/>
      <c r="AP14" s="95">
        <f>AVERAGEIF('Profiles - Group B'!$E$6:$E$41, "66 to 75", 'Task metrics - Group B'!AQ$6:AQ$41)</f>
        <v>26</v>
      </c>
      <c r="AQ14" s="95"/>
    </row>
    <row r="15" spans="1:43">
      <c r="A15" s="96"/>
      <c r="AP15" s="95"/>
    </row>
    <row r="16" spans="1:43">
      <c r="A16" s="96"/>
      <c r="B16" s="47" t="s">
        <v>27</v>
      </c>
      <c r="C16" s="47" t="s">
        <v>28</v>
      </c>
      <c r="D16" s="47" t="s">
        <v>2</v>
      </c>
      <c r="E16" s="47" t="s">
        <v>3</v>
      </c>
      <c r="F16" s="47" t="s">
        <v>4</v>
      </c>
      <c r="G16" s="47" t="s">
        <v>5</v>
      </c>
      <c r="H16" s="47" t="s">
        <v>6</v>
      </c>
      <c r="I16" s="47" t="s">
        <v>7</v>
      </c>
      <c r="J16" s="47" t="s">
        <v>31</v>
      </c>
      <c r="L16" s="47" t="s">
        <v>27</v>
      </c>
      <c r="M16" s="47" t="s">
        <v>28</v>
      </c>
      <c r="N16" s="47" t="s">
        <v>2</v>
      </c>
      <c r="O16" s="47" t="s">
        <v>3</v>
      </c>
      <c r="P16" s="47" t="s">
        <v>4</v>
      </c>
      <c r="Q16" s="47" t="s">
        <v>5</v>
      </c>
      <c r="R16" s="47" t="s">
        <v>6</v>
      </c>
      <c r="S16" s="47" t="s">
        <v>7</v>
      </c>
      <c r="T16" s="47" t="s">
        <v>31</v>
      </c>
      <c r="V16" s="47" t="s">
        <v>27</v>
      </c>
      <c r="W16" s="47" t="s">
        <v>28</v>
      </c>
      <c r="X16" s="47" t="s">
        <v>2</v>
      </c>
      <c r="Y16" s="47" t="s">
        <v>3</v>
      </c>
      <c r="Z16" s="47" t="s">
        <v>4</v>
      </c>
      <c r="AA16" s="47" t="s">
        <v>5</v>
      </c>
      <c r="AB16" s="47" t="s">
        <v>6</v>
      </c>
      <c r="AC16" s="47" t="s">
        <v>7</v>
      </c>
      <c r="AD16" s="47" t="s">
        <v>31</v>
      </c>
    </row>
    <row r="17" spans="1:43">
      <c r="A17" s="96" t="s">
        <v>55</v>
      </c>
      <c r="B17" s="95">
        <f>AVERAGEIF('Profiles - Group B'!$H$6:$H$41, "Below £12,000", 'Task metrics - Group B'!C$6:C$41)</f>
        <v>0.20833333333333334</v>
      </c>
      <c r="C17" s="95">
        <f>AVERAGEIF('Profiles - Group B'!$H$6:$H$41, "Below £12,000", 'Task metrics - Group B'!D$6:D$41)</f>
        <v>0.16666666666666666</v>
      </c>
      <c r="D17" s="95">
        <f>AVERAGEIF('Profiles - Group B'!$H$6:$H$41, "Below £12,000", 'Task metrics - Group B'!E$6:E$41)</f>
        <v>0.16666666666666666</v>
      </c>
      <c r="E17" s="95">
        <f>AVERAGEIF('Profiles - Group B'!$H$6:$H$41, "Below £12,000", 'Task metrics - Group B'!F$6:F$41)</f>
        <v>0.58333333333333337</v>
      </c>
      <c r="F17" s="95">
        <f>AVERAGEIF('Profiles - Group B'!$H$6:$H$41, "Below £12,000", 'Task metrics - Group B'!G$6:G$41)</f>
        <v>0.70833333333333337</v>
      </c>
      <c r="G17" s="95">
        <f>AVERAGEIF('Profiles - Group B'!$H$6:$H$41, "Below £12,000", 'Task metrics - Group B'!H$6:H$41)</f>
        <v>0.75</v>
      </c>
      <c r="H17" s="95">
        <f>AVERAGEIF('Profiles - Group B'!$H$6:$H$41, "Below £12,000", 'Task metrics - Group B'!I$6:I$41)</f>
        <v>0.5</v>
      </c>
      <c r="I17" s="95">
        <f>AVERAGEIF('Profiles - Group B'!$H$6:$H$41, "Below £12,000", 'Task metrics - Group B'!J$6:J$41)</f>
        <v>1</v>
      </c>
      <c r="J17" s="95">
        <f>AVERAGE(B17:I17)</f>
        <v>0.51041666666666674</v>
      </c>
      <c r="L17" s="95">
        <f>AVERAGEIF('Profiles - Group B'!$H$6:$H$41, "Below £12,000", 'Task Time Calcs - Group B'!B$6:B$41)</f>
        <v>215.6</v>
      </c>
      <c r="M17" s="95">
        <f>AVERAGEIF('Profiles - Group B'!$H$6:$H$41, "Below £12,000", 'Task Time Calcs - Group B'!C$6:C$41)</f>
        <v>144.25</v>
      </c>
      <c r="N17" s="95">
        <f>AVERAGEIF('Profiles - Group B'!$H$6:$H$41, "Below £12,000", 'Task Time Calcs - Group B'!D$6:D$41)</f>
        <v>100.5</v>
      </c>
      <c r="O17" s="95">
        <f>AVERAGEIF('Profiles - Group B'!$H$6:$H$41, "Below £12,000", 'Task Time Calcs - Group B'!E$6:E$41)</f>
        <v>118.4</v>
      </c>
      <c r="P17" s="95">
        <f>AVERAGEIF('Profiles - Group B'!$H$6:$H$41, "Below £12,000", 'Task Time Calcs - Group B'!F$6:F$41)</f>
        <v>70.400000000000006</v>
      </c>
      <c r="Q17" s="95">
        <f>AVERAGEIF('Profiles - Group B'!$H$6:$H$41, "Below £12,000", 'Task Time Calcs - Group B'!G$6:G$41)</f>
        <v>56.333333333333336</v>
      </c>
      <c r="R17" s="95">
        <f>AVERAGEIF('Profiles - Group B'!$H$6:$H$41, "Below £12,000", 'Task Time Calcs - Group B'!H$6:H$41)</f>
        <v>27.333333333333332</v>
      </c>
      <c r="S17" s="95">
        <f>AVERAGEIF('Profiles - Group B'!$H$6:$H$41, "Below £12,000", 'Task Time Calcs - Group B'!I$6:I$41)</f>
        <v>86.333333333333329</v>
      </c>
      <c r="T17" s="95">
        <f>AVERAGE(L17:S17)</f>
        <v>102.39375000000001</v>
      </c>
      <c r="V17" s="95">
        <f>AVERAGEIF('Profiles - Group B'!$H$6:$H$41, "Below £12,000", 'Task metrics - Group B'!W$6:W$41)</f>
        <v>3</v>
      </c>
      <c r="W17" s="95">
        <f>AVERAGEIF('Profiles - Group B'!$H$6:$H$41, "Below £12,000", 'Task metrics - Group B'!X$6:X$41)</f>
        <v>2.8333333333333335</v>
      </c>
      <c r="X17" s="95">
        <f>AVERAGEIF('Profiles - Group B'!$H$6:$H$41, "Below £12,000", 'Task metrics - Group B'!Y$6:Y$41)</f>
        <v>3.3333333333333335</v>
      </c>
      <c r="Y17" s="95">
        <f>AVERAGEIF('Profiles - Group B'!$H$6:$H$41, "Below £12,000", 'Task metrics - Group B'!Z$6:Z$41)</f>
        <v>2.5</v>
      </c>
      <c r="Z17" s="95">
        <f>AVERAGEIF('Profiles - Group B'!$H$6:$H$41, "Below £12,000", 'Task metrics - Group B'!AA$6:AA$41)</f>
        <v>3.6666666666666665</v>
      </c>
      <c r="AA17" s="95">
        <f>AVERAGEIF('Profiles - Group B'!$H$6:$H$41, "Below £12,000", 'Task metrics - Group B'!AB$6:AB$41)</f>
        <v>4.5</v>
      </c>
      <c r="AB17" s="95">
        <f>AVERAGEIF('Profiles - Group B'!$H$6:$H$41, "Below £12,000", 'Task metrics - Group B'!AC$6:AC$41)</f>
        <v>3.3333333333333335</v>
      </c>
      <c r="AC17" s="95">
        <f>AVERAGEIF('Profiles - Group B'!$H$6:$H$41, "Below £12,000", 'Task metrics - Group B'!AD$6:AD$41)</f>
        <v>4.166666666666667</v>
      </c>
      <c r="AD17" s="95">
        <f>AVERAGE(V17:AC17)</f>
        <v>3.416666666666667</v>
      </c>
      <c r="AP17" s="95">
        <f>AVERAGEIF('Profiles - Group B'!$H$6:$H$41, "Below £12,000", 'Task metrics - Group B'!AQ$6:AQ$41)</f>
        <v>62.5</v>
      </c>
    </row>
    <row r="18" spans="1:43">
      <c r="A18" s="96" t="s">
        <v>49</v>
      </c>
      <c r="B18" s="95">
        <f>AVERAGEIF('Profiles - Group B'!$H$6:$H$41, "£12,001 - £30,000", 'Task metrics - Group B'!C$6:C$41)</f>
        <v>0.13461538461538461</v>
      </c>
      <c r="C18" s="95">
        <f>AVERAGEIF('Profiles - Group B'!$H$6:$H$41, "£12,001 - £30,000", 'Task metrics - Group B'!D$6:D$41)</f>
        <v>0.19230769230769232</v>
      </c>
      <c r="D18" s="95">
        <f>AVERAGEIF('Profiles - Group B'!$H$6:$H$41, "£12,001 - £30,000", 'Task metrics - Group B'!E$6:E$41)</f>
        <v>9.6153846153846159E-2</v>
      </c>
      <c r="E18" s="95">
        <f>AVERAGEIF('Profiles - Group B'!$H$6:$H$41, "£12,001 - £30,000", 'Task metrics - Group B'!F$6:F$41)</f>
        <v>0.17307692307692307</v>
      </c>
      <c r="F18" s="95">
        <f>AVERAGEIF('Profiles - Group B'!$H$6:$H$41, "£12,001 - £30,000", 'Task metrics - Group B'!G$6:G$41)</f>
        <v>0.65384615384615385</v>
      </c>
      <c r="G18" s="95">
        <f>AVERAGEIF('Profiles - Group B'!$H$6:$H$41, "£12,001 - £30,000", 'Task metrics - Group B'!H$6:H$41)</f>
        <v>0.67307692307692313</v>
      </c>
      <c r="H18" s="95">
        <f>AVERAGEIF('Profiles - Group B'!$H$6:$H$41, "£12,001 - £30,000", 'Task metrics - Group B'!I$6:I$41)</f>
        <v>0.36538461538461536</v>
      </c>
      <c r="I18" s="95">
        <f>AVERAGEIF('Profiles - Group B'!$H$6:$H$41, "£12,001 - £30,000", 'Task metrics - Group B'!J$6:J$41)</f>
        <v>0.53846153846153844</v>
      </c>
      <c r="J18" s="95">
        <f>AVERAGE(B18:I18)</f>
        <v>0.35336538461538458</v>
      </c>
      <c r="L18" s="95">
        <f>AVERAGEIF('Profiles - Group B'!$H$6:$H$41, "£12,001 - £30,000", 'Task Time Calcs - Group B'!B$6:B$41)</f>
        <v>235.42857142857142</v>
      </c>
      <c r="M18" s="95">
        <f>AVERAGEIF('Profiles - Group B'!$H$6:$H$41, "£12,001 - £30,000", 'Task Time Calcs - Group B'!C$6:C$41)</f>
        <v>152.6</v>
      </c>
      <c r="N18" s="95">
        <f>AVERAGEIF('Profiles - Group B'!$H$6:$H$41, "£12,001 - £30,000", 'Task Time Calcs - Group B'!D$6:D$41)</f>
        <v>112.2</v>
      </c>
      <c r="O18" s="95">
        <f>AVERAGEIF('Profiles - Group B'!$H$6:$H$41, "£12,001 - £30,000", 'Task Time Calcs - Group B'!E$6:E$41)</f>
        <v>112</v>
      </c>
      <c r="P18" s="95">
        <f>AVERAGEIF('Profiles - Group B'!$H$6:$H$41, "£12,001 - £30,000", 'Task Time Calcs - Group B'!F$6:F$41)</f>
        <v>108.6</v>
      </c>
      <c r="Q18" s="95">
        <f>AVERAGEIF('Profiles - Group B'!$H$6:$H$41, "£12,001 - £30,000", 'Task Time Calcs - Group B'!G$6:G$41)</f>
        <v>71</v>
      </c>
      <c r="R18" s="95">
        <f>AVERAGEIF('Profiles - Group B'!$H$6:$H$41, "£12,001 - £30,000", 'Task Time Calcs - Group B'!H$6:H$41)</f>
        <v>73.142857142857139</v>
      </c>
      <c r="S18" s="95">
        <f>AVERAGEIF('Profiles - Group B'!$H$6:$H$41, "£12,001 - £30,000", 'Task Time Calcs - Group B'!I$6:I$41)</f>
        <v>47.1</v>
      </c>
      <c r="T18" s="95">
        <f>AVERAGE(L18:S18)</f>
        <v>114.00892857142857</v>
      </c>
      <c r="V18" s="95">
        <f>AVERAGEIF('Profiles - Group B'!$H$6:$H$41, "£12,001 - £30,000", 'Task metrics - Group B'!W$6:W$41)</f>
        <v>2.5384615384615383</v>
      </c>
      <c r="W18" s="95">
        <f>AVERAGEIF('Profiles - Group B'!$H$6:$H$41, "£12,001 - £30,000", 'Task metrics - Group B'!X$6:X$41)</f>
        <v>2.4615384615384617</v>
      </c>
      <c r="X18" s="95">
        <f>AVERAGEIF('Profiles - Group B'!$H$6:$H$41, "£12,001 - £30,000", 'Task metrics - Group B'!Y$6:Y$41)</f>
        <v>2.0769230769230771</v>
      </c>
      <c r="Y18" s="95">
        <f>AVERAGEIF('Profiles - Group B'!$H$6:$H$41, "£12,001 - £30,000", 'Task metrics - Group B'!Z$6:Z$41)</f>
        <v>1.5384615384615385</v>
      </c>
      <c r="Z18" s="95">
        <f>AVERAGEIF('Profiles - Group B'!$H$6:$H$41, "£12,001 - £30,000", 'Task metrics - Group B'!AA$6:AA$41)</f>
        <v>2.6923076923076925</v>
      </c>
      <c r="AA18" s="95">
        <f>AVERAGEIF('Profiles - Group B'!$H$6:$H$41, "£12,001 - £30,000", 'Task metrics - Group B'!AB$6:AB$41)</f>
        <v>3</v>
      </c>
      <c r="AB18" s="95">
        <f>AVERAGEIF('Profiles - Group B'!$H$6:$H$41, "£12,001 - £30,000", 'Task metrics - Group B'!AC$6:AC$41)</f>
        <v>2.3076923076923075</v>
      </c>
      <c r="AC18" s="95">
        <f>AVERAGEIF('Profiles - Group B'!$H$6:$H$41, "£12,001 - £30,000", 'Task metrics - Group B'!AD$6:AD$41)</f>
        <v>3.0769230769230771</v>
      </c>
      <c r="AD18" s="95">
        <f>AVERAGE(V18:AC18)</f>
        <v>2.4615384615384612</v>
      </c>
      <c r="AP18" s="95">
        <f>AVERAGEIF('Profiles - Group B'!$H$6:$H$41, "£12,001 - £30,000", 'Task metrics - Group B'!AQ$6:AQ$41)</f>
        <v>36.730769230769234</v>
      </c>
    </row>
    <row r="19" spans="1:43">
      <c r="A19" s="96" t="s">
        <v>44</v>
      </c>
      <c r="B19" s="95">
        <f>AVERAGEIF('Profiles - Group B'!$H$6:$H$41, "£30,001 - £50,000", 'Task metrics - Group B'!C$6:C$41)</f>
        <v>0.1875</v>
      </c>
      <c r="C19" s="95">
        <f>AVERAGEIF('Profiles - Group B'!$H$6:$H$41, "£30,001 - £50,000", 'Task metrics - Group B'!D$6:D$41)</f>
        <v>0.125</v>
      </c>
      <c r="D19" s="95">
        <f>AVERAGEIF('Profiles - Group B'!$H$6:$H$41, "£30,001 - £50,000", 'Task metrics - Group B'!E$6:E$41)</f>
        <v>0.1875</v>
      </c>
      <c r="E19" s="95">
        <f>AVERAGEIF('Profiles - Group B'!$H$6:$H$41, "£30,001 - £50,000", 'Task metrics - Group B'!F$6:F$41)</f>
        <v>0.58333333333333337</v>
      </c>
      <c r="F19" s="95">
        <f>AVERAGEIF('Profiles - Group B'!$H$6:$H$41, "£30,001 - £50,000", 'Task metrics - Group B'!G$6:G$41)</f>
        <v>0.6875</v>
      </c>
      <c r="G19" s="95">
        <f>AVERAGEIF('Profiles - Group B'!$H$6:$H$41, "£30,001 - £50,000", 'Task metrics - Group B'!H$6:H$41)</f>
        <v>0.8125</v>
      </c>
      <c r="H19" s="95">
        <f>AVERAGEIF('Profiles - Group B'!$H$6:$H$41, "£30,001 - £50,000", 'Task metrics - Group B'!I$6:I$41)</f>
        <v>0.77083333333333337</v>
      </c>
      <c r="I19" s="95">
        <f>AVERAGEIF('Profiles - Group B'!$H$6:$H$41, "£30,001 - £50,000", 'Task metrics - Group B'!J$6:J$41)</f>
        <v>0.8125</v>
      </c>
      <c r="J19" s="95">
        <f>AVERAGE(B19:I19)</f>
        <v>0.52083333333333337</v>
      </c>
      <c r="K19" s="95"/>
      <c r="L19" s="95">
        <f>AVERAGEIF('Profiles - Group B'!$H$6:$H$41, "£30,001 - £50,000", 'Task Time Calcs - Group B'!B$6:B$41)</f>
        <v>260.33333333333331</v>
      </c>
      <c r="M19" s="95">
        <f>AVERAGEIF('Profiles - Group B'!$H$6:$H$41, "£30,001 - £50,000", 'Task Time Calcs - Group B'!C$6:C$41)</f>
        <v>172.66666666666666</v>
      </c>
      <c r="N19" s="95">
        <f>AVERAGEIF('Profiles - Group B'!$H$6:$H$41, "£30,001 - £50,000", 'Task Time Calcs - Group B'!D$6:D$41)</f>
        <v>151.11111111111111</v>
      </c>
      <c r="O19" s="95">
        <f>AVERAGEIF('Profiles - Group B'!$H$6:$H$41, "£30,001 - £50,000", 'Task Time Calcs - Group B'!E$6:E$41)</f>
        <v>113</v>
      </c>
      <c r="P19" s="95">
        <f>AVERAGEIF('Profiles - Group B'!$H$6:$H$41, "£30,001 - £50,000", 'Task Time Calcs - Group B'!F$6:F$41)</f>
        <v>105.11111111111111</v>
      </c>
      <c r="Q19" s="95">
        <f>AVERAGEIF('Profiles - Group B'!$H$6:$H$41, "£30,001 - £50,000", 'Task Time Calcs - Group B'!G$6:G$41)</f>
        <v>61.916666666666664</v>
      </c>
      <c r="R19" s="95">
        <f>AVERAGEIF('Profiles - Group B'!$H$6:$H$41, "£30,001 - £50,000", 'Task Time Calcs - Group B'!H$6:H$41)</f>
        <v>66.5</v>
      </c>
      <c r="S19" s="95">
        <f>AVERAGEIF('Profiles - Group B'!$H$6:$H$41, "£30,001 - £50,000", 'Task Time Calcs - Group B'!I$6:I$41)</f>
        <v>44.416666666666664</v>
      </c>
      <c r="T19" s="95">
        <f>AVERAGE(L19:S19)</f>
        <v>121.88194444444443</v>
      </c>
      <c r="U19" s="95"/>
      <c r="V19" s="95">
        <f>AVERAGEIF('Profiles - Group B'!$H$6:$H$41, "£30,001 - £50,000", 'Task metrics - Group B'!W$6:W$41)</f>
        <v>2.4166666666666665</v>
      </c>
      <c r="W19" s="95">
        <f>AVERAGEIF('Profiles - Group B'!$H$6:$H$41, "£30,001 - £50,000", 'Task metrics - Group B'!X$6:X$41)</f>
        <v>2.25</v>
      </c>
      <c r="X19" s="95">
        <f>AVERAGEIF('Profiles - Group B'!$H$6:$H$41, "£30,001 - £50,000", 'Task metrics - Group B'!Y$6:Y$41)</f>
        <v>2.8333333333333335</v>
      </c>
      <c r="Y19" s="95">
        <f>AVERAGEIF('Profiles - Group B'!$H$6:$H$41, "£30,001 - £50,000", 'Task metrics - Group B'!Z$6:Z$41)</f>
        <v>2.4166666666666665</v>
      </c>
      <c r="Z19" s="95">
        <f>AVERAGEIF('Profiles - Group B'!$H$6:$H$41, "£30,001 - £50,000", 'Task metrics - Group B'!AA$6:AA$41)</f>
        <v>2.6666666666666665</v>
      </c>
      <c r="AA19" s="95">
        <f>AVERAGEIF('Profiles - Group B'!$H$6:$H$41, "£30,001 - £50,000", 'Task metrics - Group B'!AB$6:AB$41)</f>
        <v>3.9166666666666665</v>
      </c>
      <c r="AB19" s="95">
        <f>AVERAGEIF('Profiles - Group B'!$H$6:$H$41, "£30,001 - £50,000", 'Task metrics - Group B'!AC$6:AC$41)</f>
        <v>3</v>
      </c>
      <c r="AC19" s="95">
        <f>AVERAGEIF('Profiles - Group B'!$H$6:$H$41, "£30,001 - £50,000", 'Task metrics - Group B'!AD$6:AD$41)</f>
        <v>4.5</v>
      </c>
      <c r="AD19" s="95">
        <f>AVERAGE(V19:AC19)</f>
        <v>3</v>
      </c>
      <c r="AE19" s="95"/>
      <c r="AP19" s="95">
        <f>AVERAGEIF('Profiles - Group B'!$H$6:$H$41, "£30,001 - £50,000", 'Task metrics - Group B'!AQ$6:AQ$41)</f>
        <v>50.208333333333336</v>
      </c>
    </row>
    <row r="20" spans="1:43">
      <c r="A20" s="96" t="s">
        <v>56</v>
      </c>
      <c r="B20" s="95">
        <f>AVERAGEIF('Profiles - Group B'!$H$6:$H$41, "Above £50,000", 'Task metrics - Group B'!C$6:C$41)</f>
        <v>0.2</v>
      </c>
      <c r="C20" s="95">
        <f>AVERAGEIF('Profiles - Group B'!$H$6:$H$41, "Above £50,000", 'Task metrics - Group B'!D$6:D$41)</f>
        <v>0.2</v>
      </c>
      <c r="D20" s="95">
        <f>AVERAGEIF('Profiles - Group B'!$H$6:$H$41, "Above £50,000", 'Task metrics - Group B'!E$6:E$41)</f>
        <v>0.25</v>
      </c>
      <c r="E20" s="95">
        <f>AVERAGEIF('Profiles - Group B'!$H$6:$H$41, "Above £50,000", 'Task metrics - Group B'!F$6:F$41)</f>
        <v>0.8</v>
      </c>
      <c r="F20" s="95">
        <f>AVERAGEIF('Profiles - Group B'!$H$6:$H$41, "Above £50,000", 'Task metrics - Group B'!G$6:G$41)</f>
        <v>0.8</v>
      </c>
      <c r="G20" s="95">
        <f>AVERAGEIF('Profiles - Group B'!$H$6:$H$41, "Above £50,000", 'Task metrics - Group B'!H$6:H$41)</f>
        <v>0.85</v>
      </c>
      <c r="H20" s="95">
        <f>AVERAGEIF('Profiles - Group B'!$H$6:$H$41, "Above £50,000", 'Task metrics - Group B'!I$6:I$41)</f>
        <v>1</v>
      </c>
      <c r="I20" s="95">
        <f>AVERAGEIF('Profiles - Group B'!$H$6:$H$41, "Above £50,000", 'Task metrics - Group B'!J$6:J$41)</f>
        <v>1</v>
      </c>
      <c r="J20" s="95">
        <f>AVERAGE(B20:I20)</f>
        <v>0.63749999999999996</v>
      </c>
      <c r="L20" s="95">
        <f>AVERAGEIF('Profiles - Group B'!$H$6:$H$41, "Above £50,000", 'Task Time Calcs - Group B'!B$6:B$41)</f>
        <v>272.25</v>
      </c>
      <c r="M20" s="95">
        <f>AVERAGEIF('Profiles - Group B'!$H$6:$H$41, "Above £50,000", 'Task Time Calcs - Group B'!C$6:C$41)</f>
        <v>160</v>
      </c>
      <c r="N20" s="95">
        <f>AVERAGEIF('Profiles - Group B'!$H$6:$H$41, "Above £50,000", 'Task Time Calcs - Group B'!D$6:D$41)</f>
        <v>107.4</v>
      </c>
      <c r="O20" s="95">
        <f>AVERAGEIF('Profiles - Group B'!$H$6:$H$41, "Above £50,000", 'Task Time Calcs - Group B'!E$6:E$41)</f>
        <v>121</v>
      </c>
      <c r="P20" s="95">
        <f>AVERAGEIF('Profiles - Group B'!$H$6:$H$41, "Above £50,000", 'Task Time Calcs - Group B'!F$6:F$41)</f>
        <v>78.5</v>
      </c>
      <c r="Q20" s="95">
        <f>AVERAGEIF('Profiles - Group B'!$H$6:$H$41, "Above £50,000", 'Task Time Calcs - Group B'!G$6:G$41)</f>
        <v>44.2</v>
      </c>
      <c r="R20" s="95">
        <f>AVERAGEIF('Profiles - Group B'!$H$6:$H$41, "Above £50,000", 'Task Time Calcs - Group B'!H$6:H$41)</f>
        <v>36.4</v>
      </c>
      <c r="S20" s="95">
        <f>AVERAGEIF('Profiles - Group B'!$H$6:$H$41, "Above £50,000", 'Task Time Calcs - Group B'!I$6:I$41)</f>
        <v>57</v>
      </c>
      <c r="T20" s="95">
        <f>AVERAGE(L20:S20)</f>
        <v>109.59375</v>
      </c>
      <c r="V20" s="95">
        <f>AVERAGEIF('Profiles - Group B'!$H$6:$H$41, "Above £50,000", 'Task metrics - Group B'!W$6:W$41)</f>
        <v>3.2</v>
      </c>
      <c r="W20" s="95">
        <f>AVERAGEIF('Profiles - Group B'!$H$6:$H$41, "Above £50,000", 'Task metrics - Group B'!X$6:X$41)</f>
        <v>2.6</v>
      </c>
      <c r="X20" s="95">
        <f>AVERAGEIF('Profiles - Group B'!$H$6:$H$41, "Above £50,000", 'Task metrics - Group B'!Y$6:Y$41)</f>
        <v>3.8</v>
      </c>
      <c r="Y20" s="95">
        <f>AVERAGEIF('Profiles - Group B'!$H$6:$H$41, "Above £50,000", 'Task metrics - Group B'!Z$6:Z$41)</f>
        <v>3.4</v>
      </c>
      <c r="Z20" s="95">
        <f>AVERAGEIF('Profiles - Group B'!$H$6:$H$41, "Above £50,000", 'Task metrics - Group B'!AA$6:AA$41)</f>
        <v>3.4</v>
      </c>
      <c r="AA20" s="95">
        <f>AVERAGEIF('Profiles - Group B'!$H$6:$H$41, "Above £50,000", 'Task metrics - Group B'!AB$6:AB$41)</f>
        <v>4.4000000000000004</v>
      </c>
      <c r="AB20" s="95">
        <f>AVERAGEIF('Profiles - Group B'!$H$6:$H$41, "Above £50,000", 'Task metrics - Group B'!AC$6:AC$41)</f>
        <v>4.5999999999999996</v>
      </c>
      <c r="AC20" s="95">
        <f>AVERAGEIF('Profiles - Group B'!$H$6:$H$41, "Above £50,000", 'Task metrics - Group B'!AD$6:AD$41)</f>
        <v>4.5999999999999996</v>
      </c>
      <c r="AD20" s="95">
        <f>AVERAGE(V20:AC20)</f>
        <v>3.7500000000000009</v>
      </c>
      <c r="AP20" s="95">
        <f>AVERAGEIF('Profiles - Group B'!$H$6:$H$41, "Above £50,000", 'Task metrics - Group B'!AQ$6:AQ$41)</f>
        <v>77</v>
      </c>
    </row>
    <row r="21" spans="1:43">
      <c r="A21" s="96"/>
    </row>
    <row r="22" spans="1:43">
      <c r="A22" s="96"/>
      <c r="B22" s="47" t="s">
        <v>27</v>
      </c>
      <c r="C22" s="47" t="s">
        <v>28</v>
      </c>
      <c r="D22" s="47" t="s">
        <v>2</v>
      </c>
      <c r="E22" s="47" t="s">
        <v>3</v>
      </c>
      <c r="F22" s="47" t="s">
        <v>4</v>
      </c>
      <c r="G22" s="47" t="s">
        <v>5</v>
      </c>
      <c r="H22" s="47" t="s">
        <v>6</v>
      </c>
      <c r="I22" s="47" t="s">
        <v>7</v>
      </c>
      <c r="J22" s="47" t="s">
        <v>31</v>
      </c>
      <c r="L22" s="47" t="s">
        <v>27</v>
      </c>
      <c r="M22" s="47" t="s">
        <v>28</v>
      </c>
      <c r="N22" s="47" t="s">
        <v>2</v>
      </c>
      <c r="O22" s="47" t="s">
        <v>3</v>
      </c>
      <c r="P22" s="47" t="s">
        <v>4</v>
      </c>
      <c r="Q22" s="47" t="s">
        <v>5</v>
      </c>
      <c r="R22" s="47" t="s">
        <v>6</v>
      </c>
      <c r="S22" s="47" t="s">
        <v>7</v>
      </c>
      <c r="T22" s="47" t="s">
        <v>31</v>
      </c>
      <c r="V22" s="47" t="s">
        <v>27</v>
      </c>
      <c r="W22" s="47" t="s">
        <v>28</v>
      </c>
      <c r="X22" s="47" t="s">
        <v>2</v>
      </c>
      <c r="Y22" s="47" t="s">
        <v>3</v>
      </c>
      <c r="Z22" s="47" t="s">
        <v>4</v>
      </c>
      <c r="AA22" s="47" t="s">
        <v>5</v>
      </c>
      <c r="AB22" s="47" t="s">
        <v>6</v>
      </c>
      <c r="AC22" s="47" t="s">
        <v>7</v>
      </c>
      <c r="AD22" s="47" t="s">
        <v>31</v>
      </c>
      <c r="AP22" s="95"/>
    </row>
    <row r="23" spans="1:43">
      <c r="A23" s="97" t="s">
        <v>42</v>
      </c>
      <c r="B23" s="95">
        <f>AVERAGEIF('Profiles - Group B'!$F$6:$F$41, "Below or completed GCSE", 'Task metrics - Group B'!C$6:C$41)</f>
        <v>0.15</v>
      </c>
      <c r="C23" s="95">
        <f>AVERAGEIF('Profiles - Group B'!$F$6:$F$41, "Below or completed GCSE", 'Task metrics - Group B'!D$6:D$41)</f>
        <v>0.15</v>
      </c>
      <c r="D23" s="95">
        <f>AVERAGEIF('Profiles - Group B'!$F$6:$F$41, "Below or completed GCSE", 'Task metrics - Group B'!E$6:E$41)</f>
        <v>0.125</v>
      </c>
      <c r="E23" s="95">
        <f>AVERAGEIF('Profiles - Group B'!$F$6:$F$41, "Below or completed GCSE", 'Task metrics - Group B'!F$6:F$41)</f>
        <v>0.42499999999999999</v>
      </c>
      <c r="F23" s="95">
        <f>AVERAGEIF('Profiles - Group B'!$F$6:$F$41, "Below or completed GCSE", 'Task metrics - Group B'!G$6:G$41)</f>
        <v>0.625</v>
      </c>
      <c r="G23" s="95">
        <f>AVERAGEIF('Profiles - Group B'!$F$6:$F$41, "Below or completed GCSE", 'Task metrics - Group B'!H$6:H$41)</f>
        <v>0.77500000000000002</v>
      </c>
      <c r="H23" s="95">
        <f>AVERAGEIF('Profiles - Group B'!$F$6:$F$41, "Below or completed GCSE", 'Task metrics - Group B'!I$6:I$41)</f>
        <v>0.42499999999999999</v>
      </c>
      <c r="I23" s="95">
        <f>AVERAGEIF('Profiles - Group B'!$F$6:$F$41, "Below or completed GCSE", 'Task metrics - Group B'!J$6:J$41)</f>
        <v>0.65</v>
      </c>
      <c r="J23" s="95">
        <f>AVERAGE(B23:I23)</f>
        <v>0.41562499999999997</v>
      </c>
      <c r="L23" s="95">
        <f>AVERAGEIF('Profiles - Group B'!$F$6:$F$41, "Below or completed GCSE", 'Task Time Calcs - Group B'!B$6:B$41)</f>
        <v>259</v>
      </c>
      <c r="M23" s="95">
        <f>AVERAGEIF('Profiles - Group B'!$F$6:$F$41, "Below or completed GCSE", 'Task Time Calcs - Group B'!C$6:C$41)</f>
        <v>159</v>
      </c>
      <c r="N23" s="95">
        <f>AVERAGEIF('Profiles - Group B'!$F$6:$F$41, "Below or completed GCSE", 'Task Time Calcs - Group B'!D$6:D$41)</f>
        <v>166.8</v>
      </c>
      <c r="O23" s="95">
        <f>AVERAGEIF('Profiles - Group B'!$F$6:$F$41, "Below or completed GCSE", 'Task Time Calcs - Group B'!E$6:E$41)</f>
        <v>137.6</v>
      </c>
      <c r="P23" s="95">
        <f>AVERAGEIF('Profiles - Group B'!$F$6:$F$41, "Below or completed GCSE", 'Task Time Calcs - Group B'!F$6:F$41)</f>
        <v>114.71428571428571</v>
      </c>
      <c r="Q23" s="95">
        <f>AVERAGEIF('Profiles - Group B'!$F$6:$F$41, "Below or completed GCSE", 'Task Time Calcs - Group B'!G$6:G$41)</f>
        <v>71.3</v>
      </c>
      <c r="R23" s="95">
        <f>AVERAGEIF('Profiles - Group B'!$F$6:$F$41, "Below or completed GCSE", 'Task Time Calcs - Group B'!H$6:H$41)</f>
        <v>70.599999999999994</v>
      </c>
      <c r="S23" s="95">
        <f>AVERAGEIF('Profiles - Group B'!$F$6:$F$41, "Below or completed GCSE", 'Task Time Calcs - Group B'!I$6:I$41)</f>
        <v>57.25</v>
      </c>
      <c r="T23" s="95">
        <f>AVERAGE(L23:S23)</f>
        <v>129.53303571428569</v>
      </c>
      <c r="V23" s="95">
        <f>AVERAGEIF('Profiles - Group B'!$F$6:$F$41, "Below or completed GCSE", 'Task metrics - Group B'!W$6:W$41)</f>
        <v>3</v>
      </c>
      <c r="W23" s="95">
        <f>AVERAGEIF('Profiles - Group B'!$F$6:$F$41, "Below or completed GCSE", 'Task metrics - Group B'!X$6:X$41)</f>
        <v>2.6</v>
      </c>
      <c r="X23" s="95">
        <f>AVERAGEIF('Profiles - Group B'!$F$6:$F$41, "Below or completed GCSE", 'Task metrics - Group B'!Y$6:Y$41)</f>
        <v>2.6</v>
      </c>
      <c r="Y23" s="95">
        <f>AVERAGEIF('Profiles - Group B'!$F$6:$F$41, "Below or completed GCSE", 'Task metrics - Group B'!Z$6:Z$41)</f>
        <v>2.2000000000000002</v>
      </c>
      <c r="Z23" s="95">
        <f>AVERAGEIF('Profiles - Group B'!$F$6:$F$41, "Below or completed GCSE", 'Task metrics - Group B'!AA$6:AA$41)</f>
        <v>2.6</v>
      </c>
      <c r="AA23" s="95">
        <f>AVERAGEIF('Profiles - Group B'!$F$6:$F$41, "Below or completed GCSE", 'Task metrics - Group B'!AB$6:AB$41)</f>
        <v>3.8</v>
      </c>
      <c r="AB23" s="95">
        <f>AVERAGEIF('Profiles - Group B'!$F$6:$F$41, "Below or completed GCSE", 'Task metrics - Group B'!AC$6:AC$41)</f>
        <v>3.3</v>
      </c>
      <c r="AC23" s="95">
        <f>AVERAGEIF('Profiles - Group B'!$F$6:$F$41, "Below or completed GCSE", 'Task metrics - Group B'!AD$6:AD$41)</f>
        <v>3.7</v>
      </c>
      <c r="AD23" s="95">
        <f>AVERAGE(V23:AC23)</f>
        <v>2.9749999999999996</v>
      </c>
      <c r="AP23" s="95">
        <f>AVERAGEIF('Profiles - Group B'!$F$6:$F$41, "Below or completed GCSE", 'Task metrics - Group B'!AQ$6:AQ$41)</f>
        <v>57.25</v>
      </c>
    </row>
    <row r="24" spans="1:43">
      <c r="A24" s="98" t="s">
        <v>50</v>
      </c>
      <c r="B24" s="95">
        <f>AVERAGEIF('Profiles - Group B'!$F$6:$F$41, "Completed A Level", 'Task metrics - Group B'!C$6:C$41)</f>
        <v>0.19642857142857142</v>
      </c>
      <c r="C24" s="95">
        <f>AVERAGEIF('Profiles - Group B'!$F$6:$F$41, "Completed A Level", 'Task metrics - Group B'!D$6:D$41)</f>
        <v>0.16071428571428573</v>
      </c>
      <c r="D24" s="95">
        <f>AVERAGEIF('Profiles - Group B'!$F$6:$F$41, "Completed A Level", 'Task metrics - Group B'!E$6:E$41)</f>
        <v>0.16071428571428573</v>
      </c>
      <c r="E24" s="95">
        <f>AVERAGEIF('Profiles - Group B'!$F$6:$F$41, "Completed A Level", 'Task metrics - Group B'!F$6:F$41)</f>
        <v>0.5892857142857143</v>
      </c>
      <c r="F24" s="95">
        <f>AVERAGEIF('Profiles - Group B'!$F$6:$F$41, "Completed A Level", 'Task metrics - Group B'!G$6:G$41)</f>
        <v>0.6071428571428571</v>
      </c>
      <c r="G24" s="95">
        <f>AVERAGEIF('Profiles - Group B'!$F$6:$F$41, "Completed A Level", 'Task metrics - Group B'!H$6:H$41)</f>
        <v>0.6428571428571429</v>
      </c>
      <c r="H24" s="95">
        <f>AVERAGEIF('Profiles - Group B'!$F$6:$F$41, "Completed A Level", 'Task metrics - Group B'!I$6:I$41)</f>
        <v>0.5357142857142857</v>
      </c>
      <c r="I24" s="95">
        <f>AVERAGEIF('Profiles - Group B'!$F$6:$F$41, "Completed A Level", 'Task metrics - Group B'!J$6:J$41)</f>
        <v>0.8214285714285714</v>
      </c>
      <c r="J24" s="95">
        <f>AVERAGE(B24:I24)</f>
        <v>0.4642857142857143</v>
      </c>
      <c r="K24" s="95"/>
      <c r="L24" s="95">
        <f>AVERAGEIF('Profiles - Group B'!$F$6:$F$41, "Completed A Level", 'Task Time Calcs - Group B'!B$6:B$41)</f>
        <v>227.90909090909091</v>
      </c>
      <c r="M24" s="95">
        <f>AVERAGEIF('Profiles - Group B'!$F$6:$F$41, "Completed A Level", 'Task Time Calcs - Group B'!C$6:C$41)</f>
        <v>155.55555555555554</v>
      </c>
      <c r="N24" s="95">
        <f>AVERAGEIF('Profiles - Group B'!$F$6:$F$41, "Completed A Level", 'Task Time Calcs - Group B'!D$6:D$41)</f>
        <v>109</v>
      </c>
      <c r="O24" s="95">
        <f>AVERAGEIF('Profiles - Group B'!$F$6:$F$41, "Completed A Level", 'Task Time Calcs - Group B'!E$6:E$41)</f>
        <v>106.11111111111111</v>
      </c>
      <c r="P24" s="95">
        <f>AVERAGEIF('Profiles - Group B'!$F$6:$F$41, "Completed A Level", 'Task Time Calcs - Group B'!F$6:F$41)</f>
        <v>99.1</v>
      </c>
      <c r="Q24" s="95">
        <f>AVERAGEIF('Profiles - Group B'!$F$6:$F$41, "Completed A Level", 'Task Time Calcs - Group B'!G$6:G$41)</f>
        <v>57.333333333333336</v>
      </c>
      <c r="R24" s="95">
        <f>AVERAGEIF('Profiles - Group B'!$F$6:$F$41, "Completed A Level", 'Task Time Calcs - Group B'!H$6:H$41)</f>
        <v>56.555555555555557</v>
      </c>
      <c r="S24" s="95">
        <f>AVERAGEIF('Profiles - Group B'!$F$6:$F$41, "Completed A Level", 'Task Time Calcs - Group B'!I$6:I$41)</f>
        <v>63.53846153846154</v>
      </c>
      <c r="T24" s="95">
        <f>AVERAGE(L24:S24)</f>
        <v>109.3878885003885</v>
      </c>
      <c r="U24" s="95"/>
      <c r="V24" s="95">
        <f>AVERAGEIF('Profiles - Group B'!$F$6:$F$41, "Completed A Level", 'Task metrics - Group B'!W$6:W$41)</f>
        <v>2.5</v>
      </c>
      <c r="W24" s="95">
        <f>AVERAGEIF('Profiles - Group B'!$F$6:$F$41, "Completed A Level", 'Task metrics - Group B'!X$6:X$41)</f>
        <v>2.5</v>
      </c>
      <c r="X24" s="95">
        <f>AVERAGEIF('Profiles - Group B'!$F$6:$F$41, "Completed A Level", 'Task metrics - Group B'!Y$6:Y$41)</f>
        <v>2.7142857142857144</v>
      </c>
      <c r="Y24" s="95">
        <f>AVERAGEIF('Profiles - Group B'!$F$6:$F$41, "Completed A Level", 'Task metrics - Group B'!Z$6:Z$41)</f>
        <v>2.2857142857142856</v>
      </c>
      <c r="Z24" s="95">
        <f>AVERAGEIF('Profiles - Group B'!$F$6:$F$41, "Completed A Level", 'Task metrics - Group B'!AA$6:AA$41)</f>
        <v>2.5714285714285716</v>
      </c>
      <c r="AA24" s="95">
        <f>AVERAGEIF('Profiles - Group B'!$F$6:$F$41, "Completed A Level", 'Task metrics - Group B'!AB$6:AB$41)</f>
        <v>3.4285714285714284</v>
      </c>
      <c r="AB24" s="95">
        <f>AVERAGEIF('Profiles - Group B'!$F$6:$F$41, "Completed A Level", 'Task metrics - Group B'!AC$6:AC$41)</f>
        <v>2.9285714285714284</v>
      </c>
      <c r="AC24" s="95">
        <f>AVERAGEIF('Profiles - Group B'!$F$6:$F$41, "Completed A Level", 'Task metrics - Group B'!AD$6:AD$41)</f>
        <v>3.7857142857142856</v>
      </c>
      <c r="AD24" s="95">
        <f>AVERAGE(V24:AC24)</f>
        <v>2.839285714285714</v>
      </c>
      <c r="AE24" s="95"/>
      <c r="AP24" s="95">
        <f>AVERAGEIF('Profiles - Group B'!$F$6:$F$41, "Completed A Level", 'Task metrics - Group B'!AQ$6:AQ$41)</f>
        <v>43.75</v>
      </c>
      <c r="AQ24" s="95"/>
    </row>
    <row r="25" spans="1:43">
      <c r="A25" s="98" t="s">
        <v>51</v>
      </c>
      <c r="B25" s="95">
        <f>AVERAGEIF('Profiles - Group B'!$F$6:$F$41, "Undergraduate", 'Task metrics - Group B'!C$6:C$41)</f>
        <v>0.16666666666666666</v>
      </c>
      <c r="C25" s="95">
        <f>AVERAGEIF('Profiles - Group B'!$F$6:$F$41, "Undergraduate", 'Task metrics - Group B'!D$6:D$41)</f>
        <v>0.16666666666666666</v>
      </c>
      <c r="D25" s="95">
        <f>AVERAGEIF('Profiles - Group B'!$F$6:$F$41, "Undergraduate", 'Task metrics - Group B'!E$6:E$41)</f>
        <v>0.16666666666666666</v>
      </c>
      <c r="E25" s="95">
        <f>AVERAGEIF('Profiles - Group B'!$F$6:$F$41, "Undergraduate", 'Task metrics - Group B'!F$6:F$41)</f>
        <v>0.3611111111111111</v>
      </c>
      <c r="F25" s="95">
        <f>AVERAGEIF('Profiles - Group B'!$F$6:$F$41, "Undergraduate", 'Task metrics - Group B'!G$6:G$41)</f>
        <v>0.80555555555555558</v>
      </c>
      <c r="G25" s="95">
        <f>AVERAGEIF('Profiles - Group B'!$F$6:$F$41, "Undergraduate", 'Task metrics - Group B'!H$6:H$41)</f>
        <v>0.83333333333333337</v>
      </c>
      <c r="H25" s="95">
        <f>AVERAGEIF('Profiles - Group B'!$F$6:$F$41, "Undergraduate", 'Task metrics - Group B'!I$6:I$41)</f>
        <v>0.80555555555555558</v>
      </c>
      <c r="I25" s="95">
        <f>AVERAGEIF('Profiles - Group B'!$F$6:$F$41, "Undergraduate", 'Task metrics - Group B'!J$6:J$41)</f>
        <v>0.83333333333333337</v>
      </c>
      <c r="J25" s="95">
        <f>AVERAGE(B25:I25)</f>
        <v>0.51736111111111105</v>
      </c>
      <c r="L25" s="95">
        <f>AVERAGEIF('Profiles - Group B'!$F$6:$F$41, "Undergraduate", 'Task Time Calcs - Group B'!B$6:B$41)</f>
        <v>276.33333333333331</v>
      </c>
      <c r="M25" s="95">
        <f>AVERAGEIF('Profiles - Group B'!$F$6:$F$41, "Undergraduate", 'Task Time Calcs - Group B'!C$6:C$41)</f>
        <v>151.16666666666666</v>
      </c>
      <c r="N25" s="95">
        <f>AVERAGEIF('Profiles - Group B'!$F$6:$F$41, "Undergraduate", 'Task Time Calcs - Group B'!D$6:D$41)</f>
        <v>118.83333333333333</v>
      </c>
      <c r="O25" s="95">
        <f>AVERAGEIF('Profiles - Group B'!$F$6:$F$41, "Undergraduate", 'Task Time Calcs - Group B'!E$6:E$41)</f>
        <v>120.25</v>
      </c>
      <c r="P25" s="95">
        <f>AVERAGEIF('Profiles - Group B'!$F$6:$F$41, "Undergraduate", 'Task Time Calcs - Group B'!F$6:F$41)</f>
        <v>72.5</v>
      </c>
      <c r="Q25" s="95">
        <f>AVERAGEIF('Profiles - Group B'!$F$6:$F$41, "Undergraduate", 'Task Time Calcs - Group B'!G$6:G$41)</f>
        <v>45.222222222222221</v>
      </c>
      <c r="R25" s="95">
        <f>AVERAGEIF('Profiles - Group B'!$F$6:$F$41, "Undergraduate", 'Task Time Calcs - Group B'!H$6:H$41)</f>
        <v>47.5</v>
      </c>
      <c r="S25" s="95">
        <f>AVERAGEIF('Profiles - Group B'!$F$6:$F$41, "Undergraduate", 'Task Time Calcs - Group B'!I$6:I$41)</f>
        <v>41.666666666666664</v>
      </c>
      <c r="T25" s="95">
        <f>AVERAGE(L25:S25)</f>
        <v>109.18402777777777</v>
      </c>
      <c r="V25" s="95">
        <f>AVERAGEIF('Profiles - Group B'!$F$6:$F$41, "Undergraduate", 'Task metrics - Group B'!W$6:W$41)</f>
        <v>2.7777777777777777</v>
      </c>
      <c r="W25" s="95">
        <f>AVERAGEIF('Profiles - Group B'!$F$6:$F$41, "Undergraduate", 'Task metrics - Group B'!X$6:X$41)</f>
        <v>2.4444444444444446</v>
      </c>
      <c r="X25" s="95">
        <f>AVERAGEIF('Profiles - Group B'!$F$6:$F$41, "Undergraduate", 'Task metrics - Group B'!Y$6:Y$41)</f>
        <v>3.1111111111111112</v>
      </c>
      <c r="Y25" s="95">
        <f>AVERAGEIF('Profiles - Group B'!$F$6:$F$41, "Undergraduate", 'Task metrics - Group B'!Z$6:Z$41)</f>
        <v>2.5555555555555554</v>
      </c>
      <c r="Z25" s="95">
        <f>AVERAGEIF('Profiles - Group B'!$F$6:$F$41, "Undergraduate", 'Task metrics - Group B'!AA$6:AA$41)</f>
        <v>3.8888888888888888</v>
      </c>
      <c r="AA25" s="95">
        <f>AVERAGEIF('Profiles - Group B'!$F$6:$F$41, "Undergraduate", 'Task metrics - Group B'!AB$6:AB$41)</f>
        <v>4.333333333333333</v>
      </c>
      <c r="AB25" s="95">
        <f>AVERAGEIF('Profiles - Group B'!$F$6:$F$41, "Undergraduate", 'Task metrics - Group B'!AC$6:AC$41)</f>
        <v>3.2222222222222223</v>
      </c>
      <c r="AC25" s="95">
        <f>AVERAGEIF('Profiles - Group B'!$F$6:$F$41, "Undergraduate", 'Task metrics - Group B'!AD$6:AD$41)</f>
        <v>4.666666666666667</v>
      </c>
      <c r="AD25" s="95">
        <f>AVERAGE(V25:AC25)</f>
        <v>3.375</v>
      </c>
      <c r="AP25" s="95">
        <f>AVERAGEIF('Profiles - Group B'!$F$6:$F$41, "Undergraduate", 'Task metrics - Group B'!AQ$6:AQ$41)</f>
        <v>60.277777777777779</v>
      </c>
    </row>
    <row r="26" spans="1:43">
      <c r="A26" s="99" t="s">
        <v>53</v>
      </c>
      <c r="B26" s="95">
        <f>AVERAGEIF('Profiles - Group B'!$F$6:$F$41, "Graduate (Masters or above)", 'Task metrics - Group B'!C$6:C$41)</f>
        <v>0.16666666666666666</v>
      </c>
      <c r="C26" s="95">
        <f>AVERAGEIF('Profiles - Group B'!$F$6:$F$41, "Graduate (Masters or above)", 'Task metrics - Group B'!D$6:D$41)</f>
        <v>0.25</v>
      </c>
      <c r="D26" s="95">
        <f>AVERAGEIF('Profiles - Group B'!$F$6:$F$41, "Graduate (Masters or above)", 'Task metrics - Group B'!E$6:E$41)</f>
        <v>0.25</v>
      </c>
      <c r="E26" s="95">
        <f>AVERAGEIF('Profiles - Group B'!$F$6:$F$41, "Graduate (Masters or above)", 'Task metrics - Group B'!F$6:F$41)</f>
        <v>0.33333333333333331</v>
      </c>
      <c r="F26" s="95">
        <f>AVERAGEIF('Profiles - Group B'!$F$6:$F$41, "Graduate (Masters or above)", 'Task metrics - Group B'!G$6:G$41)</f>
        <v>1</v>
      </c>
      <c r="G26" s="95">
        <f>AVERAGEIF('Profiles - Group B'!$F$6:$F$41, "Graduate (Masters or above)", 'Task metrics - Group B'!H$6:H$41)</f>
        <v>1</v>
      </c>
      <c r="H26" s="95">
        <f>AVERAGEIF('Profiles - Group B'!$F$6:$F$41, "Graduate (Masters or above)", 'Task metrics - Group B'!I$6:I$41)</f>
        <v>1</v>
      </c>
      <c r="I26" s="95">
        <f>AVERAGEIF('Profiles - Group B'!$F$6:$F$41, "Graduate (Masters or above)", 'Task metrics - Group B'!J$6:J$41)</f>
        <v>0.75</v>
      </c>
      <c r="J26" s="95">
        <f>AVERAGE(B26:I26)</f>
        <v>0.59375</v>
      </c>
      <c r="K26" s="95"/>
      <c r="L26" s="95">
        <f>AVERAGEIF('Profiles - Group B'!$F$6:$F$41, "Graduate (Masters or above)", 'Task Time Calcs - Group B'!B$6:B$41)</f>
        <v>219.5</v>
      </c>
      <c r="M26" s="95">
        <f>AVERAGEIF('Profiles - Group B'!$F$6:$F$41, "Graduate (Masters or above)", 'Task Time Calcs - Group B'!C$6:C$41)</f>
        <v>172.66666666666666</v>
      </c>
      <c r="N26" s="95">
        <f>AVERAGEIF('Profiles - Group B'!$F$6:$F$41, "Graduate (Masters or above)", 'Task Time Calcs - Group B'!D$6:D$41)</f>
        <v>110.66666666666667</v>
      </c>
      <c r="O26" s="95">
        <f>AVERAGEIF('Profiles - Group B'!$F$6:$F$41, "Graduate (Masters or above)", 'Task Time Calcs - Group B'!E$6:E$41)</f>
        <v>79</v>
      </c>
      <c r="P26" s="95">
        <f>AVERAGEIF('Profiles - Group B'!$F$6:$F$41, "Graduate (Masters or above)", 'Task Time Calcs - Group B'!F$6:F$41)</f>
        <v>108</v>
      </c>
      <c r="Q26" s="95">
        <f>AVERAGEIF('Profiles - Group B'!$F$6:$F$41, "Graduate (Masters or above)", 'Task Time Calcs - Group B'!G$6:G$41)</f>
        <v>91.666666666666671</v>
      </c>
      <c r="R26" s="95">
        <f>AVERAGEIF('Profiles - Group B'!$F$6:$F$41, "Graduate (Masters or above)", 'Task Time Calcs - Group B'!H$6:H$41)</f>
        <v>66.333333333333329</v>
      </c>
      <c r="S26" s="95">
        <f>AVERAGEIF('Profiles - Group B'!$F$6:$F$41, "Graduate (Masters or above)", 'Task Time Calcs - Group B'!I$6:I$41)</f>
        <v>49.333333333333336</v>
      </c>
      <c r="T26" s="95">
        <f>AVERAGE(L26:S26)</f>
        <v>112.14583333333333</v>
      </c>
      <c r="U26" s="95"/>
      <c r="V26" s="95">
        <f>AVERAGEIF('Profiles - Group B'!$F$6:$F$41, "Graduate (Masters or above)", 'Task metrics - Group B'!W$6:W$41)</f>
        <v>2</v>
      </c>
      <c r="W26" s="95">
        <f>AVERAGEIF('Profiles - Group B'!$F$6:$F$41, "Graduate (Masters or above)", 'Task metrics - Group B'!X$6:X$41)</f>
        <v>2</v>
      </c>
      <c r="X26" s="95">
        <f>AVERAGEIF('Profiles - Group B'!$F$6:$F$41, "Graduate (Masters or above)", 'Task metrics - Group B'!Y$6:Y$41)</f>
        <v>2.6666666666666665</v>
      </c>
      <c r="Y26" s="95">
        <f>AVERAGEIF('Profiles - Group B'!$F$6:$F$41, "Graduate (Masters or above)", 'Task metrics - Group B'!Z$6:Z$41)</f>
        <v>1.3333333333333333</v>
      </c>
      <c r="Z26" s="95">
        <f>AVERAGEIF('Profiles - Group B'!$F$6:$F$41, "Graduate (Masters or above)", 'Task metrics - Group B'!AA$6:AA$41)</f>
        <v>3</v>
      </c>
      <c r="AA26" s="95">
        <f>AVERAGEIF('Profiles - Group B'!$F$6:$F$41, "Graduate (Masters or above)", 'Task metrics - Group B'!AB$6:AB$41)</f>
        <v>3.3333333333333335</v>
      </c>
      <c r="AB26" s="95">
        <f>AVERAGEIF('Profiles - Group B'!$F$6:$F$41, "Graduate (Masters or above)", 'Task metrics - Group B'!AC$6:AC$41)</f>
        <v>2</v>
      </c>
      <c r="AC26" s="95">
        <f>AVERAGEIF('Profiles - Group B'!$F$6:$F$41, "Graduate (Masters or above)", 'Task metrics - Group B'!AD$6:AD$41)</f>
        <v>3.3333333333333335</v>
      </c>
      <c r="AD26" s="95">
        <f>AVERAGE(V26:AC26)</f>
        <v>2.4583333333333335</v>
      </c>
      <c r="AE26" s="95"/>
      <c r="AP26" s="95">
        <f>AVERAGEIF('Profiles - Group B'!$F$6:$F$41, "Graduate (Masters or above)", 'Task metrics - Group B'!AQ$6:AQ$41)</f>
        <v>37.5</v>
      </c>
      <c r="AQ26" s="95"/>
    </row>
    <row r="28" spans="1:43">
      <c r="B28" s="47" t="s">
        <v>27</v>
      </c>
      <c r="C28" s="47" t="s">
        <v>28</v>
      </c>
      <c r="D28" s="47" t="s">
        <v>2</v>
      </c>
      <c r="E28" s="47" t="s">
        <v>3</v>
      </c>
      <c r="F28" s="47" t="s">
        <v>4</v>
      </c>
      <c r="G28" s="47" t="s">
        <v>5</v>
      </c>
      <c r="H28" s="47" t="s">
        <v>6</v>
      </c>
      <c r="I28" s="47" t="s">
        <v>7</v>
      </c>
      <c r="J28" s="47" t="s">
        <v>31</v>
      </c>
      <c r="L28" s="47" t="s">
        <v>27</v>
      </c>
      <c r="M28" s="47" t="s">
        <v>28</v>
      </c>
      <c r="N28" s="47" t="s">
        <v>2</v>
      </c>
      <c r="O28" s="47" t="s">
        <v>3</v>
      </c>
      <c r="P28" s="47" t="s">
        <v>4</v>
      </c>
      <c r="Q28" s="47" t="s">
        <v>5</v>
      </c>
      <c r="R28" s="47" t="s">
        <v>6</v>
      </c>
      <c r="S28" s="47" t="s">
        <v>7</v>
      </c>
      <c r="T28" s="47" t="s">
        <v>31</v>
      </c>
      <c r="V28" s="47" t="s">
        <v>27</v>
      </c>
      <c r="W28" s="47" t="s">
        <v>28</v>
      </c>
      <c r="X28" s="47" t="s">
        <v>2</v>
      </c>
      <c r="Y28" s="47" t="s">
        <v>3</v>
      </c>
      <c r="Z28" s="47" t="s">
        <v>4</v>
      </c>
      <c r="AA28" s="47" t="s">
        <v>5</v>
      </c>
      <c r="AB28" s="47" t="s">
        <v>6</v>
      </c>
      <c r="AC28" s="47" t="s">
        <v>7</v>
      </c>
      <c r="AD28" s="47" t="s">
        <v>31</v>
      </c>
    </row>
    <row r="29" spans="1:43">
      <c r="A29" s="100" t="s">
        <v>123</v>
      </c>
      <c r="B29" s="95">
        <f>AVERAGEIF('Profiles - Group B'!$I$6:$I$41, "&lt;&gt;No", 'Task metrics - Group B'!C$6:C$41)</f>
        <v>0.16666666666666666</v>
      </c>
      <c r="C29" s="95">
        <f>AVERAGEIF('Profiles - Group B'!$I$6:$I$41, "&lt;&gt;No", 'Task metrics - Group B'!D$6:D$41)</f>
        <v>8.3333333333333329E-2</v>
      </c>
      <c r="D29" s="95">
        <f>AVERAGEIF('Profiles - Group B'!$I$6:$I$41, "&lt;&gt;No", 'Task metrics - Group B'!E$6:E$41)</f>
        <v>0.125</v>
      </c>
      <c r="E29" s="95">
        <f>AVERAGEIF('Profiles - Group B'!$I$6:$I$41, "&lt;&gt;No", 'Task metrics - Group B'!F$6:F$41)</f>
        <v>0.5</v>
      </c>
      <c r="F29" s="95">
        <f>AVERAGEIF('Profiles - Group B'!$I$6:$I$41, "&lt;&gt;No", 'Task metrics - Group B'!G$6:G$41)</f>
        <v>0.70833333333333337</v>
      </c>
      <c r="G29" s="95">
        <f>AVERAGEIF('Profiles - Group B'!$I$6:$I$41, "&lt;&gt;No", 'Task metrics - Group B'!H$6:H$41)</f>
        <v>0.75</v>
      </c>
      <c r="H29" s="95">
        <f>AVERAGEIF('Profiles - Group B'!$I$6:$I$41, "&lt;&gt;No", 'Task metrics - Group B'!I$6:I$41)</f>
        <v>0.41666666666666669</v>
      </c>
      <c r="I29" s="95">
        <f>AVERAGEIF('Profiles - Group B'!$I$6:$I$41, "&lt;&gt;No", 'Task metrics - Group B'!J$6:J$41)</f>
        <v>0.70833333333333337</v>
      </c>
      <c r="J29" s="95">
        <f>AVERAGE(B29:I29)</f>
        <v>0.43229166666666669</v>
      </c>
      <c r="L29" s="95">
        <f>AVERAGEIF('Profiles - Group B'!$I$6:$I$41, "&lt;&gt;No", 'Task Time Calcs - Group B'!B$6:B$41)</f>
        <v>282.75</v>
      </c>
      <c r="M29" s="95">
        <f>AVERAGEIF('Profiles - Group B'!$I$6:$I$41, "&lt;&gt;No", 'Task Time Calcs - Group B'!C$6:C$41)</f>
        <v>158</v>
      </c>
      <c r="N29" s="95">
        <f>AVERAGEIF('Profiles - Group B'!$I$6:$I$41, "&lt;&gt;No", 'Task Time Calcs - Group B'!D$6:D$41)</f>
        <v>159</v>
      </c>
      <c r="O29" s="95">
        <f>AVERAGEIF('Profiles - Group B'!$I$6:$I$41, "&lt;&gt;No", 'Task Time Calcs - Group B'!E$6:E$41)</f>
        <v>148</v>
      </c>
      <c r="P29" s="95">
        <f>AVERAGEIF('Profiles - Group B'!$I$6:$I$41, "&lt;&gt;No", 'Task Time Calcs - Group B'!F$6:F$41)</f>
        <v>108.6</v>
      </c>
      <c r="Q29" s="95">
        <f>AVERAGEIF('Profiles - Group B'!$I$6:$I$41, "&lt;&gt;No", 'Task Time Calcs - Group B'!G$6:G$41)</f>
        <v>79.666666666666671</v>
      </c>
      <c r="R29" s="95">
        <f>AVERAGEIF('Profiles - Group B'!$I$6:$I$41, "&lt;&gt;No", 'Task Time Calcs - Group B'!H$6:H$41)</f>
        <v>97</v>
      </c>
      <c r="S29" s="95">
        <f>AVERAGEIF('Profiles - Group B'!$I$6:$I$41, "&lt;&gt;No", 'Task Time Calcs - Group B'!I$6:I$41)</f>
        <v>57.6</v>
      </c>
      <c r="T29" s="95">
        <f>AVERAGE(L29:S29)</f>
        <v>136.32708333333332</v>
      </c>
      <c r="V29" s="95">
        <f>AVERAGEIF('Profiles - Group B'!$I$6:$I$41, "&lt;&gt;No", 'Task metrics - Group B'!W$6:W$41)</f>
        <v>2</v>
      </c>
      <c r="W29" s="95">
        <f>AVERAGEIF('Profiles - Group B'!$I$6:$I$41, "&lt;&gt;No", 'Task metrics - Group B'!X$6:X$41)</f>
        <v>2.3333333333333335</v>
      </c>
      <c r="X29" s="95">
        <f>AVERAGEIF('Profiles - Group B'!$I$6:$I$41, "&lt;&gt;No", 'Task metrics - Group B'!Y$6:Y$41)</f>
        <v>2</v>
      </c>
      <c r="Y29" s="95">
        <f>AVERAGEIF('Profiles - Group B'!$I$6:$I$41, "&lt;&gt;No", 'Task metrics - Group B'!Z$6:Z$41)</f>
        <v>2.5</v>
      </c>
      <c r="Z29" s="95">
        <f>AVERAGEIF('Profiles - Group B'!$I$6:$I$41, "&lt;&gt;No", 'Task metrics - Group B'!AA$6:AA$41)</f>
        <v>2.8333333333333335</v>
      </c>
      <c r="AA29" s="95">
        <f>AVERAGEIF('Profiles - Group B'!$I$6:$I$41, "&lt;&gt;No", 'Task metrics - Group B'!AB$6:AB$41)</f>
        <v>3.3333333333333335</v>
      </c>
      <c r="AB29" s="95">
        <f>AVERAGEIF('Profiles - Group B'!$I$6:$I$41, "&lt;&gt;No", 'Task metrics - Group B'!AC$6:AC$41)</f>
        <v>2.6666666666666665</v>
      </c>
      <c r="AC29" s="95">
        <f>AVERAGEIF('Profiles - Group B'!$I$6:$I$41, "&lt;&gt;No", 'Task metrics - Group B'!AD$6:AD$41)</f>
        <v>3.6666666666666665</v>
      </c>
      <c r="AD29" s="95">
        <f>AVERAGE(V29:AC29)</f>
        <v>2.666666666666667</v>
      </c>
      <c r="AP29" s="95">
        <f>AVERAGEIF('Profiles - Group B'!$I$6:$I$41, "&lt;&gt;No", 'Task metrics - Group B'!AQ$6:AQ$41)</f>
        <v>42.5</v>
      </c>
    </row>
    <row r="30" spans="1:43">
      <c r="A30" s="100" t="s">
        <v>124</v>
      </c>
      <c r="B30" s="95">
        <f>AVERAGEIF('Profiles - Group B'!$I$6:$I$41, "No", 'Task metrics - Group B'!C$6:C$41)</f>
        <v>0.17499999999999999</v>
      </c>
      <c r="C30" s="95">
        <f>AVERAGEIF('Profiles - Group B'!$I$6:$I$41, "No", 'Task metrics - Group B'!D$6:D$41)</f>
        <v>0.18333333333333332</v>
      </c>
      <c r="D30" s="95">
        <f>AVERAGEIF('Profiles - Group B'!$I$6:$I$41, "No", 'Task metrics - Group B'!E$6:E$41)</f>
        <v>0.16666666666666666</v>
      </c>
      <c r="E30" s="95">
        <f>AVERAGEIF('Profiles - Group B'!$I$6:$I$41, "No", 'Task metrics - Group B'!F$6:F$41)</f>
        <v>0.45833333333333331</v>
      </c>
      <c r="F30" s="95">
        <f>AVERAGEIF('Profiles - Group B'!$I$6:$I$41, "No", 'Task metrics - Group B'!G$6:G$41)</f>
        <v>0.69166666666666665</v>
      </c>
      <c r="G30" s="95">
        <f>AVERAGEIF('Profiles - Group B'!$I$6:$I$41, "No", 'Task metrics - Group B'!H$6:H$41)</f>
        <v>0.7583333333333333</v>
      </c>
      <c r="H30" s="95">
        <f>AVERAGEIF('Profiles - Group B'!$I$6:$I$41, "No", 'Task metrics - Group B'!I$6:I$41)</f>
        <v>0.65</v>
      </c>
      <c r="I30" s="95">
        <f>AVERAGEIF('Profiles - Group B'!$I$6:$I$41, "No", 'Task metrics - Group B'!J$6:J$41)</f>
        <v>0.78333333333333333</v>
      </c>
      <c r="J30" s="95">
        <f>AVERAGE(B30:I30)</f>
        <v>0.48333333333333328</v>
      </c>
      <c r="L30" s="95">
        <f>AVERAGEIF('Profiles - Group B'!$I$6:$I$41, "No", 'Task Time Calcs - Group B'!B$6:B$41)</f>
        <v>239.38095238095238</v>
      </c>
      <c r="M30" s="95">
        <f>AVERAGEIF('Profiles - Group B'!$I$6:$I$41, "No", 'Task Time Calcs - Group B'!C$6:C$41)</f>
        <v>157.40909090909091</v>
      </c>
      <c r="N30" s="95">
        <f>AVERAGEIF('Profiles - Group B'!$I$6:$I$41, "No", 'Task Time Calcs - Group B'!D$6:D$41)</f>
        <v>119.15</v>
      </c>
      <c r="O30" s="95">
        <f>AVERAGEIF('Profiles - Group B'!$I$6:$I$41, "No", 'Task Time Calcs - Group B'!E$6:E$41)</f>
        <v>109.9375</v>
      </c>
      <c r="P30" s="95">
        <f>AVERAGEIF('Profiles - Group B'!$I$6:$I$41, "No", 'Task Time Calcs - Group B'!F$6:F$41)</f>
        <v>93.695652173913047</v>
      </c>
      <c r="Q30" s="95">
        <f>AVERAGEIF('Profiles - Group B'!$I$6:$I$41, "No", 'Task Time Calcs - Group B'!G$6:G$41)</f>
        <v>57.321428571428569</v>
      </c>
      <c r="R30" s="95">
        <f>AVERAGEIF('Profiles - Group B'!$I$6:$I$41, "No", 'Task Time Calcs - Group B'!H$6:H$41)</f>
        <v>50.142857142857146</v>
      </c>
      <c r="S30" s="95">
        <f>AVERAGEIF('Profiles - Group B'!$I$6:$I$41, "No", 'Task Time Calcs - Group B'!I$6:I$41)</f>
        <v>54.25</v>
      </c>
      <c r="T30" s="95">
        <f>AVERAGE(L30:S30)</f>
        <v>110.16093514728024</v>
      </c>
      <c r="V30" s="95">
        <f>AVERAGEIF('Profiles - Group B'!$I$6:$I$41, "No", 'Task metrics - Group B'!W$6:W$41)</f>
        <v>2.8</v>
      </c>
      <c r="W30" s="95">
        <f>AVERAGEIF('Profiles - Group B'!$I$6:$I$41, "No", 'Task metrics - Group B'!X$6:X$41)</f>
        <v>2.5</v>
      </c>
      <c r="X30" s="95">
        <f>AVERAGEIF('Profiles - Group B'!$I$6:$I$41, "No", 'Task metrics - Group B'!Y$6:Y$41)</f>
        <v>2.9333333333333331</v>
      </c>
      <c r="Y30" s="95">
        <f>AVERAGEIF('Profiles - Group B'!$I$6:$I$41, "No", 'Task metrics - Group B'!Z$6:Z$41)</f>
        <v>2.2000000000000002</v>
      </c>
      <c r="Z30" s="95">
        <f>AVERAGEIF('Profiles - Group B'!$I$6:$I$41, "No", 'Task metrics - Group B'!AA$6:AA$41)</f>
        <v>2.9666666666666668</v>
      </c>
      <c r="AA30" s="95">
        <f>AVERAGEIF('Profiles - Group B'!$I$6:$I$41, "No", 'Task metrics - Group B'!AB$6:AB$41)</f>
        <v>3.8333333333333335</v>
      </c>
      <c r="AB30" s="95">
        <f>AVERAGEIF('Profiles - Group B'!$I$6:$I$41, "No", 'Task metrics - Group B'!AC$6:AC$41)</f>
        <v>3.1</v>
      </c>
      <c r="AC30" s="95">
        <f>AVERAGEIF('Profiles - Group B'!$I$6:$I$41, "No", 'Task metrics - Group B'!AD$6:AD$41)</f>
        <v>4</v>
      </c>
      <c r="AD30" s="95">
        <f>AVERAGE(V30:AC30)</f>
        <v>3.041666666666667</v>
      </c>
      <c r="AP30" s="95">
        <f>AVERAGEIF('Profiles - Group B'!$I$6:$I$41, "No", 'Task metrics - Group B'!AQ$6:AQ$41)</f>
        <v>52.833333333333336</v>
      </c>
    </row>
    <row r="33" spans="1:11">
      <c r="A33" s="47"/>
    </row>
    <row r="34" spans="1:11">
      <c r="B34" s="47"/>
      <c r="C34" s="47"/>
      <c r="D34" s="47"/>
      <c r="E34" s="47"/>
      <c r="F34" s="47"/>
      <c r="G34" s="47"/>
      <c r="H34" s="47"/>
      <c r="I34" s="47"/>
      <c r="J34" s="47"/>
    </row>
    <row r="35" spans="1:11">
      <c r="A35" s="96"/>
      <c r="B35" s="95"/>
      <c r="C35" s="95"/>
      <c r="D35" s="95"/>
      <c r="E35" s="95"/>
      <c r="F35" s="95"/>
      <c r="G35" s="95"/>
      <c r="H35" s="95"/>
      <c r="I35" s="95"/>
      <c r="J35" s="95"/>
    </row>
    <row r="36" spans="1:11">
      <c r="A36" s="96"/>
      <c r="B36" s="95"/>
      <c r="C36" s="95"/>
      <c r="D36" s="95"/>
      <c r="E36" s="95"/>
      <c r="F36" s="95"/>
      <c r="G36" s="95"/>
      <c r="H36" s="95"/>
      <c r="I36" s="95"/>
      <c r="J36" s="95"/>
    </row>
    <row r="38" spans="1:11">
      <c r="B38" s="47"/>
      <c r="C38" s="47"/>
      <c r="D38" s="47"/>
      <c r="E38" s="47"/>
      <c r="F38" s="47"/>
      <c r="G38" s="47"/>
      <c r="H38" s="47"/>
      <c r="I38" s="47"/>
      <c r="J38" s="47"/>
    </row>
    <row r="39" spans="1:11">
      <c r="A39" s="96"/>
      <c r="B39" s="95"/>
      <c r="C39" s="95"/>
      <c r="D39" s="95"/>
      <c r="E39" s="95"/>
      <c r="F39" s="95"/>
      <c r="G39" s="95"/>
      <c r="H39" s="95"/>
      <c r="I39" s="95"/>
      <c r="J39" s="95"/>
    </row>
    <row r="40" spans="1:11">
      <c r="A40" s="96"/>
      <c r="B40" s="95"/>
      <c r="C40" s="95"/>
      <c r="D40" s="95"/>
      <c r="E40" s="95"/>
      <c r="F40" s="95"/>
      <c r="G40" s="95"/>
      <c r="H40" s="95"/>
      <c r="I40" s="95"/>
      <c r="J40" s="95"/>
      <c r="K40" s="95"/>
    </row>
    <row r="41" spans="1:11">
      <c r="A41" s="96"/>
      <c r="B41" s="95"/>
      <c r="C41" s="95"/>
      <c r="D41" s="95"/>
      <c r="E41" s="95"/>
      <c r="F41" s="95"/>
      <c r="G41" s="95"/>
      <c r="H41" s="95"/>
      <c r="I41" s="95"/>
      <c r="J41" s="95"/>
    </row>
    <row r="42" spans="1:11">
      <c r="A42" s="96"/>
      <c r="B42" s="95"/>
      <c r="C42" s="95"/>
      <c r="D42" s="95"/>
      <c r="E42" s="95"/>
      <c r="F42" s="95"/>
      <c r="G42" s="95"/>
      <c r="H42" s="95"/>
      <c r="I42" s="95"/>
      <c r="J42" s="95"/>
      <c r="K42" s="95"/>
    </row>
    <row r="43" spans="1:11">
      <c r="A43" s="96"/>
      <c r="B43" s="95"/>
      <c r="C43" s="95"/>
      <c r="D43" s="95"/>
      <c r="E43" s="95"/>
      <c r="F43" s="95"/>
      <c r="G43" s="95"/>
      <c r="H43" s="95"/>
      <c r="I43" s="95"/>
      <c r="J43" s="95"/>
    </row>
    <row r="44" spans="1:11">
      <c r="A44" s="96"/>
      <c r="B44" s="95"/>
      <c r="C44" s="95"/>
      <c r="D44" s="95"/>
      <c r="E44" s="95"/>
      <c r="F44" s="95"/>
      <c r="G44" s="95"/>
      <c r="H44" s="95"/>
      <c r="I44" s="95"/>
      <c r="J44" s="95"/>
      <c r="K44" s="95"/>
    </row>
    <row r="45" spans="1:11">
      <c r="A45" s="96"/>
    </row>
    <row r="46" spans="1:11">
      <c r="A46" s="96"/>
      <c r="B46" s="47"/>
      <c r="C46" s="47"/>
      <c r="D46" s="47"/>
      <c r="E46" s="47"/>
      <c r="F46" s="47"/>
      <c r="G46" s="47"/>
      <c r="H46" s="47"/>
      <c r="I46" s="47"/>
      <c r="J46" s="47"/>
    </row>
    <row r="47" spans="1:11">
      <c r="A47" s="96"/>
      <c r="B47" s="95"/>
      <c r="C47" s="95"/>
      <c r="D47" s="95"/>
      <c r="E47" s="95"/>
      <c r="F47" s="95"/>
      <c r="G47" s="95"/>
      <c r="H47" s="95"/>
      <c r="I47" s="95"/>
      <c r="J47" s="95"/>
    </row>
    <row r="48" spans="1:11">
      <c r="A48" s="96"/>
      <c r="B48" s="95"/>
      <c r="C48" s="95"/>
      <c r="D48" s="95"/>
      <c r="E48" s="95"/>
      <c r="F48" s="95"/>
      <c r="G48" s="95"/>
      <c r="H48" s="95"/>
      <c r="I48" s="95"/>
      <c r="J48" s="95"/>
    </row>
    <row r="49" spans="1:11">
      <c r="A49" s="96"/>
      <c r="B49" s="95"/>
      <c r="C49" s="95"/>
      <c r="D49" s="95"/>
      <c r="E49" s="95"/>
      <c r="F49" s="95"/>
      <c r="G49" s="95"/>
      <c r="H49" s="95"/>
      <c r="I49" s="95"/>
      <c r="J49" s="95"/>
      <c r="K49" s="95"/>
    </row>
    <row r="50" spans="1:11">
      <c r="A50" s="96"/>
      <c r="B50" s="95"/>
      <c r="C50" s="95"/>
      <c r="D50" s="95"/>
      <c r="E50" s="95"/>
      <c r="F50" s="95"/>
      <c r="G50" s="95"/>
      <c r="H50" s="95"/>
      <c r="I50" s="95"/>
      <c r="J50" s="95"/>
    </row>
    <row r="51" spans="1:11">
      <c r="A51" s="96"/>
    </row>
    <row r="52" spans="1:11">
      <c r="A52" s="96"/>
      <c r="B52" s="47"/>
      <c r="C52" s="47"/>
      <c r="D52" s="47"/>
      <c r="E52" s="47"/>
      <c r="F52" s="47"/>
      <c r="G52" s="47"/>
      <c r="H52" s="47"/>
      <c r="I52" s="47"/>
      <c r="J52" s="47"/>
    </row>
    <row r="53" spans="1:11">
      <c r="A53" s="97"/>
      <c r="B53" s="95"/>
      <c r="C53" s="95"/>
      <c r="D53" s="95"/>
      <c r="E53" s="95"/>
      <c r="F53" s="95"/>
      <c r="G53" s="95"/>
      <c r="H53" s="95"/>
      <c r="I53" s="95"/>
      <c r="J53" s="95"/>
    </row>
    <row r="54" spans="1:11">
      <c r="A54" s="98"/>
      <c r="B54" s="95"/>
      <c r="C54" s="95"/>
      <c r="D54" s="95"/>
      <c r="E54" s="95"/>
      <c r="F54" s="95"/>
      <c r="G54" s="95"/>
      <c r="H54" s="95"/>
      <c r="I54" s="95"/>
      <c r="J54" s="95"/>
      <c r="K54" s="95"/>
    </row>
    <row r="55" spans="1:11">
      <c r="A55" s="98"/>
      <c r="B55" s="95"/>
      <c r="C55" s="95"/>
      <c r="D55" s="95"/>
      <c r="E55" s="95"/>
      <c r="F55" s="95"/>
      <c r="G55" s="95"/>
      <c r="H55" s="95"/>
      <c r="I55" s="95"/>
      <c r="J55" s="95"/>
    </row>
    <row r="56" spans="1:11">
      <c r="A56" s="99"/>
      <c r="B56" s="95"/>
      <c r="C56" s="95"/>
      <c r="D56" s="95"/>
      <c r="E56" s="95"/>
      <c r="F56" s="95"/>
      <c r="G56" s="95"/>
      <c r="H56" s="95"/>
      <c r="I56" s="95"/>
      <c r="J56" s="95"/>
      <c r="K56" s="95"/>
    </row>
    <row r="58" spans="1:11">
      <c r="B58" s="47"/>
      <c r="C58" s="47"/>
      <c r="D58" s="47"/>
      <c r="E58" s="47"/>
      <c r="F58" s="47"/>
      <c r="G58" s="47"/>
      <c r="H58" s="47"/>
      <c r="I58" s="47"/>
      <c r="J58" s="47"/>
    </row>
    <row r="59" spans="1:11">
      <c r="A59" s="100"/>
      <c r="B59" s="95"/>
      <c r="C59" s="95"/>
      <c r="D59" s="95"/>
      <c r="E59" s="95"/>
      <c r="F59" s="95"/>
      <c r="G59" s="95"/>
      <c r="H59" s="95"/>
      <c r="I59" s="95"/>
      <c r="J59" s="95"/>
    </row>
    <row r="60" spans="1:11">
      <c r="A60" s="100"/>
      <c r="B60" s="95"/>
      <c r="C60" s="95"/>
      <c r="D60" s="95"/>
      <c r="E60" s="95"/>
      <c r="F60" s="95"/>
      <c r="G60" s="95"/>
      <c r="H60" s="95"/>
      <c r="I60" s="95"/>
      <c r="J60" s="95"/>
    </row>
    <row r="63" spans="1:11">
      <c r="A63" s="47"/>
    </row>
    <row r="64" spans="1:11">
      <c r="B64" s="47"/>
      <c r="C64" s="47"/>
      <c r="D64" s="47"/>
      <c r="E64" s="47"/>
      <c r="F64" s="47"/>
      <c r="G64" s="47"/>
      <c r="H64" s="47"/>
      <c r="I64" s="47"/>
      <c r="J64" s="47"/>
    </row>
    <row r="65" spans="1:11">
      <c r="A65" s="96"/>
      <c r="B65" s="95"/>
      <c r="C65" s="95"/>
      <c r="D65" s="95"/>
      <c r="E65" s="95"/>
      <c r="F65" s="95"/>
      <c r="G65" s="95"/>
      <c r="H65" s="95"/>
      <c r="I65" s="95"/>
      <c r="J65" s="95"/>
    </row>
    <row r="66" spans="1:11">
      <c r="A66" s="96"/>
      <c r="B66" s="95"/>
      <c r="C66" s="95"/>
      <c r="D66" s="95"/>
      <c r="E66" s="95"/>
      <c r="F66" s="95"/>
      <c r="G66" s="95"/>
      <c r="H66" s="95"/>
      <c r="I66" s="95"/>
      <c r="J66" s="95"/>
    </row>
    <row r="68" spans="1:11">
      <c r="B68" s="47"/>
      <c r="C68" s="47"/>
      <c r="D68" s="47"/>
      <c r="E68" s="47"/>
      <c r="F68" s="47"/>
      <c r="G68" s="47"/>
      <c r="H68" s="47"/>
      <c r="I68" s="47"/>
      <c r="J68" s="47"/>
    </row>
    <row r="69" spans="1:11">
      <c r="A69" s="96"/>
      <c r="B69" s="95"/>
      <c r="C69" s="95"/>
      <c r="D69" s="95"/>
      <c r="E69" s="95"/>
      <c r="F69" s="95"/>
      <c r="G69" s="95"/>
      <c r="H69" s="95"/>
      <c r="I69" s="95"/>
      <c r="J69" s="95"/>
    </row>
    <row r="70" spans="1:11">
      <c r="A70" s="96"/>
      <c r="B70" s="95"/>
      <c r="C70" s="95"/>
      <c r="D70" s="95"/>
      <c r="E70" s="95"/>
      <c r="F70" s="95"/>
      <c r="G70" s="95"/>
      <c r="H70" s="95"/>
      <c r="I70" s="95"/>
      <c r="J70" s="95"/>
      <c r="K70" s="95"/>
    </row>
    <row r="71" spans="1:11">
      <c r="A71" s="96"/>
      <c r="B71" s="95"/>
      <c r="C71" s="95"/>
      <c r="D71" s="95"/>
      <c r="E71" s="95"/>
      <c r="F71" s="95"/>
      <c r="G71" s="95"/>
      <c r="H71" s="95"/>
      <c r="I71" s="95"/>
      <c r="J71" s="95"/>
    </row>
    <row r="72" spans="1:11">
      <c r="A72" s="96"/>
      <c r="B72" s="95"/>
      <c r="C72" s="95"/>
      <c r="D72" s="95"/>
      <c r="E72" s="95"/>
      <c r="F72" s="95"/>
      <c r="G72" s="95"/>
      <c r="H72" s="95"/>
      <c r="I72" s="95"/>
      <c r="J72" s="95"/>
      <c r="K72" s="95"/>
    </row>
    <row r="73" spans="1:11">
      <c r="A73" s="96"/>
      <c r="B73" s="95"/>
      <c r="C73" s="95"/>
      <c r="D73" s="95"/>
      <c r="E73" s="95"/>
      <c r="F73" s="95"/>
      <c r="G73" s="95"/>
      <c r="H73" s="95"/>
      <c r="I73" s="95"/>
      <c r="J73" s="95"/>
    </row>
    <row r="74" spans="1:11">
      <c r="A74" s="96"/>
      <c r="B74" s="95"/>
      <c r="C74" s="95"/>
      <c r="D74" s="95"/>
      <c r="E74" s="95"/>
      <c r="F74" s="95"/>
      <c r="G74" s="95"/>
      <c r="H74" s="95"/>
      <c r="I74" s="95"/>
      <c r="J74" s="95"/>
      <c r="K74" s="95"/>
    </row>
    <row r="75" spans="1:11">
      <c r="A75" s="96"/>
    </row>
    <row r="76" spans="1:11">
      <c r="A76" s="96"/>
      <c r="B76" s="47"/>
      <c r="C76" s="47"/>
      <c r="D76" s="47"/>
      <c r="E76" s="47"/>
      <c r="F76" s="47"/>
      <c r="G76" s="47"/>
      <c r="H76" s="47"/>
      <c r="I76" s="47"/>
      <c r="J76" s="47"/>
    </row>
    <row r="77" spans="1:11">
      <c r="A77" s="96"/>
      <c r="B77" s="95"/>
      <c r="C77" s="95"/>
      <c r="D77" s="95"/>
      <c r="E77" s="95"/>
      <c r="F77" s="95"/>
      <c r="G77" s="95"/>
      <c r="H77" s="95"/>
      <c r="I77" s="95"/>
      <c r="J77" s="95"/>
    </row>
    <row r="78" spans="1:11">
      <c r="A78" s="96"/>
      <c r="B78" s="95"/>
      <c r="C78" s="95"/>
      <c r="D78" s="95"/>
      <c r="E78" s="95"/>
      <c r="F78" s="95"/>
      <c r="G78" s="95"/>
      <c r="H78" s="95"/>
      <c r="I78" s="95"/>
      <c r="J78" s="95"/>
    </row>
    <row r="79" spans="1:11">
      <c r="A79" s="96"/>
      <c r="B79" s="95"/>
      <c r="C79" s="95"/>
      <c r="D79" s="95"/>
      <c r="E79" s="95"/>
      <c r="F79" s="95"/>
      <c r="G79" s="95"/>
      <c r="H79" s="95"/>
      <c r="I79" s="95"/>
      <c r="J79" s="95"/>
      <c r="K79" s="95"/>
    </row>
    <row r="80" spans="1:11">
      <c r="A80" s="96"/>
      <c r="B80" s="95"/>
      <c r="C80" s="95"/>
      <c r="D80" s="95"/>
      <c r="E80" s="95"/>
      <c r="F80" s="95"/>
      <c r="G80" s="95"/>
      <c r="H80" s="95"/>
      <c r="I80" s="95"/>
      <c r="J80" s="95"/>
    </row>
    <row r="81" spans="1:11">
      <c r="A81" s="96"/>
    </row>
    <row r="82" spans="1:11">
      <c r="A82" s="96"/>
      <c r="B82" s="47"/>
      <c r="C82" s="47"/>
      <c r="D82" s="47"/>
      <c r="E82" s="47"/>
      <c r="F82" s="47"/>
      <c r="G82" s="47"/>
      <c r="H82" s="47"/>
      <c r="I82" s="47"/>
      <c r="J82" s="47"/>
    </row>
    <row r="83" spans="1:11">
      <c r="A83" s="97"/>
      <c r="B83" s="95"/>
      <c r="C83" s="95"/>
      <c r="D83" s="95"/>
      <c r="E83" s="95"/>
      <c r="F83" s="95"/>
      <c r="G83" s="95"/>
      <c r="H83" s="95"/>
      <c r="I83" s="95"/>
      <c r="J83" s="95"/>
    </row>
    <row r="84" spans="1:11">
      <c r="A84" s="98"/>
      <c r="B84" s="95"/>
      <c r="C84" s="95"/>
      <c r="D84" s="95"/>
      <c r="E84" s="95"/>
      <c r="F84" s="95"/>
      <c r="G84" s="95"/>
      <c r="H84" s="95"/>
      <c r="I84" s="95"/>
      <c r="J84" s="95"/>
      <c r="K84" s="95"/>
    </row>
    <row r="85" spans="1:11">
      <c r="A85" s="98"/>
      <c r="B85" s="95"/>
      <c r="C85" s="95"/>
      <c r="D85" s="95"/>
      <c r="E85" s="95"/>
      <c r="F85" s="95"/>
      <c r="G85" s="95"/>
      <c r="H85" s="95"/>
      <c r="I85" s="95"/>
      <c r="J85" s="95"/>
    </row>
    <row r="86" spans="1:11">
      <c r="A86" s="99"/>
      <c r="B86" s="95"/>
      <c r="C86" s="95"/>
      <c r="D86" s="95"/>
      <c r="E86" s="95"/>
      <c r="F86" s="95"/>
      <c r="G86" s="95"/>
      <c r="H86" s="95"/>
      <c r="I86" s="95"/>
      <c r="J86" s="95"/>
      <c r="K86" s="95"/>
    </row>
    <row r="88" spans="1:11">
      <c r="B88" s="47"/>
      <c r="C88" s="47"/>
      <c r="D88" s="47"/>
      <c r="E88" s="47"/>
      <c r="F88" s="47"/>
      <c r="G88" s="47"/>
      <c r="H88" s="47"/>
      <c r="I88" s="47"/>
      <c r="J88" s="47"/>
    </row>
    <row r="89" spans="1:11">
      <c r="A89" s="100"/>
      <c r="B89" s="95"/>
      <c r="C89" s="95"/>
      <c r="D89" s="95"/>
      <c r="E89" s="95"/>
      <c r="F89" s="95"/>
      <c r="G89" s="95"/>
      <c r="H89" s="95"/>
      <c r="I89" s="95"/>
      <c r="J89" s="95"/>
    </row>
    <row r="90" spans="1:11">
      <c r="A90" s="100"/>
      <c r="B90" s="95"/>
      <c r="C90" s="95"/>
      <c r="D90" s="95"/>
      <c r="E90" s="95"/>
      <c r="F90" s="95"/>
      <c r="G90" s="95"/>
      <c r="H90" s="95"/>
      <c r="I90" s="95"/>
      <c r="J90" s="95"/>
    </row>
    <row r="1048576" spans="2:2">
      <c r="B1048576" s="95"/>
    </row>
  </sheetData>
  <mergeCells count="3">
    <mergeCell ref="A3:J3"/>
    <mergeCell ref="L3:T3"/>
    <mergeCell ref="V3:AD3"/>
  </mergeCells>
  <pageMargins left="0.7" right="0.7" top="0.75" bottom="0.75" header="0.3" footer="0.3"/>
  <pageSetup paperSize="9" orientation="portrait"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1"/>
  <sheetViews>
    <sheetView topLeftCell="B1" zoomScale="85" zoomScaleNormal="85" workbookViewId="0">
      <selection activeCell="H7" sqref="H7"/>
    </sheetView>
  </sheetViews>
  <sheetFormatPr defaultRowHeight="15"/>
  <cols>
    <col min="3" max="3" width="13.28515625" customWidth="1"/>
    <col min="4" max="4" width="19" customWidth="1"/>
    <col min="5" max="5" width="17.28515625" customWidth="1"/>
    <col min="6" max="6" width="45.5703125" customWidth="1"/>
    <col min="7" max="7" width="21.7109375" customWidth="1"/>
    <col min="10" max="10" width="16.5703125" bestFit="1" customWidth="1"/>
    <col min="11" max="11" width="17" bestFit="1" customWidth="1"/>
    <col min="12" max="12" width="12.140625" bestFit="1" customWidth="1"/>
  </cols>
  <sheetData>
    <row r="1" spans="2:13" ht="36">
      <c r="B1" s="145" t="s">
        <v>164</v>
      </c>
      <c r="C1" s="145"/>
      <c r="D1" s="126"/>
      <c r="E1" s="126"/>
      <c r="F1" s="126"/>
      <c r="G1" s="126"/>
    </row>
    <row r="3" spans="2:13" ht="28.5">
      <c r="B3" s="144" t="s">
        <v>61</v>
      </c>
      <c r="C3" s="117"/>
      <c r="D3" s="117"/>
      <c r="E3" s="117"/>
      <c r="F3" s="117"/>
      <c r="G3" s="117"/>
      <c r="J3" s="159" t="s">
        <v>149</v>
      </c>
      <c r="K3" s="159"/>
      <c r="L3" s="159"/>
      <c r="M3" s="159"/>
    </row>
    <row r="4" spans="2:13">
      <c r="B4" s="117"/>
      <c r="C4" s="117"/>
      <c r="D4" s="117"/>
      <c r="E4" s="117"/>
      <c r="F4" s="117"/>
      <c r="G4" s="117"/>
      <c r="J4" s="117"/>
      <c r="K4" s="117"/>
      <c r="L4" s="117"/>
      <c r="M4" s="117"/>
    </row>
    <row r="5" spans="2:13">
      <c r="B5" s="91" t="s">
        <v>35</v>
      </c>
      <c r="C5" s="63" t="s">
        <v>36</v>
      </c>
      <c r="D5" s="63" t="s">
        <v>37</v>
      </c>
      <c r="E5" s="64" t="s">
        <v>38</v>
      </c>
      <c r="F5" s="64" t="s">
        <v>39</v>
      </c>
      <c r="G5" s="93" t="s">
        <v>40</v>
      </c>
      <c r="J5" s="113" t="s">
        <v>8</v>
      </c>
      <c r="K5" s="113" t="s">
        <v>148</v>
      </c>
      <c r="L5" s="113" t="s">
        <v>10</v>
      </c>
      <c r="M5" s="113" t="s">
        <v>12</v>
      </c>
    </row>
    <row r="6" spans="2:13">
      <c r="B6" s="92">
        <v>1</v>
      </c>
      <c r="C6" s="66" t="s">
        <v>41</v>
      </c>
      <c r="D6" s="66" t="s">
        <v>50</v>
      </c>
      <c r="E6" s="66" t="s">
        <v>43</v>
      </c>
      <c r="F6" s="66" t="s">
        <v>44</v>
      </c>
      <c r="G6" s="94" t="s">
        <v>58</v>
      </c>
      <c r="J6" s="95">
        <f>SUM('Task metrics - Group A'!C6,'Task metrics - Group A'!E6:I6,'Task metrics - Group A'!AT6:BA6,'Task metrics - Group A'!CK6:CR6)</f>
        <v>10</v>
      </c>
      <c r="K6">
        <f>SUM('Task metrics - Group A'!M6:T6,'Task metrics - Group A'!BD6:BK6,'Task metrics - Group A'!CU6:DB6)</f>
        <v>2131</v>
      </c>
      <c r="L6">
        <f>SUM('Task metrics - Group A'!W6:AD6,'Task metrics - Group A'!BN6:BU6,'Task metrics - Group A'!DE6:DL6)</f>
        <v>54</v>
      </c>
      <c r="M6">
        <f>SUM('Task metrics - Group A'!AQ6,'Task metrics - Group A'!CH6,'Task metrics - Group A'!DY6)</f>
        <v>110</v>
      </c>
    </row>
    <row r="7" spans="2:13">
      <c r="B7" s="72">
        <v>2</v>
      </c>
      <c r="C7" s="66" t="s">
        <v>45</v>
      </c>
      <c r="D7" s="66" t="s">
        <v>42</v>
      </c>
      <c r="E7" s="66" t="s">
        <v>43</v>
      </c>
      <c r="F7" s="66" t="s">
        <v>44</v>
      </c>
      <c r="G7" s="94" t="s">
        <v>58</v>
      </c>
      <c r="J7" s="95">
        <f>SUM('Task metrics - Group A'!C7,'Task metrics - Group A'!E7:I7,'Task metrics - Group A'!AT7:BA7,'Task metrics - Group A'!CK7:CR7)</f>
        <v>6.5</v>
      </c>
      <c r="K7">
        <f>SUM('Task metrics - Group A'!M7:T7,'Task metrics - Group A'!BD7:BK7,'Task metrics - Group A'!CU7:DB7)</f>
        <v>2927</v>
      </c>
      <c r="L7">
        <f>SUM('Task metrics - Group A'!W7:AD7,'Task metrics - Group A'!BN7:BU7,'Task metrics - Group A'!DE7:DL7)</f>
        <v>42</v>
      </c>
      <c r="M7">
        <f>SUM('Task metrics - Group A'!AQ7,'Task metrics - Group A'!CH7,'Task metrics - Group A'!DY7)</f>
        <v>62.5</v>
      </c>
    </row>
    <row r="8" spans="2:13">
      <c r="B8" s="72">
        <v>3</v>
      </c>
      <c r="C8" s="66" t="s">
        <v>41</v>
      </c>
      <c r="D8" s="67" t="s">
        <v>50</v>
      </c>
      <c r="E8" s="67" t="s">
        <v>48</v>
      </c>
      <c r="F8" s="67" t="s">
        <v>56</v>
      </c>
      <c r="G8" s="94" t="s">
        <v>47</v>
      </c>
      <c r="J8" s="95">
        <f>SUM('Task metrics - Group A'!C8,'Task metrics - Group A'!E8:I8,'Task metrics - Group A'!AT8:BA8,'Task metrics - Group A'!CK8:CR8)</f>
        <v>9</v>
      </c>
      <c r="K8">
        <f>SUM('Task metrics - Group A'!M8:T8,'Task metrics - Group A'!BD8:BK8,'Task metrics - Group A'!CU8:DB8)</f>
        <v>2710</v>
      </c>
      <c r="L8">
        <f>SUM('Task metrics - Group A'!W8:AD8,'Task metrics - Group A'!BN8:BU8,'Task metrics - Group A'!DE8:DL8)</f>
        <v>74</v>
      </c>
      <c r="M8">
        <f>SUM('Task metrics - Group A'!AQ8,'Task metrics - Group A'!CH8,'Task metrics - Group A'!DY8)</f>
        <v>170</v>
      </c>
    </row>
    <row r="9" spans="2:13">
      <c r="B9" s="72">
        <v>4</v>
      </c>
      <c r="C9" s="66" t="s">
        <v>41</v>
      </c>
      <c r="D9" s="67" t="s">
        <v>50</v>
      </c>
      <c r="E9" s="67" t="s">
        <v>43</v>
      </c>
      <c r="F9" s="67" t="s">
        <v>44</v>
      </c>
      <c r="G9" s="94" t="s">
        <v>58</v>
      </c>
      <c r="J9" s="95">
        <f>SUM('Task metrics - Group A'!C9,'Task metrics - Group A'!E9:I9,'Task metrics - Group A'!AT9:BA9,'Task metrics - Group A'!CK9:CR9)</f>
        <v>10.5</v>
      </c>
      <c r="K9">
        <f>SUM('Task metrics - Group A'!M9:T9,'Task metrics - Group A'!BD9:BK9,'Task metrics - Group A'!CU9:DB9)</f>
        <v>2679</v>
      </c>
      <c r="L9">
        <f>SUM('Task metrics - Group A'!W9:AD9,'Task metrics - Group A'!BN9:BU9,'Task metrics - Group A'!DE9:DL9)</f>
        <v>66</v>
      </c>
      <c r="M9">
        <f>SUM('Task metrics - Group A'!AQ9,'Task metrics - Group A'!CH9,'Task metrics - Group A'!DY9)</f>
        <v>127.5</v>
      </c>
    </row>
    <row r="10" spans="2:13">
      <c r="B10" s="72">
        <v>5</v>
      </c>
      <c r="C10" s="66" t="s">
        <v>52</v>
      </c>
      <c r="D10" s="67" t="s">
        <v>50</v>
      </c>
      <c r="E10" s="67" t="s">
        <v>46</v>
      </c>
      <c r="F10" s="67" t="s">
        <v>49</v>
      </c>
      <c r="G10" s="94" t="s">
        <v>58</v>
      </c>
      <c r="J10" s="95">
        <f>SUM('Task metrics - Group A'!C10,'Task metrics - Group A'!E10:I10,'Task metrics - Group A'!AT10:BA10,'Task metrics - Group A'!CK10:CR10)</f>
        <v>4.5</v>
      </c>
      <c r="K10">
        <f>SUM('Task metrics - Group A'!M10:T10,'Task metrics - Group A'!BD10:BK10,'Task metrics - Group A'!CU10:DB10)</f>
        <v>1879</v>
      </c>
      <c r="L10">
        <f>SUM('Task metrics - Group A'!W10:AD10,'Task metrics - Group A'!BN10:BU10,'Task metrics - Group A'!DE10:DL10)</f>
        <v>49</v>
      </c>
      <c r="M10">
        <f>SUM('Task metrics - Group A'!AQ10,'Task metrics - Group A'!CH10,'Task metrics - Group A'!DY10)</f>
        <v>125</v>
      </c>
    </row>
    <row r="11" spans="2:13">
      <c r="B11" s="72">
        <v>6</v>
      </c>
      <c r="C11" s="66" t="s">
        <v>52</v>
      </c>
      <c r="D11" s="67" t="s">
        <v>53</v>
      </c>
      <c r="E11" s="67" t="s">
        <v>43</v>
      </c>
      <c r="F11" s="67" t="s">
        <v>44</v>
      </c>
      <c r="G11" s="94" t="s">
        <v>58</v>
      </c>
      <c r="J11" s="95">
        <f>SUM('Task metrics - Group A'!C11,'Task metrics - Group A'!E11:I11,'Task metrics - Group A'!AT11:BA11,'Task metrics - Group A'!CK11:CR11)</f>
        <v>5.75</v>
      </c>
      <c r="K11">
        <f>SUM('Task metrics - Group A'!M11:T11,'Task metrics - Group A'!BD11:BK11,'Task metrics - Group A'!CU11:DB11)</f>
        <v>2095</v>
      </c>
      <c r="L11">
        <f>SUM('Task metrics - Group A'!W11:AD11,'Task metrics - Group A'!BN11:BU11,'Task metrics - Group A'!DE11:DL11)</f>
        <v>63</v>
      </c>
      <c r="M11">
        <f>SUM('Task metrics - Group A'!AQ11,'Task metrics - Group A'!CH11,'Task metrics - Group A'!DY11)</f>
        <v>165</v>
      </c>
    </row>
    <row r="12" spans="2:13">
      <c r="B12" s="72">
        <v>7</v>
      </c>
      <c r="C12" s="66" t="s">
        <v>59</v>
      </c>
      <c r="D12" s="67" t="s">
        <v>53</v>
      </c>
      <c r="E12" s="67" t="s">
        <v>48</v>
      </c>
      <c r="F12" s="67" t="s">
        <v>49</v>
      </c>
      <c r="G12" s="94" t="s">
        <v>58</v>
      </c>
      <c r="J12" s="95">
        <f>SUM('Task metrics - Group A'!C12,'Task metrics - Group A'!E12:I12,'Task metrics - Group A'!AT12:BA12,'Task metrics - Group A'!CK12:CR12)</f>
        <v>8</v>
      </c>
      <c r="K12">
        <f>SUM('Task metrics - Group A'!M12:T12,'Task metrics - Group A'!BD12:BK12,'Task metrics - Group A'!CU12:DB12)</f>
        <v>2952</v>
      </c>
      <c r="L12">
        <f>SUM('Task metrics - Group A'!W12:AD12,'Task metrics - Group A'!BN12:BU12,'Task metrics - Group A'!DE12:DL12)</f>
        <v>79</v>
      </c>
      <c r="M12">
        <f>SUM('Task metrics - Group A'!AQ12,'Task metrics - Group A'!CH12,'Task metrics - Group A'!DY12)</f>
        <v>197.5</v>
      </c>
    </row>
    <row r="13" spans="2:13">
      <c r="B13" s="72">
        <v>8</v>
      </c>
      <c r="C13" s="66" t="s">
        <v>57</v>
      </c>
      <c r="D13" s="67" t="s">
        <v>51</v>
      </c>
      <c r="E13" s="67" t="s">
        <v>46</v>
      </c>
      <c r="F13" s="67" t="s">
        <v>44</v>
      </c>
      <c r="G13" s="94" t="s">
        <v>58</v>
      </c>
      <c r="J13" s="95">
        <f>SUM('Task metrics - Group A'!C13,'Task metrics - Group A'!E13:I13,'Task metrics - Group A'!AT13:BA13,'Task metrics - Group A'!CK13:CR13)</f>
        <v>8.75</v>
      </c>
      <c r="K13">
        <f>SUM('Task metrics - Group A'!M13:T13,'Task metrics - Group A'!BD13:BK13,'Task metrics - Group A'!CU13:DB13)</f>
        <v>1655</v>
      </c>
      <c r="L13">
        <f>SUM('Task metrics - Group A'!W13:AD13,'Task metrics - Group A'!BN13:BU13,'Task metrics - Group A'!DE13:DL13)</f>
        <v>100</v>
      </c>
      <c r="M13">
        <f>SUM('Task metrics - Group A'!AQ13,'Task metrics - Group A'!CH13,'Task metrics - Group A'!DY13)</f>
        <v>195</v>
      </c>
    </row>
    <row r="14" spans="2:13">
      <c r="B14" s="72">
        <v>9</v>
      </c>
      <c r="C14" s="66" t="s">
        <v>57</v>
      </c>
      <c r="D14" s="67" t="s">
        <v>50</v>
      </c>
      <c r="E14" s="67" t="s">
        <v>48</v>
      </c>
      <c r="F14" s="67" t="s">
        <v>55</v>
      </c>
      <c r="G14" s="94" t="s">
        <v>58</v>
      </c>
      <c r="J14" s="95">
        <f>SUM('Task metrics - Group A'!C14,'Task metrics - Group A'!E14:I14,'Task metrics - Group A'!AT14:BA14,'Task metrics - Group A'!CK14:CR14)</f>
        <v>5.75</v>
      </c>
      <c r="K14">
        <f>SUM('Task metrics - Group A'!M14:T14,'Task metrics - Group A'!BD14:BK14,'Task metrics - Group A'!CU14:DB14)</f>
        <v>1833</v>
      </c>
      <c r="L14">
        <f>SUM('Task metrics - Group A'!W14:AD14,'Task metrics - Group A'!BN14:BU14,'Task metrics - Group A'!DE14:DL14)</f>
        <v>54</v>
      </c>
      <c r="M14">
        <f>SUM('Task metrics - Group A'!AQ14,'Task metrics - Group A'!CH14,'Task metrics - Group A'!DY14)</f>
        <v>105</v>
      </c>
    </row>
    <row r="15" spans="2:13">
      <c r="B15" s="72">
        <v>10</v>
      </c>
      <c r="C15" s="66" t="s">
        <v>52</v>
      </c>
      <c r="D15" s="67" t="s">
        <v>42</v>
      </c>
      <c r="E15" s="67" t="s">
        <v>43</v>
      </c>
      <c r="F15" s="67" t="s">
        <v>49</v>
      </c>
      <c r="G15" s="94" t="s">
        <v>58</v>
      </c>
      <c r="J15" s="95">
        <f>SUM('Task metrics - Group A'!C15,'Task metrics - Group A'!E15:I15,'Task metrics - Group A'!AT15:BA15,'Task metrics - Group A'!CK15:CR15)</f>
        <v>9.25</v>
      </c>
      <c r="K15">
        <f>SUM('Task metrics - Group A'!M15:T15,'Task metrics - Group A'!BD15:BK15,'Task metrics - Group A'!CU15:DB15)</f>
        <v>2700</v>
      </c>
      <c r="L15">
        <f>SUM('Task metrics - Group A'!W15:AD15,'Task metrics - Group A'!BN15:BU15,'Task metrics - Group A'!DE15:DL15)</f>
        <v>50</v>
      </c>
      <c r="M15">
        <f>SUM('Task metrics - Group A'!AQ15,'Task metrics - Group A'!CH15,'Task metrics - Group A'!DY15)</f>
        <v>107.5</v>
      </c>
    </row>
    <row r="16" spans="2:13">
      <c r="B16" s="72">
        <v>11</v>
      </c>
      <c r="C16" s="66" t="s">
        <v>52</v>
      </c>
      <c r="D16" s="67" t="s">
        <v>51</v>
      </c>
      <c r="E16" s="67" t="s">
        <v>48</v>
      </c>
      <c r="F16" s="67" t="s">
        <v>56</v>
      </c>
      <c r="G16" s="94" t="s">
        <v>58</v>
      </c>
      <c r="J16" s="95">
        <f>SUM('Task metrics - Group A'!C16,'Task metrics - Group A'!E16:I16,'Task metrics - Group A'!AT16:BA16,'Task metrics - Group A'!CK16:CR16)</f>
        <v>7.75</v>
      </c>
      <c r="K16">
        <f>SUM('Task metrics - Group A'!M16:T16,'Task metrics - Group A'!BD16:BK16,'Task metrics - Group A'!CU16:DB16)</f>
        <v>1999</v>
      </c>
      <c r="L16">
        <f>SUM('Task metrics - Group A'!W16:AD16,'Task metrics - Group A'!BN16:BU16,'Task metrics - Group A'!DE16:DL16)</f>
        <v>75</v>
      </c>
      <c r="M16">
        <f>SUM('Task metrics - Group A'!AQ16,'Task metrics - Group A'!CH16,'Task metrics - Group A'!DY16)</f>
        <v>192.5</v>
      </c>
    </row>
    <row r="17" spans="2:13">
      <c r="B17" s="72">
        <v>12</v>
      </c>
      <c r="C17" s="66" t="s">
        <v>57</v>
      </c>
      <c r="D17" s="67" t="s">
        <v>51</v>
      </c>
      <c r="E17" s="67" t="s">
        <v>46</v>
      </c>
      <c r="F17" s="67" t="s">
        <v>49</v>
      </c>
      <c r="G17" s="94" t="s">
        <v>58</v>
      </c>
      <c r="J17" s="95">
        <f>SUM('Task metrics - Group A'!C17,'Task metrics - Group A'!E17:I17,'Task metrics - Group A'!AT17:BA17,'Task metrics - Group A'!CK17:CR17)</f>
        <v>11.25</v>
      </c>
      <c r="K17">
        <f>SUM('Task metrics - Group A'!M17:T17,'Task metrics - Group A'!BD17:BK17,'Task metrics - Group A'!CU17:DB17)</f>
        <v>1862</v>
      </c>
      <c r="L17">
        <f>SUM('Task metrics - Group A'!W17:AD17,'Task metrics - Group A'!BN17:BU17,'Task metrics - Group A'!DE17:DL17)</f>
        <v>73</v>
      </c>
      <c r="M17">
        <f>SUM('Task metrics - Group A'!AQ17,'Task metrics - Group A'!CH17,'Task metrics - Group A'!DY17)</f>
        <v>127.5</v>
      </c>
    </row>
    <row r="18" spans="2:13">
      <c r="B18" s="72">
        <v>13</v>
      </c>
      <c r="C18" s="66" t="s">
        <v>57</v>
      </c>
      <c r="D18" s="66" t="s">
        <v>51</v>
      </c>
      <c r="E18" s="66" t="s">
        <v>48</v>
      </c>
      <c r="F18" s="66" t="s">
        <v>44</v>
      </c>
      <c r="G18" s="94" t="s">
        <v>47</v>
      </c>
      <c r="J18" s="95">
        <f>SUM('Task metrics - Group A'!C18,'Task metrics - Group A'!E18:I18,'Task metrics - Group A'!AT18:BA18,'Task metrics - Group A'!CK18:CR18)</f>
        <v>13.5</v>
      </c>
      <c r="K18">
        <f>SUM('Task metrics - Group A'!M18:T18,'Task metrics - Group A'!BD18:BK18,'Task metrics - Group A'!CU18:DB18)</f>
        <v>1736</v>
      </c>
      <c r="L18">
        <f>SUM('Task metrics - Group A'!W18:AD18,'Task metrics - Group A'!BN18:BU18,'Task metrics - Group A'!DE18:DL18)</f>
        <v>82</v>
      </c>
      <c r="M18">
        <f>SUM('Task metrics - Group A'!AQ18,'Task metrics - Group A'!CH18,'Task metrics - Group A'!DY18)</f>
        <v>225</v>
      </c>
    </row>
    <row r="19" spans="2:13">
      <c r="B19" s="72">
        <v>14</v>
      </c>
      <c r="C19" s="66" t="s">
        <v>45</v>
      </c>
      <c r="D19" s="67" t="s">
        <v>42</v>
      </c>
      <c r="E19" s="67" t="s">
        <v>46</v>
      </c>
      <c r="F19" s="67" t="s">
        <v>44</v>
      </c>
      <c r="G19" s="94" t="s">
        <v>58</v>
      </c>
      <c r="J19" s="95">
        <f>SUM('Task metrics - Group A'!C19,'Task metrics - Group A'!E19:I19,'Task metrics - Group A'!AT19:BA19,'Task metrics - Group A'!CK19:CR19)</f>
        <v>12</v>
      </c>
      <c r="K19">
        <f>SUM('Task metrics - Group A'!M19:T19,'Task metrics - Group A'!BD19:BK19,'Task metrics - Group A'!CU19:DB19)</f>
        <v>1837</v>
      </c>
      <c r="L19">
        <f>SUM('Task metrics - Group A'!W19:AD19,'Task metrics - Group A'!BN19:BU19,'Task metrics - Group A'!DE19:DL19)</f>
        <v>78</v>
      </c>
      <c r="M19">
        <f>SUM('Task metrics - Group A'!AQ19,'Task metrics - Group A'!CH19,'Task metrics - Group A'!DY19)</f>
        <v>217.5</v>
      </c>
    </row>
    <row r="20" spans="2:13">
      <c r="B20" s="72">
        <v>15</v>
      </c>
      <c r="C20" s="66" t="s">
        <v>59</v>
      </c>
      <c r="D20" s="67" t="s">
        <v>50</v>
      </c>
      <c r="E20" s="67" t="s">
        <v>46</v>
      </c>
      <c r="F20" s="67" t="s">
        <v>49</v>
      </c>
      <c r="G20" s="94" t="s">
        <v>58</v>
      </c>
      <c r="J20" s="95">
        <f>SUM('Task metrics - Group A'!C20,'Task metrics - Group A'!E20:I20,'Task metrics - Group A'!AT20:BA20,'Task metrics - Group A'!CK20:CR20)</f>
        <v>9.5</v>
      </c>
      <c r="K20">
        <f>SUM('Task metrics - Group A'!M20:T20,'Task metrics - Group A'!BD20:BK20,'Task metrics - Group A'!CU20:DB20)</f>
        <v>1459</v>
      </c>
      <c r="L20">
        <f>SUM('Task metrics - Group A'!W20:AD20,'Task metrics - Group A'!BN20:BU20,'Task metrics - Group A'!DE20:DL20)</f>
        <v>84</v>
      </c>
      <c r="M20">
        <f>SUM('Task metrics - Group A'!AQ20,'Task metrics - Group A'!CH20,'Task metrics - Group A'!DY20)</f>
        <v>255</v>
      </c>
    </row>
    <row r="21" spans="2:13">
      <c r="B21" s="72">
        <v>16</v>
      </c>
      <c r="C21" s="66" t="s">
        <v>54</v>
      </c>
      <c r="D21" s="67" t="s">
        <v>50</v>
      </c>
      <c r="E21" s="67" t="s">
        <v>43</v>
      </c>
      <c r="F21" s="67" t="s">
        <v>44</v>
      </c>
      <c r="G21" s="94" t="s">
        <v>60</v>
      </c>
      <c r="J21" s="95">
        <f>SUM('Task metrics - Group A'!C21,'Task metrics - Group A'!E21:I21,'Task metrics - Group A'!AT21:BA21,'Task metrics - Group A'!CK21:CR21)</f>
        <v>7.5</v>
      </c>
      <c r="K21">
        <f>SUM('Task metrics - Group A'!M21:T21,'Task metrics - Group A'!BD21:BK21,'Task metrics - Group A'!CU21:DB21)</f>
        <v>3777</v>
      </c>
      <c r="L21">
        <f>SUM('Task metrics - Group A'!W21:AD21,'Task metrics - Group A'!BN21:BU21,'Task metrics - Group A'!DE21:DL21)</f>
        <v>62</v>
      </c>
      <c r="M21">
        <f>SUM('Task metrics - Group A'!AQ21,'Task metrics - Group A'!CH21,'Task metrics - Group A'!DY21)</f>
        <v>97.5</v>
      </c>
    </row>
    <row r="22" spans="2:13">
      <c r="B22" s="72">
        <v>17</v>
      </c>
      <c r="C22" s="66" t="s">
        <v>54</v>
      </c>
      <c r="D22" s="67" t="s">
        <v>42</v>
      </c>
      <c r="E22" s="67" t="s">
        <v>43</v>
      </c>
      <c r="F22" s="67" t="s">
        <v>55</v>
      </c>
      <c r="G22" s="94" t="s">
        <v>47</v>
      </c>
      <c r="J22" s="95">
        <f>SUM('Task metrics - Group A'!C22,'Task metrics - Group A'!E22:I22,'Task metrics - Group A'!AT22:BA22,'Task metrics - Group A'!CK22:CR22)</f>
        <v>9</v>
      </c>
      <c r="K22">
        <f>SUM('Task metrics - Group A'!M22:T22,'Task metrics - Group A'!BD22:BK22,'Task metrics - Group A'!CU22:DB22)</f>
        <v>2715</v>
      </c>
      <c r="L22">
        <f>SUM('Task metrics - Group A'!W22:AD22,'Task metrics - Group A'!BN22:BU22,'Task metrics - Group A'!DE22:DL22)</f>
        <v>77</v>
      </c>
      <c r="M22">
        <f>SUM('Task metrics - Group A'!AQ22,'Task metrics - Group A'!CH22,'Task metrics - Group A'!DY22)</f>
        <v>125</v>
      </c>
    </row>
    <row r="23" spans="2:13">
      <c r="B23" s="72">
        <v>18</v>
      </c>
      <c r="C23" s="66" t="s">
        <v>54</v>
      </c>
      <c r="D23" s="67" t="s">
        <v>42</v>
      </c>
      <c r="E23" s="67" t="s">
        <v>46</v>
      </c>
      <c r="F23" s="67" t="s">
        <v>44</v>
      </c>
      <c r="G23" s="94" t="s">
        <v>58</v>
      </c>
      <c r="J23" s="95">
        <f>SUM('Task metrics - Group A'!C23,'Task metrics - Group A'!E23:I23,'Task metrics - Group A'!AT23:BA23,'Task metrics - Group A'!CK23:CR23)</f>
        <v>6.75</v>
      </c>
      <c r="K23">
        <f>SUM('Task metrics - Group A'!M23:T23,'Task metrics - Group A'!BD23:BK23,'Task metrics - Group A'!CU23:DB23)</f>
        <v>3006</v>
      </c>
      <c r="L23">
        <f>SUM('Task metrics - Group A'!W23:AD23,'Task metrics - Group A'!BN23:BU23,'Task metrics - Group A'!DE23:DL23)</f>
        <v>64</v>
      </c>
      <c r="M23">
        <f>SUM('Task metrics - Group A'!AQ23,'Task metrics - Group A'!CH23,'Task metrics - Group A'!DY23)</f>
        <v>207.5</v>
      </c>
    </row>
    <row r="24" spans="2:13">
      <c r="B24" s="72">
        <v>19</v>
      </c>
      <c r="C24" s="66" t="s">
        <v>45</v>
      </c>
      <c r="D24" s="67" t="s">
        <v>42</v>
      </c>
      <c r="E24" s="67" t="s">
        <v>48</v>
      </c>
      <c r="F24" s="67" t="s">
        <v>56</v>
      </c>
      <c r="G24" s="94" t="s">
        <v>58</v>
      </c>
      <c r="J24" s="95">
        <f>SUM('Task metrics - Group A'!C24,'Task metrics - Group A'!E24:I24,'Task metrics - Group A'!AT24:BA24,'Task metrics - Group A'!CK24:CR24)</f>
        <v>10.5</v>
      </c>
      <c r="K24">
        <f>SUM('Task metrics - Group A'!M24:T24,'Task metrics - Group A'!BD24:BK24,'Task metrics - Group A'!CU24:DB24)</f>
        <v>2826</v>
      </c>
      <c r="L24">
        <f>SUM('Task metrics - Group A'!W24:AD24,'Task metrics - Group A'!BN24:BU24,'Task metrics - Group A'!DE24:DL24)</f>
        <v>50</v>
      </c>
      <c r="M24">
        <f>SUM('Task metrics - Group A'!AQ24,'Task metrics - Group A'!CH24,'Task metrics - Group A'!DY24)</f>
        <v>127.5</v>
      </c>
    </row>
    <row r="25" spans="2:13">
      <c r="B25" s="72">
        <v>20</v>
      </c>
      <c r="C25" s="66" t="s">
        <v>59</v>
      </c>
      <c r="D25" s="67" t="s">
        <v>50</v>
      </c>
      <c r="E25" s="67" t="s">
        <v>46</v>
      </c>
      <c r="F25" s="67" t="s">
        <v>49</v>
      </c>
      <c r="G25" s="94" t="s">
        <v>58</v>
      </c>
      <c r="J25" s="95">
        <f>SUM('Task metrics - Group A'!C25,'Task metrics - Group A'!E25:I25,'Task metrics - Group A'!AT25:BA25,'Task metrics - Group A'!CK25:CR25)</f>
        <v>11</v>
      </c>
      <c r="K25">
        <f>SUM('Task metrics - Group A'!M25:T25,'Task metrics - Group A'!BD25:BK25,'Task metrics - Group A'!CU25:DB25)</f>
        <v>1287</v>
      </c>
      <c r="L25">
        <f>SUM('Task metrics - Group A'!W25:AD25,'Task metrics - Group A'!BN25:BU25,'Task metrics - Group A'!DE25:DL25)</f>
        <v>88</v>
      </c>
      <c r="M25">
        <f>SUM('Task metrics - Group A'!AQ25,'Task metrics - Group A'!CH25,'Task metrics - Group A'!DY25)</f>
        <v>185</v>
      </c>
    </row>
    <row r="26" spans="2:13">
      <c r="B26" s="72">
        <v>21</v>
      </c>
      <c r="C26" s="66" t="s">
        <v>52</v>
      </c>
      <c r="D26" s="66" t="s">
        <v>51</v>
      </c>
      <c r="E26" s="67" t="s">
        <v>43</v>
      </c>
      <c r="F26" s="66" t="s">
        <v>56</v>
      </c>
      <c r="G26" s="94" t="s">
        <v>58</v>
      </c>
      <c r="J26" s="95">
        <f>SUM('Task metrics - Group A'!C26,'Task metrics - Group A'!E26:I26,'Task metrics - Group A'!AT26:BA26,'Task metrics - Group A'!CK26:CR26)</f>
        <v>7.5</v>
      </c>
      <c r="K26">
        <f>SUM('Task metrics - Group A'!M26:T26,'Task metrics - Group A'!BD26:BK26,'Task metrics - Group A'!CU26:DB26)</f>
        <v>2436</v>
      </c>
      <c r="L26">
        <f>SUM('Task metrics - Group A'!W26:AD26,'Task metrics - Group A'!BN26:BU26,'Task metrics - Group A'!DE26:DL26)</f>
        <v>73</v>
      </c>
      <c r="M26">
        <f>SUM('Task metrics - Group A'!AQ26,'Task metrics - Group A'!CH26,'Task metrics - Group A'!DY26)</f>
        <v>175</v>
      </c>
    </row>
    <row r="27" spans="2:13">
      <c r="B27" s="72">
        <v>22</v>
      </c>
      <c r="C27" s="66" t="s">
        <v>41</v>
      </c>
      <c r="D27" s="67" t="s">
        <v>50</v>
      </c>
      <c r="E27" s="67" t="s">
        <v>43</v>
      </c>
      <c r="F27" s="67" t="s">
        <v>55</v>
      </c>
      <c r="G27" s="94" t="s">
        <v>60</v>
      </c>
      <c r="J27" s="95">
        <f>SUM('Task metrics - Group A'!C27,'Task metrics - Group A'!E27:I27,'Task metrics - Group A'!AT27:BA27,'Task metrics - Group A'!CK27:CR27)</f>
        <v>4.8</v>
      </c>
      <c r="K27">
        <f>SUM('Task metrics - Group A'!M27:T27,'Task metrics - Group A'!BD27:BK27,'Task metrics - Group A'!CU27:DB27)</f>
        <v>2019</v>
      </c>
      <c r="L27">
        <f>SUM('Task metrics - Group A'!W27:AD27,'Task metrics - Group A'!BN27:BU27,'Task metrics - Group A'!DE27:DL27)</f>
        <v>81</v>
      </c>
      <c r="M27">
        <f>SUM('Task metrics - Group A'!AQ27,'Task metrics - Group A'!CH27,'Task metrics - Group A'!DY27)</f>
        <v>145</v>
      </c>
    </row>
    <row r="28" spans="2:13">
      <c r="B28" s="72">
        <v>23</v>
      </c>
      <c r="C28" s="66" t="s">
        <v>54</v>
      </c>
      <c r="D28" s="66" t="s">
        <v>50</v>
      </c>
      <c r="E28" s="66" t="s">
        <v>48</v>
      </c>
      <c r="F28" s="67" t="s">
        <v>49</v>
      </c>
      <c r="G28" s="94" t="s">
        <v>58</v>
      </c>
      <c r="J28" s="95">
        <f>SUM('Task metrics - Group A'!C28,'Task metrics - Group A'!E28:I28,'Task metrics - Group A'!AT28:BA28,'Task metrics - Group A'!CK28:CR28)</f>
        <v>4</v>
      </c>
      <c r="K28">
        <f>SUM('Task metrics - Group A'!M28:T28,'Task metrics - Group A'!BD28:BK28,'Task metrics - Group A'!CU28:DB28)</f>
        <v>2162</v>
      </c>
      <c r="L28">
        <f>SUM('Task metrics - Group A'!W28:AD28,'Task metrics - Group A'!BN28:BU28,'Task metrics - Group A'!DE28:DL28)</f>
        <v>69</v>
      </c>
      <c r="M28">
        <f>SUM('Task metrics - Group A'!AQ28,'Task metrics - Group A'!CH28,'Task metrics - Group A'!DY28)</f>
        <v>175</v>
      </c>
    </row>
    <row r="29" spans="2:13">
      <c r="B29" s="72">
        <v>24</v>
      </c>
      <c r="C29" s="66" t="s">
        <v>59</v>
      </c>
      <c r="D29" s="66" t="s">
        <v>53</v>
      </c>
      <c r="E29" s="66" t="s">
        <v>48</v>
      </c>
      <c r="F29" s="67" t="s">
        <v>55</v>
      </c>
      <c r="G29" s="94" t="s">
        <v>58</v>
      </c>
      <c r="J29" s="95">
        <f>SUM('Task metrics - Group A'!C29,'Task metrics - Group A'!E29:I29,'Task metrics - Group A'!AT29:BA29,'Task metrics - Group A'!CK29:CR29)</f>
        <v>14.75</v>
      </c>
      <c r="K29">
        <f>SUM('Task metrics - Group A'!M29:T29,'Task metrics - Group A'!BD29:BK29,'Task metrics - Group A'!CU29:DB29)</f>
        <v>2918</v>
      </c>
      <c r="L29">
        <f>SUM('Task metrics - Group A'!W29:AD29,'Task metrics - Group A'!BN29:BU29,'Task metrics - Group A'!DE29:DL29)</f>
        <v>90</v>
      </c>
      <c r="M29">
        <f>SUM('Task metrics - Group A'!AQ29,'Task metrics - Group A'!CH29,'Task metrics - Group A'!DY29)</f>
        <v>252.5</v>
      </c>
    </row>
    <row r="30" spans="2:13">
      <c r="B30" s="72">
        <v>25</v>
      </c>
      <c r="C30" s="66" t="s">
        <v>54</v>
      </c>
      <c r="D30" s="66" t="s">
        <v>50</v>
      </c>
      <c r="E30" s="66" t="s">
        <v>43</v>
      </c>
      <c r="F30" s="67" t="s">
        <v>49</v>
      </c>
      <c r="G30" s="94" t="s">
        <v>58</v>
      </c>
      <c r="J30" s="95">
        <f>SUM('Task metrics - Group A'!C30,'Task metrics - Group A'!E30:I30,'Task metrics - Group A'!AT30:BA30,'Task metrics - Group A'!CK30:CR30)</f>
        <v>3</v>
      </c>
      <c r="K30">
        <f>SUM('Task metrics - Group A'!M30:T30,'Task metrics - Group A'!BD30:BK30,'Task metrics - Group A'!CU30:DB30)</f>
        <v>3212</v>
      </c>
      <c r="L30">
        <f>SUM('Task metrics - Group A'!W30:AD30,'Task metrics - Group A'!BN30:BU30,'Task metrics - Group A'!DE30:DL30)</f>
        <v>36</v>
      </c>
      <c r="M30">
        <f>SUM('Task metrics - Group A'!AQ30,'Task metrics - Group A'!CH30,'Task metrics - Group A'!DY30)</f>
        <v>40</v>
      </c>
    </row>
    <row r="31" spans="2:13">
      <c r="B31" s="72">
        <v>26</v>
      </c>
      <c r="C31" s="66" t="s">
        <v>59</v>
      </c>
      <c r="D31" s="66" t="s">
        <v>50</v>
      </c>
      <c r="E31" s="66" t="s">
        <v>46</v>
      </c>
      <c r="F31" s="66" t="s">
        <v>49</v>
      </c>
      <c r="G31" s="94" t="s">
        <v>58</v>
      </c>
      <c r="J31" s="95">
        <f>SUM('Task metrics - Group A'!C31,'Task metrics - Group A'!E31:I31,'Task metrics - Group A'!AT31:BA31,'Task metrics - Group A'!CK31:CR31)</f>
        <v>7.75</v>
      </c>
      <c r="K31">
        <f>SUM('Task metrics - Group A'!M31:T31,'Task metrics - Group A'!BD31:BK31,'Task metrics - Group A'!CU31:DB31)</f>
        <v>1674</v>
      </c>
      <c r="L31">
        <f>SUM('Task metrics - Group A'!W31:AD31,'Task metrics - Group A'!BN31:BU31,'Task metrics - Group A'!DE31:DL31)</f>
        <v>70</v>
      </c>
      <c r="M31">
        <f>SUM('Task metrics - Group A'!AQ31,'Task metrics - Group A'!CH31,'Task metrics - Group A'!DY31)</f>
        <v>195</v>
      </c>
    </row>
    <row r="32" spans="2:13">
      <c r="B32" s="72">
        <v>27</v>
      </c>
      <c r="C32" s="66" t="s">
        <v>41</v>
      </c>
      <c r="D32" s="66" t="s">
        <v>50</v>
      </c>
      <c r="E32" s="66" t="s">
        <v>43</v>
      </c>
      <c r="F32" s="66" t="s">
        <v>55</v>
      </c>
      <c r="G32" s="94" t="s">
        <v>58</v>
      </c>
      <c r="J32" s="95">
        <f>SUM('Task metrics - Group A'!C32,'Task metrics - Group A'!E32:I32,'Task metrics - Group A'!AT32:BA32,'Task metrics - Group A'!CK32:CR32)</f>
        <v>5.25</v>
      </c>
      <c r="K32">
        <f>SUM('Task metrics - Group A'!M32:T32,'Task metrics - Group A'!BD32:BK32,'Task metrics - Group A'!CU32:DB32)</f>
        <v>2750</v>
      </c>
      <c r="L32">
        <f>SUM('Task metrics - Group A'!W32:AD32,'Task metrics - Group A'!BN32:BU32,'Task metrics - Group A'!DE32:DL32)</f>
        <v>63</v>
      </c>
      <c r="M32">
        <f>SUM('Task metrics - Group A'!AQ32,'Task metrics - Group A'!CH32,'Task metrics - Group A'!DY32)</f>
        <v>82.5</v>
      </c>
    </row>
    <row r="33" spans="2:13">
      <c r="B33" s="72">
        <v>28</v>
      </c>
      <c r="C33" s="66" t="s">
        <v>45</v>
      </c>
      <c r="D33" s="69" t="s">
        <v>50</v>
      </c>
      <c r="E33" s="66" t="s">
        <v>43</v>
      </c>
      <c r="F33" s="67" t="s">
        <v>49</v>
      </c>
      <c r="G33" s="94" t="s">
        <v>58</v>
      </c>
      <c r="J33" s="95">
        <f>SUM('Task metrics - Group A'!C33,'Task metrics - Group A'!E33:I33,'Task metrics - Group A'!AT33:BA33,'Task metrics - Group A'!CK33:CR33)</f>
        <v>5</v>
      </c>
      <c r="K33">
        <f>SUM('Task metrics - Group A'!M33:T33,'Task metrics - Group A'!BD33:BK33,'Task metrics - Group A'!CU33:DB33)</f>
        <v>1980</v>
      </c>
      <c r="L33">
        <f>SUM('Task metrics - Group A'!W33:AD33,'Task metrics - Group A'!BN33:BU33,'Task metrics - Group A'!DE33:DL33)</f>
        <v>63</v>
      </c>
      <c r="M33">
        <f>SUM('Task metrics - Group A'!AQ33,'Task metrics - Group A'!CH33,'Task metrics - Group A'!DY33)</f>
        <v>35</v>
      </c>
    </row>
    <row r="34" spans="2:13">
      <c r="B34" s="72">
        <v>29</v>
      </c>
      <c r="C34" s="66" t="s">
        <v>54</v>
      </c>
      <c r="D34" s="66" t="s">
        <v>42</v>
      </c>
      <c r="E34" s="66" t="s">
        <v>48</v>
      </c>
      <c r="F34" s="66" t="s">
        <v>49</v>
      </c>
      <c r="G34" s="94" t="s">
        <v>58</v>
      </c>
      <c r="J34" s="95">
        <f>SUM('Task metrics - Group A'!C34,'Task metrics - Group A'!E34:I34,'Task metrics - Group A'!AT34:BA34,'Task metrics - Group A'!CK34:CR34)</f>
        <v>8.25</v>
      </c>
      <c r="K34">
        <f>SUM('Task metrics - Group A'!M34:T34,'Task metrics - Group A'!BD34:BK34,'Task metrics - Group A'!CU34:DB34)</f>
        <v>2710</v>
      </c>
      <c r="L34">
        <f>SUM('Task metrics - Group A'!W34:AD34,'Task metrics - Group A'!BN34:BU34,'Task metrics - Group A'!DE34:DL34)</f>
        <v>68</v>
      </c>
      <c r="M34">
        <f>SUM('Task metrics - Group A'!AQ34,'Task metrics - Group A'!CH34,'Task metrics - Group A'!DY34)</f>
        <v>182.5</v>
      </c>
    </row>
    <row r="35" spans="2:13">
      <c r="B35" s="72">
        <v>30</v>
      </c>
      <c r="C35" s="66" t="s">
        <v>57</v>
      </c>
      <c r="D35" s="66" t="s">
        <v>51</v>
      </c>
      <c r="E35" s="66" t="s">
        <v>46</v>
      </c>
      <c r="F35" s="66" t="s">
        <v>55</v>
      </c>
      <c r="G35" s="94" t="s">
        <v>58</v>
      </c>
      <c r="J35" s="95">
        <f>SUM('Task metrics - Group A'!C35,'Task metrics - Group A'!E35:I35,'Task metrics - Group A'!AT35:BA35,'Task metrics - Group A'!CK35:CR35)</f>
        <v>13</v>
      </c>
      <c r="K35">
        <f>SUM('Task metrics - Group A'!M35:T35,'Task metrics - Group A'!BD35:BK35,'Task metrics - Group A'!CU35:DB35)</f>
        <v>1902</v>
      </c>
      <c r="L35">
        <f>SUM('Task metrics - Group A'!W35:AD35,'Task metrics - Group A'!BN35:BU35,'Task metrics - Group A'!DE35:DL35)</f>
        <v>90</v>
      </c>
      <c r="M35">
        <f>SUM('Task metrics - Group A'!AQ35,'Task metrics - Group A'!CH35,'Task metrics - Group A'!DY35)</f>
        <v>170</v>
      </c>
    </row>
    <row r="36" spans="2:13">
      <c r="B36" s="72">
        <v>31</v>
      </c>
      <c r="C36" s="66" t="s">
        <v>41</v>
      </c>
      <c r="D36" s="66" t="s">
        <v>42</v>
      </c>
      <c r="E36" s="66" t="s">
        <v>48</v>
      </c>
      <c r="F36" s="66" t="s">
        <v>56</v>
      </c>
      <c r="G36" s="94" t="s">
        <v>58</v>
      </c>
      <c r="J36" s="95">
        <f>SUM('Task metrics - Group A'!C36,'Task metrics - Group A'!E36:I36,'Task metrics - Group A'!AT36:BA36,'Task metrics - Group A'!CK36:CR36)</f>
        <v>6.5</v>
      </c>
      <c r="K36">
        <f>SUM('Task metrics - Group A'!M36:T36,'Task metrics - Group A'!BD36:BK36,'Task metrics - Group A'!CU36:DB36)</f>
        <v>3681</v>
      </c>
      <c r="L36">
        <f>SUM('Task metrics - Group A'!W36:AD36,'Task metrics - Group A'!BN36:BU36,'Task metrics - Group A'!DE36:DL36)</f>
        <v>50</v>
      </c>
      <c r="M36">
        <f>SUM('Task metrics - Group A'!AQ36,'Task metrics - Group A'!CH36,'Task metrics - Group A'!DY36)</f>
        <v>132.5</v>
      </c>
    </row>
    <row r="37" spans="2:13">
      <c r="B37" s="72">
        <v>32</v>
      </c>
      <c r="C37" s="66" t="s">
        <v>45</v>
      </c>
      <c r="D37" s="67" t="s">
        <v>42</v>
      </c>
      <c r="E37" s="66" t="s">
        <v>43</v>
      </c>
      <c r="F37" s="66" t="s">
        <v>44</v>
      </c>
      <c r="G37" s="94" t="s">
        <v>58</v>
      </c>
      <c r="J37" s="95">
        <f>SUM('Task metrics - Group A'!C37,'Task metrics - Group A'!E37:I37,'Task metrics - Group A'!AT37:BA37,'Task metrics - Group A'!CK37:CR37)</f>
        <v>5.5</v>
      </c>
      <c r="K37">
        <f>SUM('Task metrics - Group A'!M37:T37,'Task metrics - Group A'!BD37:BK37,'Task metrics - Group A'!CU37:DB37)</f>
        <v>3126</v>
      </c>
      <c r="L37">
        <f>SUM('Task metrics - Group A'!W37:AD37,'Task metrics - Group A'!BN37:BU37,'Task metrics - Group A'!DE37:DL37)</f>
        <v>74</v>
      </c>
      <c r="M37">
        <f>SUM('Task metrics - Group A'!AQ37,'Task metrics - Group A'!CH37,'Task metrics - Group A'!DY37)</f>
        <v>137.5</v>
      </c>
    </row>
    <row r="38" spans="2:13">
      <c r="B38" s="72">
        <v>33</v>
      </c>
      <c r="C38" s="66" t="s">
        <v>52</v>
      </c>
      <c r="D38" s="67" t="s">
        <v>42</v>
      </c>
      <c r="E38" s="67" t="s">
        <v>62</v>
      </c>
      <c r="F38" s="67" t="s">
        <v>49</v>
      </c>
      <c r="G38" s="94" t="s">
        <v>47</v>
      </c>
      <c r="J38" s="95">
        <f>SUM('Task metrics - Group A'!C38,'Task metrics - Group A'!E38:I38,'Task metrics - Group A'!AT38:BA38,'Task metrics - Group A'!CK38:CR38)</f>
        <v>4.75</v>
      </c>
      <c r="K38">
        <f>SUM('Task metrics - Group A'!M38:T38,'Task metrics - Group A'!BD38:BK38,'Task metrics - Group A'!CU38:DB38)</f>
        <v>2408</v>
      </c>
      <c r="L38">
        <f>SUM('Task metrics - Group A'!W38:AD38,'Task metrics - Group A'!BN38:BU38,'Task metrics - Group A'!DE38:DL38)</f>
        <v>79</v>
      </c>
      <c r="M38">
        <f>SUM('Task metrics - Group A'!AQ38,'Task metrics - Group A'!CH38,'Task metrics - Group A'!DY38)</f>
        <v>142.5</v>
      </c>
    </row>
    <row r="39" spans="2:13">
      <c r="B39" s="72">
        <v>34</v>
      </c>
      <c r="C39" s="66" t="s">
        <v>41</v>
      </c>
      <c r="D39" s="67" t="s">
        <v>51</v>
      </c>
      <c r="E39" s="67" t="s">
        <v>46</v>
      </c>
      <c r="F39" s="67" t="s">
        <v>44</v>
      </c>
      <c r="G39" s="94" t="s">
        <v>58</v>
      </c>
      <c r="J39" s="95">
        <f>SUM('Task metrics - Group A'!C39,'Task metrics - Group A'!E39:I39,'Task metrics - Group A'!AT39:BA39,'Task metrics - Group A'!CK39:CR39)</f>
        <v>12.25</v>
      </c>
      <c r="K39">
        <f>SUM('Task metrics - Group A'!M39:T39,'Task metrics - Group A'!BD39:BK39,'Task metrics - Group A'!CU39:DB39)</f>
        <v>2860</v>
      </c>
      <c r="L39">
        <f>SUM('Task metrics - Group A'!W39:AD39,'Task metrics - Group A'!BN39:BU39,'Task metrics - Group A'!DE39:DL39)</f>
        <v>62</v>
      </c>
      <c r="M39">
        <f>SUM('Task metrics - Group A'!AQ39,'Task metrics - Group A'!CH39,'Task metrics - Group A'!DY39)</f>
        <v>135</v>
      </c>
    </row>
    <row r="40" spans="2:13">
      <c r="B40" s="72">
        <v>35</v>
      </c>
      <c r="C40" s="66" t="s">
        <v>52</v>
      </c>
      <c r="D40" s="66" t="s">
        <v>51</v>
      </c>
      <c r="E40" s="67" t="s">
        <v>48</v>
      </c>
      <c r="F40" s="67" t="s">
        <v>49</v>
      </c>
      <c r="G40" s="94" t="s">
        <v>58</v>
      </c>
      <c r="J40" s="95">
        <f>SUM('Task metrics - Group A'!C40,'Task metrics - Group A'!E40:I40,'Task metrics - Group A'!AT40:BA40,'Task metrics - Group A'!CK40:CR40)</f>
        <v>6.75</v>
      </c>
      <c r="K40">
        <f>SUM('Task metrics - Group A'!M40:T40,'Task metrics - Group A'!BD40:BK40,'Task metrics - Group A'!CU40:DB40)</f>
        <v>3502</v>
      </c>
      <c r="L40">
        <f>SUM('Task metrics - Group A'!W40:AD40,'Task metrics - Group A'!BN40:BU40,'Task metrics - Group A'!DE40:DL40)</f>
        <v>75</v>
      </c>
      <c r="M40">
        <f>SUM('Task metrics - Group A'!AQ40,'Task metrics - Group A'!CH40,'Task metrics - Group A'!DY40)</f>
        <v>165</v>
      </c>
    </row>
    <row r="41" spans="2:13">
      <c r="B41" s="73">
        <v>36</v>
      </c>
      <c r="C41" s="66" t="s">
        <v>41</v>
      </c>
      <c r="D41" s="66" t="s">
        <v>51</v>
      </c>
      <c r="E41" s="66" t="s">
        <v>43</v>
      </c>
      <c r="F41" s="66" t="s">
        <v>44</v>
      </c>
      <c r="G41" s="94" t="s">
        <v>58</v>
      </c>
      <c r="J41" s="95">
        <f>SUM('Task metrics - Group A'!C41,'Task metrics - Group A'!E41:I41,'Task metrics - Group A'!AT41:BA41,'Task metrics - Group A'!CK41:CR41)</f>
        <v>7.5</v>
      </c>
      <c r="K41">
        <f>SUM('Task metrics - Group A'!M41:T41,'Task metrics - Group A'!BD41:BK41,'Task metrics - Group A'!CU41:DB41)</f>
        <v>3749</v>
      </c>
      <c r="L41">
        <f>SUM('Task metrics - Group A'!W41:AD41,'Task metrics - Group A'!BN41:BU41,'Task metrics - Group A'!DE41:DL41)</f>
        <v>60</v>
      </c>
      <c r="M41">
        <f>SUM('Task metrics - Group A'!AQ41,'Task metrics - Group A'!CH41,'Task metrics - Group A'!DY41)</f>
        <v>100</v>
      </c>
    </row>
  </sheetData>
  <mergeCells count="1">
    <mergeCell ref="J3:M3"/>
  </mergeCells>
  <pageMargins left="0.7" right="0.7" top="0.75" bottom="0.75" header="0.3" footer="0.3"/>
  <pageSetup paperSize="9" orientation="portrait" horizontalDpi="0" verticalDpi="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48576"/>
  <sheetViews>
    <sheetView topLeftCell="N1" zoomScale="90" zoomScaleNormal="90" workbookViewId="0">
      <selection activeCell="V3" sqref="V3:AP3"/>
    </sheetView>
  </sheetViews>
  <sheetFormatPr defaultRowHeight="15"/>
  <cols>
    <col min="1" max="1" width="28.5703125" bestFit="1" customWidth="1"/>
    <col min="2" max="2" width="9.42578125" customWidth="1"/>
    <col min="3" max="3" width="9.5703125" customWidth="1"/>
    <col min="10" max="10" width="9.5703125" customWidth="1"/>
    <col min="12" max="12" width="9.42578125" customWidth="1"/>
    <col min="13" max="13" width="9.5703125" customWidth="1"/>
    <col min="20" max="20" width="9.5703125" customWidth="1"/>
    <col min="22" max="22" width="9.42578125" customWidth="1"/>
    <col min="23" max="23" width="9.5703125" customWidth="1"/>
    <col min="30" max="30" width="9.5703125" customWidth="1"/>
    <col min="31" max="41" width="0" hidden="1" customWidth="1"/>
  </cols>
  <sheetData>
    <row r="1" spans="1:47" ht="28.5">
      <c r="A1" s="125" t="s">
        <v>194</v>
      </c>
      <c r="B1" s="126"/>
      <c r="C1" s="126"/>
      <c r="D1" s="126"/>
      <c r="E1" s="126"/>
      <c r="F1" s="126"/>
      <c r="G1" s="126"/>
      <c r="H1" s="126"/>
      <c r="I1" s="126"/>
      <c r="J1" s="126"/>
    </row>
    <row r="3" spans="1:47" ht="28.5">
      <c r="A3" s="159" t="s">
        <v>8</v>
      </c>
      <c r="B3" s="159"/>
      <c r="C3" s="159"/>
      <c r="D3" s="159"/>
      <c r="E3" s="159"/>
      <c r="F3" s="159"/>
      <c r="G3" s="159"/>
      <c r="H3" s="159"/>
      <c r="I3" s="159"/>
      <c r="J3" s="159"/>
      <c r="L3" s="159" t="s">
        <v>125</v>
      </c>
      <c r="M3" s="159"/>
      <c r="N3" s="159"/>
      <c r="O3" s="159"/>
      <c r="P3" s="159"/>
      <c r="Q3" s="159"/>
      <c r="R3" s="159"/>
      <c r="S3" s="159"/>
      <c r="T3" s="159"/>
      <c r="V3" s="159" t="s">
        <v>10</v>
      </c>
      <c r="W3" s="159"/>
      <c r="X3" s="159"/>
      <c r="Y3" s="159"/>
      <c r="Z3" s="159"/>
      <c r="AA3" s="159"/>
      <c r="AB3" s="159"/>
      <c r="AC3" s="159"/>
      <c r="AD3" s="159"/>
      <c r="AE3" s="159"/>
      <c r="AF3" s="159"/>
      <c r="AG3" s="159"/>
      <c r="AH3" s="159"/>
      <c r="AI3" s="159"/>
      <c r="AJ3" s="159"/>
      <c r="AK3" s="159"/>
      <c r="AL3" s="159"/>
      <c r="AM3" s="159"/>
      <c r="AN3" s="159"/>
      <c r="AO3" s="159"/>
      <c r="AP3" s="159"/>
    </row>
    <row r="4" spans="1:47">
      <c r="A4" t="s">
        <v>114</v>
      </c>
      <c r="B4" s="47" t="s">
        <v>27</v>
      </c>
      <c r="C4" s="47" t="s">
        <v>28</v>
      </c>
      <c r="D4" s="47" t="s">
        <v>2</v>
      </c>
      <c r="E4" s="47" t="s">
        <v>3</v>
      </c>
      <c r="F4" s="47" t="s">
        <v>4</v>
      </c>
      <c r="G4" s="47" t="s">
        <v>5</v>
      </c>
      <c r="H4" s="47" t="s">
        <v>6</v>
      </c>
      <c r="I4" s="47" t="s">
        <v>7</v>
      </c>
      <c r="J4" s="47" t="s">
        <v>31</v>
      </c>
      <c r="L4" s="47" t="s">
        <v>27</v>
      </c>
      <c r="M4" s="47" t="s">
        <v>28</v>
      </c>
      <c r="N4" s="47" t="s">
        <v>2</v>
      </c>
      <c r="O4" s="47" t="s">
        <v>3</v>
      </c>
      <c r="P4" s="47" t="s">
        <v>4</v>
      </c>
      <c r="Q4" s="47" t="s">
        <v>5</v>
      </c>
      <c r="R4" s="47" t="s">
        <v>6</v>
      </c>
      <c r="S4" s="47" t="s">
        <v>7</v>
      </c>
      <c r="T4" s="47" t="s">
        <v>31</v>
      </c>
      <c r="V4" s="47" t="s">
        <v>27</v>
      </c>
      <c r="W4" s="47" t="s">
        <v>28</v>
      </c>
      <c r="X4" s="47" t="s">
        <v>2</v>
      </c>
      <c r="Y4" s="47" t="s">
        <v>3</v>
      </c>
      <c r="Z4" s="47" t="s">
        <v>4</v>
      </c>
      <c r="AA4" s="47" t="s">
        <v>5</v>
      </c>
      <c r="AB4" s="47" t="s">
        <v>6</v>
      </c>
      <c r="AC4" s="47" t="s">
        <v>7</v>
      </c>
      <c r="AD4" s="47" t="s">
        <v>31</v>
      </c>
      <c r="AE4" t="s">
        <v>114</v>
      </c>
      <c r="AF4" t="s">
        <v>132</v>
      </c>
      <c r="AG4" t="s">
        <v>138</v>
      </c>
      <c r="AH4" t="s">
        <v>139</v>
      </c>
      <c r="AI4" t="s">
        <v>140</v>
      </c>
      <c r="AJ4" t="s">
        <v>141</v>
      </c>
      <c r="AK4" t="s">
        <v>142</v>
      </c>
      <c r="AL4" t="s">
        <v>143</v>
      </c>
      <c r="AM4" t="s">
        <v>144</v>
      </c>
      <c r="AN4" t="s">
        <v>145</v>
      </c>
      <c r="AO4" t="s">
        <v>146</v>
      </c>
      <c r="AP4" s="47" t="s">
        <v>12</v>
      </c>
    </row>
    <row r="5" spans="1:47">
      <c r="A5" s="96" t="s">
        <v>116</v>
      </c>
      <c r="B5" s="95">
        <f>AVERAGEIF('Profiles - Group A '!$E$6:$E$41, "Non-Smart", 'Task metrics - Group A'!AT$6:AT$41)</f>
        <v>0.16071428571428573</v>
      </c>
      <c r="C5" s="95">
        <f>AVERAGEIF('Profiles - Group A '!$E$6:$E$41, "Non-Smart", 'Task metrics - Group A'!AU$6:AU$41)</f>
        <v>0.41428571428571426</v>
      </c>
      <c r="D5" s="95">
        <f>AVERAGEIF('Profiles - Group A '!$E$6:$E$41, "Non-Smart", 'Task metrics - Group A'!AV$6:AV$41)</f>
        <v>0.25</v>
      </c>
      <c r="E5" s="95">
        <f>AVERAGEIF('Profiles - Group A '!$E$6:$E$41, "Non-Smart", 'Task metrics - Group A'!AW$6:AW$41)</f>
        <v>0.7142857142857143</v>
      </c>
      <c r="F5" s="95">
        <f>AVERAGEIF('Profiles - Group A '!$E$6:$E$41, "Non-Smart", 'Task metrics - Group A'!AX$6:AX$41)</f>
        <v>0.21428571428571427</v>
      </c>
      <c r="G5" s="95">
        <f>AVERAGEIF('Profiles - Group A '!$E$6:$E$41, "Non-Smart", 'Task metrics - Group A'!AY$6:AY$41)</f>
        <v>0.5178571428571429</v>
      </c>
      <c r="H5" s="95">
        <f>AVERAGEIF('Profiles - Group A '!$E$6:$E$41, "Non-Smart", 'Task metrics - Group A'!AZ$6:AZ$41)</f>
        <v>0.2857142857142857</v>
      </c>
      <c r="I5" s="95">
        <f>AVERAGEIF('Profiles - Group A '!$E$6:$E$41, "Non-Smart", 'Task metrics - Group A'!BA$6:BA$41)</f>
        <v>0.9464285714285714</v>
      </c>
      <c r="J5" s="95">
        <f>AVERAGE(B5:I5)</f>
        <v>0.43794642857142851</v>
      </c>
      <c r="K5" s="96"/>
      <c r="L5" s="95">
        <f>AVERAGEIF('Profiles - Group A '!$E$6:$E$41, "Non-Smart", 'Task Time Calcs - Group A'!L$6:L$41)</f>
        <v>237.88888888888889</v>
      </c>
      <c r="M5" s="95">
        <f>AVERAGEIF('Profiles - Group A '!$E$6:$E$41, "Non-Smart", 'Task Time Calcs - Group A'!M$6:M$41)</f>
        <v>147.54545454545453</v>
      </c>
      <c r="N5" s="95">
        <f>AVERAGEIF('Profiles - Group A '!$E$6:$E$41, "Non-Smart", 'Task Time Calcs - Group A'!N$6:N$41)</f>
        <v>111.375</v>
      </c>
      <c r="O5" s="95">
        <f>AVERAGEIF('Profiles - Group A '!$E$6:$E$41, "Non-Smart", 'Task Time Calcs - Group A'!O$6:O$41)</f>
        <v>67.900000000000006</v>
      </c>
      <c r="P5" s="95">
        <f>AVERAGEIF('Profiles - Group A '!$E$6:$E$41, "Non-Smart", 'Task Time Calcs - Group A'!P$6:P$41)</f>
        <v>133.33333333333334</v>
      </c>
      <c r="Q5" s="95">
        <f>AVERAGEIF('Profiles - Group A '!$E$6:$E$41, "Non-Smart", 'Task Time Calcs - Group A'!Q$6:Q$41)</f>
        <v>44.5</v>
      </c>
      <c r="R5" s="95">
        <f>AVERAGEIF('Profiles - Group A '!$E$6:$E$41, "Non-Smart", 'Task Time Calcs - Group A'!R$6:R$41)</f>
        <v>121.25</v>
      </c>
      <c r="S5" s="95">
        <f>AVERAGEIF('Profiles - Group A '!$E$6:$E$41, "Non-Smart", 'Task Time Calcs - Group A'!S$6:S$41)</f>
        <v>54.357142857142854</v>
      </c>
      <c r="T5" s="95">
        <f>AVERAGE(L5:S5)</f>
        <v>114.76872745310246</v>
      </c>
      <c r="V5" s="95">
        <f>AVERAGEIF('Profiles - Group A '!$E$6:$E$41, "Non-Smart", 'Task metrics - Group A'!BN$6:BN$41)</f>
        <v>2.4285714285714284</v>
      </c>
      <c r="W5" s="95">
        <f>AVERAGEIF('Profiles - Group A '!$E$6:$E$41, "Non-Smart", 'Task metrics - Group A'!BO$6:BO$41)</f>
        <v>3.2142857142857144</v>
      </c>
      <c r="X5" s="95">
        <f>AVERAGEIF('Profiles - Group A '!$E$6:$E$41, "Non-Smart", 'Task metrics - Group A'!BP$6:BP$41)</f>
        <v>2.5714285714285716</v>
      </c>
      <c r="Y5" s="95">
        <f>AVERAGEIF('Profiles - Group A '!$E$6:$E$41, "Non-Smart", 'Task metrics - Group A'!BQ$6:BQ$41)</f>
        <v>2.4285714285714284</v>
      </c>
      <c r="Z5" s="95">
        <f>AVERAGEIF('Profiles - Group A '!$E$6:$E$41, "Non-Smart", 'Task metrics - Group A'!BR$6:BR$41)</f>
        <v>2.9285714285714284</v>
      </c>
      <c r="AA5" s="95">
        <f>AVERAGEIF('Profiles - Group A '!$E$6:$E$41, "Non-Smart", 'Task metrics - Group A'!BS$6:BS$41)</f>
        <v>3.4285714285714284</v>
      </c>
      <c r="AB5" s="95">
        <f>AVERAGEIF('Profiles - Group A '!$E$6:$E$41, "Non-Smart", 'Task metrics - Group A'!BT$6:BT$41)</f>
        <v>2.3571428571428572</v>
      </c>
      <c r="AC5" s="95">
        <f>AVERAGEIF('Profiles - Group A '!$E$6:$E$41, "Non-Smart", 'Task metrics - Group A'!BU$6:BU$41)</f>
        <v>4.4285714285714288</v>
      </c>
      <c r="AD5" s="95">
        <f>AVERAGE(V5:AC5)</f>
        <v>2.9732142857142856</v>
      </c>
      <c r="AP5" s="95">
        <f>AVERAGEIF('Profiles - Group A '!$E$6:$E$41, "Non-Smart", 'Task metrics - Group A'!CH$6:CH$41)</f>
        <v>38.392857142857146</v>
      </c>
    </row>
    <row r="6" spans="1:47">
      <c r="A6" s="96" t="s">
        <v>115</v>
      </c>
      <c r="B6" s="95">
        <f>AVERAGEIF('Profiles - Group A '!$E$6:$E$41, "&lt;&gt;Non-Smart", 'Task metrics - Group A'!AT$6:AT$41)</f>
        <v>0.18181818181818182</v>
      </c>
      <c r="C6" s="95">
        <f>AVERAGEIF('Profiles - Group A '!$E$6:$E$41, "&lt;&gt;Non-Smart", 'Task metrics - Group A'!AU$6:AU$41)</f>
        <v>0.45454545454545453</v>
      </c>
      <c r="D6" s="95">
        <f>AVERAGEIF('Profiles - Group A '!$E$6:$E$41, "&lt;&gt;Non-Smart", 'Task metrics - Group A'!AV$6:AV$41)</f>
        <v>0.39772727272727271</v>
      </c>
      <c r="E6" s="95">
        <f>AVERAGEIF('Profiles - Group A '!$E$6:$E$41, "&lt;&gt;Non-Smart", 'Task metrics - Group A'!AW$6:AW$41)</f>
        <v>0.78409090909090906</v>
      </c>
      <c r="F6" s="95">
        <f>AVERAGEIF('Profiles - Group A '!$E$6:$E$41, "&lt;&gt;Non-Smart", 'Task metrics - Group A'!AX$6:AX$41)</f>
        <v>0.375</v>
      </c>
      <c r="G6" s="95">
        <f>AVERAGEIF('Profiles - Group A '!$E$6:$E$41, "&lt;&gt;Non-Smart", 'Task metrics - Group A'!AY$6:AY$41)</f>
        <v>0.56818181818181823</v>
      </c>
      <c r="H6" s="95">
        <f>AVERAGEIF('Profiles - Group A '!$E$6:$E$41, "&lt;&gt;Non-Smart", 'Task metrics - Group A'!AZ$6:AZ$41)</f>
        <v>0.31818181818181818</v>
      </c>
      <c r="I6" s="95">
        <f>AVERAGEIF('Profiles - Group A '!$E$6:$E$41, "&lt;&gt;Non-Smart", 'Task metrics - Group A'!BA$6:BA$41)</f>
        <v>0.96590909090909094</v>
      </c>
      <c r="J6" s="95">
        <f>AVERAGE(B6:I6)</f>
        <v>0.50568181818181823</v>
      </c>
      <c r="K6" s="96"/>
      <c r="L6" s="95">
        <f>AVERAGEIF('Profiles - Group A '!$E$6:$E$41, "&lt;&gt;Non-Smart", 'Task Time Calcs - Group A'!L$6:L$41)</f>
        <v>192.30769230769232</v>
      </c>
      <c r="M6" s="95">
        <f>AVERAGEIF('Profiles - Group A '!$E$6:$E$41, "&lt;&gt;Non-Smart", 'Task Time Calcs - Group A'!M$6:M$41)</f>
        <v>91.6875</v>
      </c>
      <c r="N6" s="95">
        <f>AVERAGEIF('Profiles - Group A '!$E$6:$E$41, "&lt;&gt;Non-Smart", 'Task Time Calcs - Group A'!N$6:N$41)</f>
        <v>117.42857142857143</v>
      </c>
      <c r="O6" s="95">
        <f>AVERAGEIF('Profiles - Group A '!$E$6:$E$41, "&lt;&gt;Non-Smart", 'Task Time Calcs - Group A'!O$6:O$41)</f>
        <v>46.277777777777779</v>
      </c>
      <c r="P6" s="95">
        <f>AVERAGEIF('Profiles - Group A '!$E$6:$E$41, "&lt;&gt;Non-Smart", 'Task Time Calcs - Group A'!P$6:P$41)</f>
        <v>103.42857142857143</v>
      </c>
      <c r="Q6" s="95">
        <f>AVERAGEIF('Profiles - Group A '!$E$6:$E$41, "&lt;&gt;Non-Smart", 'Task Time Calcs - Group A'!Q$6:Q$41)</f>
        <v>51.071428571428569</v>
      </c>
      <c r="R6" s="95">
        <f>AVERAGEIF('Profiles - Group A '!$E$6:$E$41, "&lt;&gt;Non-Smart", 'Task Time Calcs - Group A'!R$6:R$41)</f>
        <v>84.428571428571431</v>
      </c>
      <c r="S6" s="95">
        <f>AVERAGEIF('Profiles - Group A '!$E$6:$E$41, "&lt;&gt;Non-Smart", 'Task Time Calcs - Group A'!S$6:S$41)</f>
        <v>37.454545454545453</v>
      </c>
      <c r="T6" s="95">
        <f>AVERAGE(L6:S6)</f>
        <v>90.51058229964481</v>
      </c>
      <c r="V6" s="95">
        <f>AVERAGEIF('Profiles - Group A '!$E$6:$E$41, "&lt;&gt;Non-Smart", 'Task metrics - Group A'!BN$6:BN$41)</f>
        <v>2.5454545454545454</v>
      </c>
      <c r="W6" s="95">
        <f>AVERAGEIF('Profiles - Group A '!$E$6:$E$41, "&lt;&gt;Non-Smart", 'Task metrics - Group A'!BO$6:BO$41)</f>
        <v>3.4090909090909092</v>
      </c>
      <c r="X6" s="95">
        <f>AVERAGEIF('Profiles - Group A '!$E$6:$E$41, "&lt;&gt;Non-Smart", 'Task metrics - Group A'!BP$6:BP$41)</f>
        <v>3.0909090909090908</v>
      </c>
      <c r="Y6" s="95">
        <f>AVERAGEIF('Profiles - Group A '!$E$6:$E$41, "&lt;&gt;Non-Smart", 'Task metrics - Group A'!BQ$6:BQ$41)</f>
        <v>3.1818181818181817</v>
      </c>
      <c r="Z6" s="95">
        <f>AVERAGEIF('Profiles - Group A '!$E$6:$E$41, "&lt;&gt;Non-Smart", 'Task metrics - Group A'!BR$6:BR$41)</f>
        <v>3.8636363636363638</v>
      </c>
      <c r="AA6" s="95">
        <f>AVERAGEIF('Profiles - Group A '!$E$6:$E$41, "&lt;&gt;Non-Smart", 'Task metrics - Group A'!BS$6:BS$41)</f>
        <v>3.8636363636363638</v>
      </c>
      <c r="AB6" s="95">
        <f>AVERAGEIF('Profiles - Group A '!$E$6:$E$41, "&lt;&gt;Non-Smart", 'Task metrics - Group A'!BT$6:BT$41)</f>
        <v>3.5</v>
      </c>
      <c r="AC6" s="95">
        <f>AVERAGEIF('Profiles - Group A '!$E$6:$E$41, "&lt;&gt;Non-Smart", 'Task metrics - Group A'!BU$6:BU$41)</f>
        <v>4.3181818181818183</v>
      </c>
      <c r="AD6" s="95">
        <f>AVERAGE(V6:AC6)</f>
        <v>3.4715909090909092</v>
      </c>
      <c r="AP6" s="95">
        <f>AVERAGEIF('Profiles - Group A '!$E$6:$E$41, "&lt;&gt;Non-Smart", 'Task metrics - Group A'!CH$6:CH$41)</f>
        <v>59.43181818181818</v>
      </c>
    </row>
    <row r="8" spans="1:47">
      <c r="B8" s="47" t="s">
        <v>27</v>
      </c>
      <c r="C8" s="47" t="s">
        <v>28</v>
      </c>
      <c r="D8" s="47" t="s">
        <v>2</v>
      </c>
      <c r="E8" s="47" t="s">
        <v>3</v>
      </c>
      <c r="F8" s="47" t="s">
        <v>4</v>
      </c>
      <c r="G8" s="47" t="s">
        <v>5</v>
      </c>
      <c r="H8" s="47" t="s">
        <v>6</v>
      </c>
      <c r="I8" s="47" t="s">
        <v>7</v>
      </c>
      <c r="J8" s="47" t="s">
        <v>31</v>
      </c>
      <c r="L8" s="47" t="s">
        <v>27</v>
      </c>
      <c r="M8" s="47" t="s">
        <v>28</v>
      </c>
      <c r="N8" s="47" t="s">
        <v>2</v>
      </c>
      <c r="O8" s="47" t="s">
        <v>3</v>
      </c>
      <c r="P8" s="47" t="s">
        <v>4</v>
      </c>
      <c r="Q8" s="47" t="s">
        <v>5</v>
      </c>
      <c r="R8" s="47" t="s">
        <v>6</v>
      </c>
      <c r="S8" s="47" t="s">
        <v>7</v>
      </c>
      <c r="T8" s="47" t="s">
        <v>31</v>
      </c>
      <c r="V8" s="47" t="s">
        <v>27</v>
      </c>
      <c r="W8" s="47" t="s">
        <v>28</v>
      </c>
      <c r="X8" s="47" t="s">
        <v>2</v>
      </c>
      <c r="Y8" s="47" t="s">
        <v>3</v>
      </c>
      <c r="Z8" s="47" t="s">
        <v>4</v>
      </c>
      <c r="AA8" s="47" t="s">
        <v>5</v>
      </c>
      <c r="AB8" s="47" t="s">
        <v>6</v>
      </c>
      <c r="AC8" s="47" t="s">
        <v>7</v>
      </c>
      <c r="AD8" s="47" t="s">
        <v>31</v>
      </c>
    </row>
    <row r="9" spans="1:47">
      <c r="A9" s="96" t="s">
        <v>117</v>
      </c>
      <c r="B9" s="95">
        <f>AVERAGEIF('Profiles - Group A '!$C$6:$C$41, "18 to 25", 'Task metrics - Group A'!AT$6:AT$41)</f>
        <v>0.3</v>
      </c>
      <c r="C9" s="95">
        <f>AVERAGEIF('Profiles - Group A '!$C$6:$C$41, "18 to 25", 'Task metrics - Group A'!AU$6:AU$41)</f>
        <v>0.55000000000000004</v>
      </c>
      <c r="D9" s="95">
        <f>AVERAGEIF('Profiles - Group A '!$C$6:$C$41, "18 to 25", 'Task metrics - Group A'!AV$6:AV$41)</f>
        <v>0.5</v>
      </c>
      <c r="E9" s="95">
        <f>AVERAGEIF('Profiles - Group A '!$C$6:$C$41, "18 to 25", 'Task metrics - Group A'!AW$6:AW$41)</f>
        <v>0.8</v>
      </c>
      <c r="F9" s="95">
        <f>AVERAGEIF('Profiles - Group A '!$C$6:$C$41, "18 to 25", 'Task metrics - Group A'!AX$6:AX$41)</f>
        <v>0.25</v>
      </c>
      <c r="G9" s="95">
        <f>AVERAGEIF('Profiles - Group A '!$C$6:$C$41, "18 to 25", 'Task metrics - Group A'!AY$6:AY$41)</f>
        <v>0.65</v>
      </c>
      <c r="H9" s="95">
        <f>AVERAGEIF('Profiles - Group A '!$C$6:$C$41, "18 to 25", 'Task metrics - Group A'!AZ$6:AZ$41)</f>
        <v>0.2</v>
      </c>
      <c r="I9" s="95">
        <f>AVERAGEIF('Profiles - Group A '!$C$6:$C$41, "18 to 25", 'Task metrics - Group A'!BA$6:BA$41)</f>
        <v>1</v>
      </c>
      <c r="J9" s="95">
        <f t="shared" ref="J9:J14" si="0">AVERAGE(B9:I9)</f>
        <v>0.53125</v>
      </c>
      <c r="L9" s="95">
        <f>AVERAGEIF('Profiles - Group A '!$C$6:$C$41, "18 to 25", 'Task Time Calcs - Group A'!L$6:L$41)</f>
        <v>172.66666666666666</v>
      </c>
      <c r="M9" s="95">
        <f>AVERAGEIF('Profiles - Group A '!$C$6:$C$41, "18 to 25", 'Task Time Calcs - Group A'!M$6:M$41)</f>
        <v>58.8</v>
      </c>
      <c r="N9" s="95">
        <f>AVERAGEIF('Profiles - Group A '!$C$6:$C$41, "18 to 25", 'Task Time Calcs - Group A'!N$6:N$41)</f>
        <v>85.75</v>
      </c>
      <c r="O9" s="95">
        <f>AVERAGEIF('Profiles - Group A '!$C$6:$C$41, "18 to 25", 'Task Time Calcs - Group A'!O$6:O$41)</f>
        <v>44.75</v>
      </c>
      <c r="P9" s="95">
        <f>AVERAGEIF('Profiles - Group A '!$C$6:$C$41, "18 to 25", 'Task Time Calcs - Group A'!P$6:P$41)</f>
        <v>79</v>
      </c>
      <c r="Q9" s="95">
        <f>AVERAGEIF('Profiles - Group A '!$C$6:$C$41, "18 to 25", 'Task Time Calcs - Group A'!Q$6:Q$41)</f>
        <v>42.25</v>
      </c>
      <c r="R9" s="95">
        <f>AVERAGEIF('Profiles - Group A '!$C$6:$C$41, "18 to 25", 'Task Time Calcs - Group A'!R$6:R$41)</f>
        <v>91</v>
      </c>
      <c r="S9" s="95">
        <f>AVERAGEIF('Profiles - Group A '!$C$6:$C$41, "18 to 25", 'Task Time Calcs - Group A'!S$6:S$41)</f>
        <v>26.8</v>
      </c>
      <c r="T9" s="95">
        <f t="shared" ref="T9:T14" si="1">AVERAGE(L9:S9)</f>
        <v>75.127083333333331</v>
      </c>
      <c r="V9" s="95">
        <f>AVERAGEIF('Profiles - Group A '!$C$6:$C$41, "18 to 25", 'Task metrics - Group A'!BN$6:BN$41)</f>
        <v>3</v>
      </c>
      <c r="W9" s="95">
        <f>AVERAGEIF('Profiles - Group A '!$C$6:$C$41, "18 to 25", 'Task metrics - Group A'!BO$6:BO$41)</f>
        <v>4.4000000000000004</v>
      </c>
      <c r="X9" s="95">
        <f>AVERAGEIF('Profiles - Group A '!$C$6:$C$41, "18 to 25", 'Task metrics - Group A'!BP$6:BP$41)</f>
        <v>4.4000000000000004</v>
      </c>
      <c r="Y9" s="95">
        <f>AVERAGEIF('Profiles - Group A '!$C$6:$C$41, "18 to 25", 'Task metrics - Group A'!BQ$6:BQ$41)</f>
        <v>3.2</v>
      </c>
      <c r="Z9" s="95">
        <f>AVERAGEIF('Profiles - Group A '!$C$6:$C$41, "18 to 25", 'Task metrics - Group A'!BR$6:BR$41)</f>
        <v>4</v>
      </c>
      <c r="AA9" s="95">
        <f>AVERAGEIF('Profiles - Group A '!$C$6:$C$41, "18 to 25", 'Task metrics - Group A'!BS$6:BS$41)</f>
        <v>3.6</v>
      </c>
      <c r="AB9" s="95">
        <f>AVERAGEIF('Profiles - Group A '!$C$6:$C$41, "18 to 25", 'Task metrics - Group A'!BT$6:BT$41)</f>
        <v>4</v>
      </c>
      <c r="AC9" s="95">
        <f>AVERAGEIF('Profiles - Group A '!$C$6:$C$41, "18 to 25", 'Task metrics - Group A'!BU$6:BU$41)</f>
        <v>5</v>
      </c>
      <c r="AD9" s="95">
        <f t="shared" ref="AD9:AD14" si="2">AVERAGE(V9:AC9)</f>
        <v>3.95</v>
      </c>
      <c r="AP9" s="95">
        <f>AVERAGEIF('Profiles - Group A '!$C$6:$C$41, "18 to 25", 'Task metrics - Group A'!CH$6:CH$41)</f>
        <v>80.5</v>
      </c>
    </row>
    <row r="10" spans="1:47">
      <c r="A10" s="96" t="s">
        <v>118</v>
      </c>
      <c r="B10" s="95">
        <f>AVERAGEIF('Profiles - Group A '!$C$6:$C$41, "26 to 35", 'Task metrics - Group A'!AT$6:AT$41)</f>
        <v>0.2</v>
      </c>
      <c r="C10" s="95">
        <f>AVERAGEIF('Profiles - Group A '!$C$6:$C$41, "26 to 35", 'Task metrics - Group A'!AU$6:AU$41)</f>
        <v>0.7</v>
      </c>
      <c r="D10" s="95">
        <f>AVERAGEIF('Profiles - Group A '!$C$6:$C$41, "26 to 35", 'Task metrics - Group A'!AV$6:AV$41)</f>
        <v>0.5</v>
      </c>
      <c r="E10" s="95">
        <f>AVERAGEIF('Profiles - Group A '!$C$6:$C$41, "26 to 35", 'Task metrics - Group A'!AW$6:AW$41)</f>
        <v>0.8</v>
      </c>
      <c r="F10" s="95">
        <f>AVERAGEIF('Profiles - Group A '!$C$6:$C$41, "26 to 35", 'Task metrics - Group A'!AX$6:AX$41)</f>
        <v>0.4</v>
      </c>
      <c r="G10" s="95">
        <f>AVERAGEIF('Profiles - Group A '!$C$6:$C$41, "26 to 35", 'Task metrics - Group A'!AY$6:AY$41)</f>
        <v>0.4</v>
      </c>
      <c r="H10" s="95">
        <f>AVERAGEIF('Profiles - Group A '!$C$6:$C$41, "26 to 35", 'Task metrics - Group A'!AZ$6:AZ$41)</f>
        <v>0.2</v>
      </c>
      <c r="I10" s="95">
        <f>AVERAGEIF('Profiles - Group A '!$C$6:$C$41, "26 to 35", 'Task metrics - Group A'!BA$6:BA$41)</f>
        <v>0.85</v>
      </c>
      <c r="J10" s="95">
        <f t="shared" si="0"/>
        <v>0.50624999999999998</v>
      </c>
      <c r="K10" s="95"/>
      <c r="L10" s="95">
        <f>AVERAGEIF('Profiles - Group A '!$C$6:$C$41, "26 to 35", 'Task Time Calcs - Group A'!L$6:L$41)</f>
        <v>167</v>
      </c>
      <c r="M10" s="95">
        <f>AVERAGEIF('Profiles - Group A '!$C$6:$C$41, "26 to 35", 'Task Time Calcs - Group A'!M$6:M$41)</f>
        <v>85</v>
      </c>
      <c r="N10" s="95">
        <f>AVERAGEIF('Profiles - Group A '!$C$6:$C$41, "26 to 35", 'Task Time Calcs - Group A'!N$6:N$41)</f>
        <v>93.25</v>
      </c>
      <c r="O10" s="95">
        <f>AVERAGEIF('Profiles - Group A '!$C$6:$C$41, "26 to 35", 'Task Time Calcs - Group A'!O$6:O$41)</f>
        <v>36.75</v>
      </c>
      <c r="P10" s="95">
        <f>AVERAGEIF('Profiles - Group A '!$C$6:$C$41, "26 to 35", 'Task Time Calcs - Group A'!P$6:P$41)</f>
        <v>102.6</v>
      </c>
      <c r="Q10" s="95">
        <f>AVERAGEIF('Profiles - Group A '!$C$6:$C$41, "26 to 35", 'Task Time Calcs - Group A'!Q$6:Q$41)</f>
        <v>26.5</v>
      </c>
      <c r="R10" s="95">
        <f>AVERAGEIF('Profiles - Group A '!$C$6:$C$41, "26 to 35", 'Task Time Calcs - Group A'!R$6:R$41)</f>
        <v>94</v>
      </c>
      <c r="S10" s="95">
        <f>AVERAGEIF('Profiles - Group A '!$C$6:$C$41, "26 to 35", 'Task Time Calcs - Group A'!S$6:S$41)</f>
        <v>45</v>
      </c>
      <c r="T10" s="95">
        <f t="shared" si="1"/>
        <v>81.262500000000003</v>
      </c>
      <c r="U10" s="95"/>
      <c r="V10" s="95">
        <f>AVERAGEIF('Profiles - Group A '!$C$6:$C$41, "26 to 35", 'Task metrics - Group A'!BN$6:BN$41)</f>
        <v>3.2</v>
      </c>
      <c r="W10" s="95">
        <f>AVERAGEIF('Profiles - Group A '!$C$6:$C$41, "26 to 35", 'Task metrics - Group A'!BO$6:BO$41)</f>
        <v>3.8</v>
      </c>
      <c r="X10" s="95">
        <f>AVERAGEIF('Profiles - Group A '!$C$6:$C$41, "26 to 35", 'Task metrics - Group A'!BP$6:BP$41)</f>
        <v>3</v>
      </c>
      <c r="Y10" s="95">
        <f>AVERAGEIF('Profiles - Group A '!$C$6:$C$41, "26 to 35", 'Task metrics - Group A'!BQ$6:BQ$41)</f>
        <v>4.2</v>
      </c>
      <c r="Z10" s="95">
        <f>AVERAGEIF('Profiles - Group A '!$C$6:$C$41, "26 to 35", 'Task metrics - Group A'!BR$6:BR$41)</f>
        <v>4.5999999999999996</v>
      </c>
      <c r="AA10" s="95">
        <f>AVERAGEIF('Profiles - Group A '!$C$6:$C$41, "26 to 35", 'Task metrics - Group A'!BS$6:BS$41)</f>
        <v>4.4000000000000004</v>
      </c>
      <c r="AB10" s="95">
        <f>AVERAGEIF('Profiles - Group A '!$C$6:$C$41, "26 to 35", 'Task metrics - Group A'!BT$6:BT$41)</f>
        <v>3</v>
      </c>
      <c r="AC10" s="95">
        <f>AVERAGEIF('Profiles - Group A '!$C$6:$C$41, "26 to 35", 'Task metrics - Group A'!BU$6:BU$41)</f>
        <v>4.4000000000000004</v>
      </c>
      <c r="AD10" s="95">
        <f t="shared" si="2"/>
        <v>3.8249999999999993</v>
      </c>
      <c r="AE10" s="95"/>
      <c r="AP10" s="95">
        <f>AVERAGEIF('Profiles - Group A '!$C$6:$C$41, "26 to 35", 'Task metrics - Group A'!CH$6:CH$41)</f>
        <v>62</v>
      </c>
      <c r="AQ10" s="95"/>
    </row>
    <row r="11" spans="1:47">
      <c r="A11" s="96" t="s">
        <v>119</v>
      </c>
      <c r="B11" s="95">
        <f>AVERAGEIF('Profiles - Group A '!$C$6:$C$41, "36 to 45", 'Task metrics - Group A'!AT$6:AT$41)</f>
        <v>0.17857142857142858</v>
      </c>
      <c r="C11" s="95">
        <f>AVERAGEIF('Profiles - Group A '!$C$6:$C$41, "36 to 45", 'Task metrics - Group A'!AU$6:AU$41)</f>
        <v>0.5</v>
      </c>
      <c r="D11" s="95">
        <f>AVERAGEIF('Profiles - Group A '!$C$6:$C$41, "36 to 45", 'Task metrics - Group A'!AV$6:AV$41)</f>
        <v>0.14285714285714285</v>
      </c>
      <c r="E11" s="95">
        <f>AVERAGEIF('Profiles - Group A '!$C$6:$C$41, "36 to 45", 'Task metrics - Group A'!AW$6:AW$41)</f>
        <v>0.6071428571428571</v>
      </c>
      <c r="F11" s="95">
        <f>AVERAGEIF('Profiles - Group A '!$C$6:$C$41, "36 to 45", 'Task metrics - Group A'!AX$6:AX$41)</f>
        <v>0.21428571428571427</v>
      </c>
      <c r="G11" s="95">
        <f>AVERAGEIF('Profiles - Group A '!$C$6:$C$41, "36 to 45", 'Task metrics - Group A'!AY$6:AY$41)</f>
        <v>0.32142857142857145</v>
      </c>
      <c r="H11" s="95">
        <f>AVERAGEIF('Profiles - Group A '!$C$6:$C$41, "36 to 45", 'Task metrics - Group A'!AZ$6:AZ$41)</f>
        <v>0.42857142857142855</v>
      </c>
      <c r="I11" s="95">
        <f>AVERAGEIF('Profiles - Group A '!$C$6:$C$41, "36 to 45", 'Task metrics - Group A'!BA$6:BA$41)</f>
        <v>0.8928571428571429</v>
      </c>
      <c r="J11" s="95">
        <f t="shared" si="0"/>
        <v>0.41071428571428564</v>
      </c>
      <c r="L11" s="95">
        <f>AVERAGEIF('Profiles - Group A '!$C$6:$C$41, "36 to 45", 'Task Time Calcs - Group A'!L$6:L$41)</f>
        <v>183.6</v>
      </c>
      <c r="M11" s="95">
        <f>AVERAGEIF('Profiles - Group A '!$C$6:$C$41, "36 to 45", 'Task Time Calcs - Group A'!M$6:M$41)</f>
        <v>104.8</v>
      </c>
      <c r="N11" s="95">
        <f>AVERAGEIF('Profiles - Group A '!$C$6:$C$41, "36 to 45", 'Task Time Calcs - Group A'!N$6:N$41)</f>
        <v>152</v>
      </c>
      <c r="O11" s="95">
        <f>AVERAGEIF('Profiles - Group A '!$C$6:$C$41, "36 to 45", 'Task Time Calcs - Group A'!O$6:O$41)</f>
        <v>45.2</v>
      </c>
      <c r="P11" s="95">
        <f>AVERAGEIF('Profiles - Group A '!$C$6:$C$41, "36 to 45", 'Task Time Calcs - Group A'!P$6:P$41)</f>
        <v>88.666666666666671</v>
      </c>
      <c r="Q11" s="95">
        <f>AVERAGEIF('Profiles - Group A '!$C$6:$C$41, "36 to 45", 'Task Time Calcs - Group A'!Q$6:Q$41)</f>
        <v>29.666666666666668</v>
      </c>
      <c r="R11" s="95">
        <f>AVERAGEIF('Profiles - Group A '!$C$6:$C$41, "36 to 45", 'Task Time Calcs - Group A'!R$6:R$41)</f>
        <v>92.666666666666671</v>
      </c>
      <c r="S11" s="95">
        <f>AVERAGEIF('Profiles - Group A '!$C$6:$C$41, "36 to 45", 'Task Time Calcs - Group A'!S$6:S$41)</f>
        <v>87</v>
      </c>
      <c r="T11" s="95">
        <f t="shared" si="1"/>
        <v>97.949999999999989</v>
      </c>
      <c r="V11" s="95">
        <f>AVERAGEIF('Profiles - Group A '!$C$6:$C$41, "36 to 45", 'Task metrics - Group A'!BN$6:BN$41)</f>
        <v>3</v>
      </c>
      <c r="W11" s="95">
        <f>AVERAGEIF('Profiles - Group A '!$C$6:$C$41, "36 to 45", 'Task metrics - Group A'!BO$6:BO$41)</f>
        <v>3.4285714285714284</v>
      </c>
      <c r="X11" s="95">
        <f>AVERAGEIF('Profiles - Group A '!$C$6:$C$41, "36 to 45", 'Task metrics - Group A'!BP$6:BP$41)</f>
        <v>2.8571428571428572</v>
      </c>
      <c r="Y11" s="95">
        <f>AVERAGEIF('Profiles - Group A '!$C$6:$C$41, "36 to 45", 'Task metrics - Group A'!BQ$6:BQ$41)</f>
        <v>2.7142857142857144</v>
      </c>
      <c r="Z11" s="95">
        <f>AVERAGEIF('Profiles - Group A '!$C$6:$C$41, "36 to 45", 'Task metrics - Group A'!BR$6:BR$41)</f>
        <v>3.7142857142857144</v>
      </c>
      <c r="AA11" s="95">
        <f>AVERAGEIF('Profiles - Group A '!$C$6:$C$41, "36 to 45", 'Task metrics - Group A'!BS$6:BS$41)</f>
        <v>3.8571428571428572</v>
      </c>
      <c r="AB11" s="95">
        <f>AVERAGEIF('Profiles - Group A '!$C$6:$C$41, "36 to 45", 'Task metrics - Group A'!BT$6:BT$41)</f>
        <v>3.1428571428571428</v>
      </c>
      <c r="AC11" s="95">
        <f>AVERAGEIF('Profiles - Group A '!$C$6:$C$41, "36 to 45", 'Task metrics - Group A'!BU$6:BU$41)</f>
        <v>3.4285714285714284</v>
      </c>
      <c r="AD11" s="95">
        <f t="shared" si="2"/>
        <v>3.2678571428571428</v>
      </c>
      <c r="AP11" s="95">
        <f>AVERAGEIF('Profiles - Group A '!$C$6:$C$41, "36 to 45", 'Task metrics - Group A'!CH$6:CH$41)</f>
        <v>58.214285714285715</v>
      </c>
    </row>
    <row r="12" spans="1:47">
      <c r="A12" s="96" t="s">
        <v>120</v>
      </c>
      <c r="B12" s="95">
        <f>AVERAGEIF('Profiles - Group A '!$C$6:$C$41, "46 to 55", 'Task metrics - Group A'!AT$6:AT$41)</f>
        <v>0.125</v>
      </c>
      <c r="C12" s="95">
        <f>AVERAGEIF('Profiles - Group A '!$C$6:$C$41, "46 to 55", 'Task metrics - Group A'!AU$6:AU$41)</f>
        <v>0.28749999999999998</v>
      </c>
      <c r="D12" s="95">
        <f>AVERAGEIF('Profiles - Group A '!$C$6:$C$41, "46 to 55", 'Task metrics - Group A'!AV$6:AV$41)</f>
        <v>0.28125</v>
      </c>
      <c r="E12" s="95">
        <f>AVERAGEIF('Profiles - Group A '!$C$6:$C$41, "46 to 55", 'Task metrics - Group A'!AW$6:AW$41)</f>
        <v>0.75</v>
      </c>
      <c r="F12" s="95">
        <f>AVERAGEIF('Profiles - Group A '!$C$6:$C$41, "46 to 55", 'Task metrics - Group A'!AX$6:AX$41)</f>
        <v>0.5</v>
      </c>
      <c r="G12" s="95">
        <f>AVERAGEIF('Profiles - Group A '!$C$6:$C$41, "46 to 55", 'Task metrics - Group A'!AY$6:AY$41)</f>
        <v>0.78125</v>
      </c>
      <c r="H12" s="95">
        <f>AVERAGEIF('Profiles - Group A '!$C$6:$C$41, "46 to 55", 'Task metrics - Group A'!AZ$6:AZ$41)</f>
        <v>0.5</v>
      </c>
      <c r="I12" s="95">
        <f>AVERAGEIF('Profiles - Group A '!$C$6:$C$41, "46 to 55", 'Task metrics - Group A'!BA$6:BA$41)</f>
        <v>1</v>
      </c>
      <c r="J12" s="95">
        <f t="shared" si="0"/>
        <v>0.52812499999999996</v>
      </c>
      <c r="K12" s="95"/>
      <c r="L12" s="95">
        <f>AVERAGEIF('Profiles - Group A '!$C$6:$C$41, "46 to 55", 'Task Time Calcs - Group A'!L$6:L$41)</f>
        <v>279</v>
      </c>
      <c r="M12" s="95">
        <f>AVERAGEIF('Profiles - Group A '!$C$6:$C$41, "46 to 55", 'Task Time Calcs - Group A'!M$6:M$41)</f>
        <v>169</v>
      </c>
      <c r="N12" s="95">
        <f>AVERAGEIF('Profiles - Group A '!$C$6:$C$41, "46 to 55", 'Task Time Calcs - Group A'!N$6:N$41)</f>
        <v>135.33333333333334</v>
      </c>
      <c r="O12" s="95">
        <f>AVERAGEIF('Profiles - Group A '!$C$6:$C$41, "46 to 55", 'Task Time Calcs - Group A'!O$6:O$41)</f>
        <v>75.666666666666671</v>
      </c>
      <c r="P12" s="95">
        <f>AVERAGEIF('Profiles - Group A '!$C$6:$C$41, "46 to 55", 'Task Time Calcs - Group A'!P$6:P$41)</f>
        <v>165.71428571428572</v>
      </c>
      <c r="Q12" s="95">
        <f>AVERAGEIF('Profiles - Group A '!$C$6:$C$41, "46 to 55", 'Task Time Calcs - Group A'!Q$6:Q$41)</f>
        <v>86.285714285714292</v>
      </c>
      <c r="R12" s="95">
        <f>AVERAGEIF('Profiles - Group A '!$C$6:$C$41, "46 to 55", 'Task Time Calcs - Group A'!R$6:R$41)</f>
        <v>104.75</v>
      </c>
      <c r="S12" s="95">
        <f>AVERAGEIF('Profiles - Group A '!$C$6:$C$41, "46 to 55", 'Task Time Calcs - Group A'!S$6:S$41)</f>
        <v>25</v>
      </c>
      <c r="T12" s="95">
        <f t="shared" si="1"/>
        <v>130.09375</v>
      </c>
      <c r="U12" s="95"/>
      <c r="V12" s="95">
        <f>AVERAGEIF('Profiles - Group A '!$C$6:$C$41, "46 to 55", 'Task metrics - Group A'!BN$6:BN$41)</f>
        <v>2</v>
      </c>
      <c r="W12" s="95">
        <f>AVERAGEIF('Profiles - Group A '!$C$6:$C$41, "46 to 55", 'Task metrics - Group A'!BO$6:BO$41)</f>
        <v>3.125</v>
      </c>
      <c r="X12" s="95">
        <f>AVERAGEIF('Profiles - Group A '!$C$6:$C$41, "46 to 55", 'Task metrics - Group A'!BP$6:BP$41)</f>
        <v>2</v>
      </c>
      <c r="Y12" s="95">
        <f>AVERAGEIF('Profiles - Group A '!$C$6:$C$41, "46 to 55", 'Task metrics - Group A'!BQ$6:BQ$41)</f>
        <v>2.25</v>
      </c>
      <c r="Z12" s="95">
        <f>AVERAGEIF('Profiles - Group A '!$C$6:$C$41, "46 to 55", 'Task metrics - Group A'!BR$6:BR$41)</f>
        <v>3.375</v>
      </c>
      <c r="AA12" s="95">
        <f>AVERAGEIF('Profiles - Group A '!$C$6:$C$41, "46 to 55", 'Task metrics - Group A'!BS$6:BS$41)</f>
        <v>3.5</v>
      </c>
      <c r="AB12" s="95">
        <f>AVERAGEIF('Profiles - Group A '!$C$6:$C$41, "46 to 55", 'Task metrics - Group A'!BT$6:BT$41)</f>
        <v>3</v>
      </c>
      <c r="AC12" s="95">
        <f>AVERAGEIF('Profiles - Group A '!$C$6:$C$41, "46 to 55", 'Task metrics - Group A'!BU$6:BU$41)</f>
        <v>4.75</v>
      </c>
      <c r="AD12" s="95">
        <f t="shared" si="2"/>
        <v>3</v>
      </c>
      <c r="AE12" s="95"/>
      <c r="AP12" s="95">
        <f>AVERAGEIF('Profiles - Group A '!$C$6:$C$41, "46 to 55", 'Task metrics - Group A'!CH$6:CH$41)</f>
        <v>38.75</v>
      </c>
      <c r="AQ12" s="95"/>
    </row>
    <row r="13" spans="1:47">
      <c r="A13" s="96" t="s">
        <v>121</v>
      </c>
      <c r="B13" s="95">
        <f>AVERAGEIF('Profiles - Group A '!$C$6:$C$41, "56 to 65", 'Task metrics - Group A'!AT$6:AT$41)</f>
        <v>0.16666666666666666</v>
      </c>
      <c r="C13" s="95">
        <f>AVERAGEIF('Profiles - Group A '!$C$6:$C$41, "56 to 65", 'Task metrics - Group A'!AU$6:AU$41)</f>
        <v>0.125</v>
      </c>
      <c r="D13" s="95">
        <f>AVERAGEIF('Profiles - Group A '!$C$6:$C$41, "56 to 65", 'Task metrics - Group A'!AV$6:AV$41)</f>
        <v>0.125</v>
      </c>
      <c r="E13" s="95">
        <f>AVERAGEIF('Profiles - Group A '!$C$6:$C$41, "56 to 65", 'Task metrics - Group A'!AW$6:AW$41)</f>
        <v>0.83333333333333337</v>
      </c>
      <c r="F13" s="95">
        <f>AVERAGEIF('Profiles - Group A '!$C$6:$C$41, "56 to 65", 'Task metrics - Group A'!AX$6:AX$41)</f>
        <v>0.29166666666666669</v>
      </c>
      <c r="G13" s="95">
        <f>AVERAGEIF('Profiles - Group A '!$C$6:$C$41, "56 to 65", 'Task metrics - Group A'!AY$6:AY$41)</f>
        <v>0.66666666666666663</v>
      </c>
      <c r="H13" s="95">
        <f>AVERAGEIF('Profiles - Group A '!$C$6:$C$41, "56 to 65", 'Task metrics - Group A'!AZ$6:AZ$41)</f>
        <v>0.16666666666666666</v>
      </c>
      <c r="I13" s="95">
        <f>AVERAGEIF('Profiles - Group A '!$C$6:$C$41, "56 to 65", 'Task metrics - Group A'!BA$6:BA$41)</f>
        <v>1</v>
      </c>
      <c r="J13" s="95">
        <f t="shared" si="0"/>
        <v>0.421875</v>
      </c>
      <c r="L13" s="95">
        <f>AVERAGEIF('Profiles - Group A '!$C$6:$C$41, "56 to 65", 'Task Time Calcs - Group A'!L$6:L$41)</f>
        <v>225</v>
      </c>
      <c r="M13" s="95">
        <f>AVERAGEIF('Profiles - Group A '!$C$6:$C$41, "56 to 65", 'Task Time Calcs - Group A'!M$6:M$41)</f>
        <v>159.66666666666666</v>
      </c>
      <c r="N13" s="95">
        <f>AVERAGEIF('Profiles - Group A '!$C$6:$C$41, "56 to 65", 'Task Time Calcs - Group A'!N$6:N$41)</f>
        <v>113.33333333333333</v>
      </c>
      <c r="O13" s="95">
        <f>AVERAGEIF('Profiles - Group A '!$C$6:$C$41, "56 to 65", 'Task Time Calcs - Group A'!O$6:O$41)</f>
        <v>47.4</v>
      </c>
      <c r="P13" s="95">
        <f>AVERAGEIF('Profiles - Group A '!$C$6:$C$41, "56 to 65", 'Task Time Calcs - Group A'!P$6:P$41)</f>
        <v>97</v>
      </c>
      <c r="Q13" s="95">
        <f>AVERAGEIF('Profiles - Group A '!$C$6:$C$41, "56 to 65", 'Task Time Calcs - Group A'!Q$6:Q$41)</f>
        <v>19</v>
      </c>
      <c r="R13" s="95">
        <f>AVERAGEIF('Profiles - Group A '!$C$6:$C$41, "56 to 65", 'Task Time Calcs - Group A'!R$6:R$41)</f>
        <v>84</v>
      </c>
      <c r="S13" s="95">
        <f>AVERAGEIF('Profiles - Group A '!$C$6:$C$41, "56 to 65", 'Task Time Calcs - Group A'!S$6:S$41)</f>
        <v>42.833333333333336</v>
      </c>
      <c r="T13" s="95">
        <f t="shared" si="1"/>
        <v>98.529166666666669</v>
      </c>
      <c r="V13" s="95">
        <f>AVERAGEIF('Profiles - Group A '!$C$6:$C$41, "56 to 65", 'Task metrics - Group A'!BN$6:BN$41)</f>
        <v>2.5</v>
      </c>
      <c r="W13" s="95">
        <f>AVERAGEIF('Profiles - Group A '!$C$6:$C$41, "56 to 65", 'Task metrics - Group A'!BO$6:BO$41)</f>
        <v>2.3333333333333335</v>
      </c>
      <c r="X13" s="95">
        <f>AVERAGEIF('Profiles - Group A '!$C$6:$C$41, "56 to 65", 'Task metrics - Group A'!BP$6:BP$41)</f>
        <v>2.8333333333333335</v>
      </c>
      <c r="Y13" s="95">
        <f>AVERAGEIF('Profiles - Group A '!$C$6:$C$41, "56 to 65", 'Task metrics - Group A'!BQ$6:BQ$41)</f>
        <v>3.1666666666666665</v>
      </c>
      <c r="Z13" s="95">
        <f>AVERAGEIF('Profiles - Group A '!$C$6:$C$41, "56 to 65", 'Task metrics - Group A'!BR$6:BR$41)</f>
        <v>3.3333333333333335</v>
      </c>
      <c r="AA13" s="95">
        <f>AVERAGEIF('Profiles - Group A '!$C$6:$C$41, "56 to 65", 'Task metrics - Group A'!BS$6:BS$41)</f>
        <v>3.6666666666666665</v>
      </c>
      <c r="AB13" s="95">
        <f>AVERAGEIF('Profiles - Group A '!$C$6:$C$41, "56 to 65", 'Task metrics - Group A'!BT$6:BT$41)</f>
        <v>2.8333333333333335</v>
      </c>
      <c r="AC13" s="95">
        <f>AVERAGEIF('Profiles - Group A '!$C$6:$C$41, "56 to 65", 'Task metrics - Group A'!BU$6:BU$41)</f>
        <v>4.666666666666667</v>
      </c>
      <c r="AD13" s="95">
        <f t="shared" si="2"/>
        <v>3.166666666666667</v>
      </c>
      <c r="AP13" s="95">
        <f>AVERAGEIF('Profiles - Group A '!$C$6:$C$41, "56 to 65", 'Task metrics - Group A'!CH$6:CH$41)</f>
        <v>41.666666666666664</v>
      </c>
      <c r="AU13" s="95"/>
    </row>
    <row r="14" spans="1:47">
      <c r="A14" s="96" t="s">
        <v>122</v>
      </c>
      <c r="B14" s="95">
        <f>AVERAGEIF('Profiles - Group A '!$C$6:$C$41, "66 to 75", 'Task metrics - Group A'!AT$6:AT$41)</f>
        <v>0.1</v>
      </c>
      <c r="C14" s="95">
        <f>AVERAGEIF('Profiles - Group A '!$C$6:$C$41, "66 to 75", 'Task metrics - Group A'!AU$6:AU$41)</f>
        <v>0.6</v>
      </c>
      <c r="D14" s="95">
        <f>AVERAGEIF('Profiles - Group A '!$C$6:$C$41, "66 to 75", 'Task metrics - Group A'!AV$6:AV$41)</f>
        <v>0.65</v>
      </c>
      <c r="E14" s="95">
        <f>AVERAGEIF('Profiles - Group A '!$C$6:$C$41, "66 to 75", 'Task metrics - Group A'!AW$6:AW$41)</f>
        <v>0.8</v>
      </c>
      <c r="F14" s="95">
        <f>AVERAGEIF('Profiles - Group A '!$C$6:$C$41, "66 to 75", 'Task metrics - Group A'!AX$6:AX$41)</f>
        <v>0.15</v>
      </c>
      <c r="G14" s="95">
        <f>AVERAGEIF('Profiles - Group A '!$C$6:$C$41, "66 to 75", 'Task metrics - Group A'!AY$6:AY$41)</f>
        <v>0.4</v>
      </c>
      <c r="H14" s="95">
        <f>AVERAGEIF('Profiles - Group A '!$C$6:$C$41, "66 to 75", 'Task metrics - Group A'!AZ$6:AZ$41)</f>
        <v>0.2</v>
      </c>
      <c r="I14" s="95">
        <f>AVERAGEIF('Profiles - Group A '!$C$6:$C$41, "66 to 75", 'Task metrics - Group A'!BA$6:BA$41)</f>
        <v>1</v>
      </c>
      <c r="J14" s="95">
        <f t="shared" si="0"/>
        <v>0.48750000000000004</v>
      </c>
      <c r="K14" s="95"/>
      <c r="L14" s="95">
        <f>AVERAGEIF('Profiles - Group A '!$C$6:$C$41, "66 to 75", 'Task Time Calcs - Group A'!L$6:L$41)</f>
        <v>260.5</v>
      </c>
      <c r="M14" s="95">
        <f>AVERAGEIF('Profiles - Group A '!$C$6:$C$41, "66 to 75", 'Task Time Calcs - Group A'!M$6:M$41)</f>
        <v>118</v>
      </c>
      <c r="N14" s="95">
        <f>AVERAGEIF('Profiles - Group A '!$C$6:$C$41, "66 to 75", 'Task Time Calcs - Group A'!N$6:N$41)</f>
        <v>116.25</v>
      </c>
      <c r="O14" s="95">
        <f>AVERAGEIF('Profiles - Group A '!$C$6:$C$41, "66 to 75", 'Task Time Calcs - Group A'!O$6:O$41)</f>
        <v>67.25</v>
      </c>
      <c r="P14" s="95">
        <f>AVERAGEIF('Profiles - Group A '!$C$6:$C$41, "66 to 75", 'Task Time Calcs - Group A'!P$6:P$41)</f>
        <v>128</v>
      </c>
      <c r="Q14" s="95">
        <f>AVERAGEIF('Profiles - Group A '!$C$6:$C$41, "66 to 75", 'Task Time Calcs - Group A'!Q$6:Q$41)</f>
        <v>40</v>
      </c>
      <c r="R14" s="95">
        <f>AVERAGEIF('Profiles - Group A '!$C$6:$C$41, "66 to 75", 'Task Time Calcs - Group A'!R$6:R$41)</f>
        <v>110</v>
      </c>
      <c r="S14" s="95">
        <f>AVERAGEIF('Profiles - Group A '!$C$6:$C$41, "66 to 75", 'Task Time Calcs - Group A'!S$6:S$41)</f>
        <v>32</v>
      </c>
      <c r="T14" s="95">
        <f t="shared" si="1"/>
        <v>109</v>
      </c>
      <c r="U14" s="95"/>
      <c r="V14" s="95">
        <f>AVERAGEIF('Profiles - Group A '!$C$6:$C$41, "66 to 75", 'Task metrics - Group A'!BN$6:BN$41)</f>
        <v>1.4</v>
      </c>
      <c r="W14" s="95">
        <f>AVERAGEIF('Profiles - Group A '!$C$6:$C$41, "66 to 75", 'Task metrics - Group A'!BO$6:BO$41)</f>
        <v>3.2</v>
      </c>
      <c r="X14" s="95">
        <f>AVERAGEIF('Profiles - Group A '!$C$6:$C$41, "66 to 75", 'Task metrics - Group A'!BP$6:BP$41)</f>
        <v>2.8</v>
      </c>
      <c r="Y14" s="95">
        <f>AVERAGEIF('Profiles - Group A '!$C$6:$C$41, "66 to 75", 'Task metrics - Group A'!BQ$6:BQ$41)</f>
        <v>2.2000000000000002</v>
      </c>
      <c r="Z14" s="95">
        <f>AVERAGEIF('Profiles - Group A '!$C$6:$C$41, "66 to 75", 'Task metrics - Group A'!BR$6:BR$41)</f>
        <v>2</v>
      </c>
      <c r="AA14" s="95">
        <f>AVERAGEIF('Profiles - Group A '!$C$6:$C$41, "66 to 75", 'Task metrics - Group A'!BS$6:BS$41)</f>
        <v>3.2</v>
      </c>
      <c r="AB14" s="95">
        <f>AVERAGEIF('Profiles - Group A '!$C$6:$C$41, "66 to 75", 'Task metrics - Group A'!BT$6:BT$41)</f>
        <v>2.4</v>
      </c>
      <c r="AC14" s="95">
        <f>AVERAGEIF('Profiles - Group A '!$C$6:$C$41, "66 to 75", 'Task metrics - Group A'!BU$6:BU$41)</f>
        <v>4</v>
      </c>
      <c r="AD14" s="95">
        <f t="shared" si="2"/>
        <v>2.65</v>
      </c>
      <c r="AE14" s="95"/>
      <c r="AP14" s="95">
        <f>AVERAGEIF('Profiles - Group A '!$C$6:$C$41, "66 to 75", 'Task metrics - Group A'!CH$6:CH$41)</f>
        <v>33</v>
      </c>
      <c r="AQ14" s="95"/>
    </row>
    <row r="15" spans="1:47">
      <c r="A15" s="96"/>
    </row>
    <row r="16" spans="1:47">
      <c r="A16" s="96"/>
      <c r="B16" s="47" t="s">
        <v>27</v>
      </c>
      <c r="C16" s="47" t="s">
        <v>28</v>
      </c>
      <c r="D16" s="47" t="s">
        <v>2</v>
      </c>
      <c r="E16" s="47" t="s">
        <v>3</v>
      </c>
      <c r="F16" s="47" t="s">
        <v>4</v>
      </c>
      <c r="G16" s="47" t="s">
        <v>5</v>
      </c>
      <c r="H16" s="47" t="s">
        <v>6</v>
      </c>
      <c r="I16" s="47" t="s">
        <v>7</v>
      </c>
      <c r="J16" s="47" t="s">
        <v>31</v>
      </c>
      <c r="L16" s="47" t="s">
        <v>27</v>
      </c>
      <c r="M16" s="47" t="s">
        <v>28</v>
      </c>
      <c r="N16" s="47" t="s">
        <v>2</v>
      </c>
      <c r="O16" s="47" t="s">
        <v>3</v>
      </c>
      <c r="P16" s="47" t="s">
        <v>4</v>
      </c>
      <c r="Q16" s="47" t="s">
        <v>5</v>
      </c>
      <c r="R16" s="47" t="s">
        <v>6</v>
      </c>
      <c r="S16" s="47" t="s">
        <v>7</v>
      </c>
      <c r="T16" s="47" t="s">
        <v>31</v>
      </c>
      <c r="V16" s="47" t="s">
        <v>27</v>
      </c>
      <c r="W16" s="47" t="s">
        <v>28</v>
      </c>
      <c r="X16" s="47" t="s">
        <v>2</v>
      </c>
      <c r="Y16" s="47" t="s">
        <v>3</v>
      </c>
      <c r="Z16" s="47" t="s">
        <v>4</v>
      </c>
      <c r="AA16" s="47" t="s">
        <v>5</v>
      </c>
      <c r="AB16" s="47" t="s">
        <v>6</v>
      </c>
      <c r="AC16" s="47" t="s">
        <v>7</v>
      </c>
      <c r="AD16" s="47" t="s">
        <v>31</v>
      </c>
    </row>
    <row r="17" spans="1:43">
      <c r="A17" s="96" t="s">
        <v>55</v>
      </c>
      <c r="B17" s="95">
        <f>AVERAGEIF('Profiles - Group A '!$F$6:$F$41, "Below £12,000", 'Task metrics - Group A'!AT$6:AT$41)</f>
        <v>0.25</v>
      </c>
      <c r="C17" s="95">
        <f>AVERAGEIF('Profiles - Group A '!$F$6:$F$41, "Below £12,000", 'Task metrics - Group A'!AU$6:AU$41)</f>
        <v>0.5083333333333333</v>
      </c>
      <c r="D17" s="95">
        <f>AVERAGEIF('Profiles - Group A '!$F$6:$F$41, "Below £12,000", 'Task metrics - Group A'!AV$6:AV$41)</f>
        <v>0.20833333333333334</v>
      </c>
      <c r="E17" s="95">
        <f>AVERAGEIF('Profiles - Group A '!$F$6:$F$41, "Below £12,000", 'Task metrics - Group A'!AW$6:AW$41)</f>
        <v>0.66666666666666663</v>
      </c>
      <c r="F17" s="95">
        <f>AVERAGEIF('Profiles - Group A '!$F$6:$F$41, "Below £12,000", 'Task metrics - Group A'!AX$6:AX$41)</f>
        <v>0.45833333333333331</v>
      </c>
      <c r="G17" s="95">
        <f>AVERAGEIF('Profiles - Group A '!$F$6:$F$41, "Below £12,000", 'Task metrics - Group A'!AY$6:AY$41)</f>
        <v>0.54166666666666663</v>
      </c>
      <c r="H17" s="95">
        <f>AVERAGEIF('Profiles - Group A '!$F$6:$F$41, "Below £12,000", 'Task metrics - Group A'!AZ$6:AZ$41)</f>
        <v>0</v>
      </c>
      <c r="I17" s="95">
        <f>AVERAGEIF('Profiles - Group A '!$F$6:$F$41, "Below £12,000", 'Task metrics - Group A'!BA$6:BA$41)</f>
        <v>0.875</v>
      </c>
      <c r="J17" s="95">
        <f>AVERAGE(B17:I17)</f>
        <v>0.43854166666666666</v>
      </c>
      <c r="L17" s="95">
        <f>AVERAGEIF('Profiles - Group A '!$F$6:$F$41, "Below £12,000", 'Task Time Calcs - Group A'!L$6:L$41)</f>
        <v>235</v>
      </c>
      <c r="M17" s="95">
        <f>AVERAGEIF('Profiles - Group A '!$F$6:$F$41, "Below £12,000", 'Task Time Calcs - Group A'!M$6:M$41)</f>
        <v>118.66666666666667</v>
      </c>
      <c r="N17" s="95">
        <f>AVERAGEIF('Profiles - Group A '!$F$6:$F$41, "Below £12,000", 'Task Time Calcs - Group A'!N$6:N$41)</f>
        <v>79</v>
      </c>
      <c r="O17" s="95">
        <f>AVERAGEIF('Profiles - Group A '!$F$6:$F$41, "Below £12,000", 'Task Time Calcs - Group A'!O$6:O$41)</f>
        <v>22.25</v>
      </c>
      <c r="P17" s="95">
        <f>AVERAGEIF('Profiles - Group A '!$F$6:$F$41, "Below £12,000", 'Task Time Calcs - Group A'!P$6:P$41)</f>
        <v>99.8</v>
      </c>
      <c r="Q17" s="95">
        <f>AVERAGEIF('Profiles - Group A '!$F$6:$F$41, "Below £12,000", 'Task Time Calcs - Group A'!Q$6:Q$41)</f>
        <v>53.25</v>
      </c>
      <c r="R17" s="95"/>
      <c r="S17" s="95">
        <f>AVERAGEIF('Profiles - Group A '!$F$6:$F$41, "Below £12,000", 'Task Time Calcs - Group A'!S$6:S$41)</f>
        <v>50.833333333333336</v>
      </c>
      <c r="T17" s="95">
        <f>AVERAGE(L17:S17)</f>
        <v>94.114285714285728</v>
      </c>
      <c r="V17" s="95">
        <f>AVERAGEIF('Profiles - Group A '!$F$6:$F$41, "Below £12,000", 'Task metrics - Group A'!BN$6:BN$41)</f>
        <v>3.1666666666666665</v>
      </c>
      <c r="W17" s="95">
        <f>AVERAGEIF('Profiles - Group A '!$F$6:$F$41, "Below £12,000", 'Task metrics - Group A'!BO$6:BO$41)</f>
        <v>4</v>
      </c>
      <c r="X17" s="95">
        <f>AVERAGEIF('Profiles - Group A '!$F$6:$F$41, "Below £12,000", 'Task metrics - Group A'!BP$6:BP$41)</f>
        <v>2.6666666666666665</v>
      </c>
      <c r="Y17" s="95">
        <f>AVERAGEIF('Profiles - Group A '!$F$6:$F$41, "Below £12,000", 'Task metrics - Group A'!BQ$6:BQ$41)</f>
        <v>3.5</v>
      </c>
      <c r="Z17" s="95">
        <f>AVERAGEIF('Profiles - Group A '!$F$6:$F$41, "Below £12,000", 'Task metrics - Group A'!BR$6:BR$41)</f>
        <v>4.666666666666667</v>
      </c>
      <c r="AA17" s="95">
        <f>AVERAGEIF('Profiles - Group A '!$F$6:$F$41, "Below £12,000", 'Task metrics - Group A'!BS$6:BS$41)</f>
        <v>4</v>
      </c>
      <c r="AB17" s="95">
        <f>AVERAGEIF('Profiles - Group A '!$F$6:$F$41, "Below £12,000", 'Task metrics - Group A'!BT$6:BT$41)</f>
        <v>3</v>
      </c>
      <c r="AC17" s="95">
        <f>AVERAGEIF('Profiles - Group A '!$F$6:$F$41, "Below £12,000", 'Task metrics - Group A'!BU$6:BU$41)</f>
        <v>4.5</v>
      </c>
      <c r="AD17" s="95">
        <f>AVERAGE(V17:AC17)</f>
        <v>3.6875</v>
      </c>
      <c r="AP17" s="95">
        <f>AVERAGEIF('Profiles - Group A '!$F$6:$F$41, "Below £12,000", 'Task metrics - Group A'!CH$6:CH$41)</f>
        <v>53.75</v>
      </c>
    </row>
    <row r="18" spans="1:43">
      <c r="A18" s="96" t="s">
        <v>49</v>
      </c>
      <c r="B18" s="95">
        <f>AVERAGEIF('Profiles - Group A '!$F$6:$F$41, "£12,001 - £30,000", 'Task metrics - Group A'!AT$6:AT$41)</f>
        <v>0.13461538461538461</v>
      </c>
      <c r="C18" s="95">
        <f>AVERAGEIF('Profiles - Group A '!$F$6:$F$41, "£12,001 - £30,000", 'Task metrics - Group A'!AU$6:AU$41)</f>
        <v>0.38461538461538464</v>
      </c>
      <c r="D18" s="95">
        <f>AVERAGEIF('Profiles - Group A '!$F$6:$F$41, "£12,001 - £30,000", 'Task metrics - Group A'!AV$6:AV$41)</f>
        <v>0.28846153846153844</v>
      </c>
      <c r="E18" s="95">
        <f>AVERAGEIF('Profiles - Group A '!$F$6:$F$41, "£12,001 - £30,000", 'Task metrics - Group A'!AW$6:AW$41)</f>
        <v>0.71153846153846156</v>
      </c>
      <c r="F18" s="95">
        <f>AVERAGEIF('Profiles - Group A '!$F$6:$F$41, "£12,001 - £30,000", 'Task metrics - Group A'!AX$6:AX$41)</f>
        <v>0.26923076923076922</v>
      </c>
      <c r="G18" s="95">
        <f>AVERAGEIF('Profiles - Group A '!$F$6:$F$41, "£12,001 - £30,000", 'Task metrics - Group A'!AY$6:AY$41)</f>
        <v>0.48076923076923078</v>
      </c>
      <c r="H18" s="95">
        <f>AVERAGEIF('Profiles - Group A '!$F$6:$F$41, "£12,001 - £30,000", 'Task metrics - Group A'!AZ$6:AZ$41)</f>
        <v>0.30769230769230771</v>
      </c>
      <c r="I18" s="95">
        <f>AVERAGEIF('Profiles - Group A '!$F$6:$F$41, "£12,001 - £30,000", 'Task metrics - Group A'!BA$6:BA$41)</f>
        <v>0.94230769230769229</v>
      </c>
      <c r="J18" s="95">
        <f>AVERAGE(B18:I18)</f>
        <v>0.43990384615384615</v>
      </c>
      <c r="L18" s="95">
        <f>AVERAGEIF('Profiles - Group A '!$F$6:$F$41, "£12,001 - £30,000", 'Task Time Calcs - Group A'!L$6:L$41)</f>
        <v>179.71428571428572</v>
      </c>
      <c r="M18" s="95">
        <f>AVERAGEIF('Profiles - Group A '!$F$6:$F$41, "£12,001 - £30,000", 'Task Time Calcs - Group A'!M$6:M$41)</f>
        <v>85</v>
      </c>
      <c r="N18" s="95">
        <f>AVERAGEIF('Profiles - Group A '!$F$6:$F$41, "£12,001 - £30,000", 'Task Time Calcs - Group A'!N$6:N$41)</f>
        <v>93.555555555555557</v>
      </c>
      <c r="O18" s="95">
        <f>AVERAGEIF('Profiles - Group A '!$F$6:$F$41, "£12,001 - £30,000", 'Task Time Calcs - Group A'!O$6:O$41)</f>
        <v>53.7</v>
      </c>
      <c r="P18" s="95">
        <f>AVERAGEIF('Profiles - Group A '!$F$6:$F$41, "£12,001 - £30,000", 'Task Time Calcs - Group A'!P$6:P$41)</f>
        <v>76.272727272727266</v>
      </c>
      <c r="Q18" s="95">
        <f>AVERAGEIF('Profiles - Group A '!$F$6:$F$41, "£12,001 - £30,000", 'Task Time Calcs - Group A'!Q$6:Q$41)</f>
        <v>24.142857142857142</v>
      </c>
      <c r="R18" s="95">
        <f>AVERAGEIF('Profiles - Group A '!$F$6:$F$41, "£12,001 - £30,000", 'Task Time Calcs - Group A'!R$6:R$41)</f>
        <v>89.75</v>
      </c>
      <c r="S18" s="95">
        <f>AVERAGEIF('Profiles - Group A '!$F$6:$F$41, "£12,001 - £30,000", 'Task Time Calcs - Group A'!S$6:S$41)</f>
        <v>39.53846153846154</v>
      </c>
      <c r="T18" s="95">
        <f>AVERAGE(L18:S18)</f>
        <v>80.209235902985895</v>
      </c>
      <c r="V18" s="95">
        <f>AVERAGEIF('Profiles - Group A '!$F$6:$F$41, "£12,001 - £30,000", 'Task metrics - Group A'!BN$6:BN$41)</f>
        <v>2.5384615384615383</v>
      </c>
      <c r="W18" s="95">
        <f>AVERAGEIF('Profiles - Group A '!$F$6:$F$41, "£12,001 - £30,000", 'Task metrics - Group A'!BO$6:BO$41)</f>
        <v>3.3076923076923075</v>
      </c>
      <c r="X18" s="95">
        <f>AVERAGEIF('Profiles - Group A '!$F$6:$F$41, "£12,001 - £30,000", 'Task metrics - Group A'!BP$6:BP$41)</f>
        <v>3.6153846153846154</v>
      </c>
      <c r="Y18" s="95">
        <f>AVERAGEIF('Profiles - Group A '!$F$6:$F$41, "£12,001 - £30,000", 'Task metrics - Group A'!BQ$6:BQ$41)</f>
        <v>2.4615384615384617</v>
      </c>
      <c r="Z18" s="95">
        <f>AVERAGEIF('Profiles - Group A '!$F$6:$F$41, "£12,001 - £30,000", 'Task metrics - Group A'!BR$6:BR$41)</f>
        <v>3.5384615384615383</v>
      </c>
      <c r="AA18" s="95">
        <f>AVERAGEIF('Profiles - Group A '!$F$6:$F$41, "£12,001 - £30,000", 'Task metrics - Group A'!BS$6:BS$41)</f>
        <v>3.6923076923076925</v>
      </c>
      <c r="AB18" s="95">
        <f>AVERAGEIF('Profiles - Group A '!$F$6:$F$41, "£12,001 - £30,000", 'Task metrics - Group A'!BT$6:BT$41)</f>
        <v>3.3846153846153846</v>
      </c>
      <c r="AC18" s="95">
        <f>AVERAGEIF('Profiles - Group A '!$F$6:$F$41, "£12,001 - £30,000", 'Task metrics - Group A'!BU$6:BU$41)</f>
        <v>4.3076923076923075</v>
      </c>
      <c r="AD18" s="95">
        <f>AVERAGE(V18:AC18)</f>
        <v>3.3557692307692304</v>
      </c>
      <c r="AP18" s="95">
        <f>AVERAGEIF('Profiles - Group A '!$F$6:$F$41, "£12,001 - £30,000", 'Task metrics - Group A'!CH$6:CH$41)</f>
        <v>56.346153846153847</v>
      </c>
    </row>
    <row r="19" spans="1:43">
      <c r="A19" s="96" t="s">
        <v>44</v>
      </c>
      <c r="B19" s="95">
        <f>AVERAGEIF('Profiles - Group A '!$F$6:$F$41, "£30,001 - £50,000", 'Task metrics - Group A'!AT$6:AT$41)</f>
        <v>0.20833333333333334</v>
      </c>
      <c r="C19" s="95">
        <f>AVERAGEIF('Profiles - Group A '!$F$6:$F$41, "£30,001 - £50,000", 'Task metrics - Group A'!AU$6:AU$41)</f>
        <v>0.45833333333333331</v>
      </c>
      <c r="D19" s="95">
        <f>AVERAGEIF('Profiles - Group A '!$F$6:$F$41, "£30,001 - £50,000", 'Task metrics - Group A'!AV$6:AV$41)</f>
        <v>0.5</v>
      </c>
      <c r="E19" s="95">
        <f>AVERAGEIF('Profiles - Group A '!$F$6:$F$41, "£30,001 - £50,000", 'Task metrics - Group A'!AW$6:AW$41)</f>
        <v>0.91666666666666663</v>
      </c>
      <c r="F19" s="95">
        <f>AVERAGEIF('Profiles - Group A '!$F$6:$F$41, "£30,001 - £50,000", 'Task metrics - Group A'!AX$6:AX$41)</f>
        <v>0.29166666666666669</v>
      </c>
      <c r="G19" s="95">
        <f>AVERAGEIF('Profiles - Group A '!$F$6:$F$41, "£30,001 - £50,000", 'Task metrics - Group A'!AY$6:AY$41)</f>
        <v>0.52083333333333337</v>
      </c>
      <c r="H19" s="95">
        <f>AVERAGEIF('Profiles - Group A '!$F$6:$F$41, "£30,001 - £50,000", 'Task metrics - Group A'!AZ$6:AZ$41)</f>
        <v>0.41666666666666669</v>
      </c>
      <c r="I19" s="95">
        <f>AVERAGEIF('Profiles - Group A '!$F$6:$F$41, "£30,001 - £50,000", 'Task metrics - Group A'!BA$6:BA$41)</f>
        <v>1</v>
      </c>
      <c r="J19" s="95">
        <f>AVERAGE(B19:I19)</f>
        <v>0.5390625</v>
      </c>
      <c r="K19" s="95"/>
      <c r="L19" s="95">
        <f>AVERAGEIF('Profiles - Group A '!$F$6:$F$41, "£30,001 - £50,000", 'Task Time Calcs - Group A'!L$6:L$41)</f>
        <v>225.9</v>
      </c>
      <c r="M19" s="95">
        <f>AVERAGEIF('Profiles - Group A '!$F$6:$F$41, "£30,001 - £50,000", 'Task Time Calcs - Group A'!M$6:M$41)</f>
        <v>137.1</v>
      </c>
      <c r="N19" s="95">
        <f>AVERAGEIF('Profiles - Group A '!$F$6:$F$41, "£30,001 - £50,000", 'Task Time Calcs - Group A'!N$6:N$41)</f>
        <v>130.77777777777777</v>
      </c>
      <c r="O19" s="95">
        <f>AVERAGEIF('Profiles - Group A '!$F$6:$F$41, "£30,001 - £50,000", 'Task Time Calcs - Group A'!O$6:O$41)</f>
        <v>65</v>
      </c>
      <c r="P19" s="95">
        <f>AVERAGEIF('Profiles - Group A '!$F$6:$F$41, "£30,001 - £50,000", 'Task Time Calcs - Group A'!P$6:P$41)</f>
        <v>137.27272727272728</v>
      </c>
      <c r="Q19" s="95">
        <f>AVERAGEIF('Profiles - Group A '!$F$6:$F$41, "£30,001 - £50,000", 'Task Time Calcs - Group A'!Q$6:Q$41)</f>
        <v>41.857142857142854</v>
      </c>
      <c r="R19" s="95">
        <f>AVERAGEIF('Profiles - Group A '!$F$6:$F$41, "£30,001 - £50,000", 'Task Time Calcs - Group A'!R$6:R$41)</f>
        <v>120.8</v>
      </c>
      <c r="S19" s="95">
        <f>AVERAGEIF('Profiles - Group A '!$F$6:$F$41, "£30,001 - £50,000", 'Task Time Calcs - Group A'!S$6:S$41)</f>
        <v>43.916666666666664</v>
      </c>
      <c r="T19" s="95">
        <f>AVERAGE(L19:S19)</f>
        <v>112.82803932178932</v>
      </c>
      <c r="U19" s="95"/>
      <c r="V19" s="95">
        <f>AVERAGEIF('Profiles - Group A '!$F$6:$F$41, "£30,001 - £50,000", 'Task metrics - Group A'!BN$6:BN$41)</f>
        <v>2.4166666666666665</v>
      </c>
      <c r="W19" s="95">
        <f>AVERAGEIF('Profiles - Group A '!$F$6:$F$41, "£30,001 - £50,000", 'Task metrics - Group A'!BO$6:BO$41)</f>
        <v>3.25</v>
      </c>
      <c r="X19" s="95">
        <f>AVERAGEIF('Profiles - Group A '!$F$6:$F$41, "£30,001 - £50,000", 'Task metrics - Group A'!BP$6:BP$41)</f>
        <v>2.75</v>
      </c>
      <c r="Y19" s="95">
        <f>AVERAGEIF('Profiles - Group A '!$F$6:$F$41, "£30,001 - £50,000", 'Task metrics - Group A'!BQ$6:BQ$41)</f>
        <v>3</v>
      </c>
      <c r="Z19" s="95">
        <f>AVERAGEIF('Profiles - Group A '!$F$6:$F$41, "£30,001 - £50,000", 'Task metrics - Group A'!BR$6:BR$41)</f>
        <v>3</v>
      </c>
      <c r="AA19" s="95">
        <f>AVERAGEIF('Profiles - Group A '!$F$6:$F$41, "£30,001 - £50,000", 'Task metrics - Group A'!BS$6:BS$41)</f>
        <v>3.75</v>
      </c>
      <c r="AB19" s="95">
        <f>AVERAGEIF('Profiles - Group A '!$F$6:$F$41, "£30,001 - £50,000", 'Task metrics - Group A'!BT$6:BT$41)</f>
        <v>2.9166666666666665</v>
      </c>
      <c r="AC19" s="95">
        <f>AVERAGEIF('Profiles - Group A '!$F$6:$F$41, "£30,001 - £50,000", 'Task metrics - Group A'!BU$6:BU$41)</f>
        <v>4.583333333333333</v>
      </c>
      <c r="AD19" s="95">
        <f>AVERAGE(V19:AC19)</f>
        <v>3.208333333333333</v>
      </c>
      <c r="AE19" s="95"/>
      <c r="AP19" s="95">
        <f>AVERAGEIF('Profiles - Group A '!$F$6:$F$41, "£30,001 - £50,000", 'Task metrics - Group A'!CH$6:CH$41)</f>
        <v>44.166666666666664</v>
      </c>
    </row>
    <row r="20" spans="1:43">
      <c r="A20" s="96" t="s">
        <v>56</v>
      </c>
      <c r="B20" s="95">
        <f>AVERAGEIF('Profiles - Group A '!$F$6:$F$41, "Above £50,000", 'Task metrics - Group A'!AT$6:AT$41)</f>
        <v>0.1</v>
      </c>
      <c r="C20" s="95">
        <f>AVERAGEIF('Profiles - Group A '!$F$6:$F$41, "Above £50,000", 'Task metrics - Group A'!AU$6:AU$41)</f>
        <v>0.45</v>
      </c>
      <c r="D20" s="95">
        <f>AVERAGEIF('Profiles - Group A '!$F$6:$F$41, "Above £50,000", 'Task metrics - Group A'!AV$6:AV$41)</f>
        <v>0.25</v>
      </c>
      <c r="E20" s="95">
        <f>AVERAGEIF('Profiles - Group A '!$F$6:$F$41, "Above £50,000", 'Task metrics - Group A'!AW$6:AW$41)</f>
        <v>0.6</v>
      </c>
      <c r="F20" s="95">
        <f>AVERAGEIF('Profiles - Group A '!$F$6:$F$41, "Above £50,000", 'Task metrics - Group A'!AX$6:AX$41)</f>
        <v>0.3</v>
      </c>
      <c r="G20" s="95">
        <f>AVERAGEIF('Profiles - Group A '!$F$6:$F$41, "Above £50,000", 'Task metrics - Group A'!AY$6:AY$41)</f>
        <v>0.8</v>
      </c>
      <c r="H20" s="95">
        <f>AVERAGEIF('Profiles - Group A '!$F$6:$F$41, "Above £50,000", 'Task metrics - Group A'!AZ$6:AZ$41)</f>
        <v>0.4</v>
      </c>
      <c r="I20" s="95">
        <f>AVERAGEIF('Profiles - Group A '!$F$6:$F$41, "Above £50,000", 'Task metrics - Group A'!BA$6:BA$41)</f>
        <v>1</v>
      </c>
      <c r="J20" s="95">
        <f>AVERAGE(B20:I20)</f>
        <v>0.48749999999999999</v>
      </c>
      <c r="L20" s="95">
        <f>AVERAGEIF('Profiles - Group A '!$F$6:$F$41, "Above £50,000", 'Task Time Calcs - Group A'!L$6:L$41)</f>
        <v>209.5</v>
      </c>
      <c r="M20" s="95">
        <f>AVERAGEIF('Profiles - Group A '!$F$6:$F$41, "Above £50,000", 'Task Time Calcs - Group A'!M$6:M$41)</f>
        <v>109</v>
      </c>
      <c r="N20" s="95">
        <f>AVERAGEIF('Profiles - Group A '!$F$6:$F$41, "Above £50,000", 'Task Time Calcs - Group A'!N$6:N$41)</f>
        <v>179</v>
      </c>
      <c r="O20" s="95">
        <f>AVERAGEIF('Profiles - Group A '!$F$6:$F$41, "Above £50,000", 'Task Time Calcs - Group A'!O$6:O$41)</f>
        <v>57</v>
      </c>
      <c r="P20" s="95">
        <f>AVERAGEIF('Profiles - Group A '!$F$6:$F$41, "Above £50,000", 'Task Time Calcs - Group A'!P$6:P$41)</f>
        <v>174.66666666666666</v>
      </c>
      <c r="Q20" s="95">
        <f>AVERAGEIF('Profiles - Group A '!$F$6:$F$41, "Above £50,000", 'Task Time Calcs - Group A'!Q$6:Q$41)</f>
        <v>99</v>
      </c>
      <c r="R20" s="95">
        <f>AVERAGEIF('Profiles - Group A '!$F$6:$F$41, "Above £50,000", 'Task Time Calcs - Group A'!R$6:R$41)</f>
        <v>56.5</v>
      </c>
      <c r="S20" s="95">
        <f>AVERAGEIF('Profiles - Group A '!$F$6:$F$41, "Above £50,000", 'Task Time Calcs - Group A'!S$6:S$41)</f>
        <v>47.8</v>
      </c>
      <c r="T20" s="95">
        <f>AVERAGE(L20:S20)</f>
        <v>116.55833333333332</v>
      </c>
      <c r="V20" s="95">
        <f>AVERAGEIF('Profiles - Group A '!$F$6:$F$41, "Above £50,000", 'Task metrics - Group A'!BN$6:BN$41)</f>
        <v>1.8</v>
      </c>
      <c r="W20" s="95">
        <f>AVERAGEIF('Profiles - Group A '!$F$6:$F$41, "Above £50,000", 'Task metrics - Group A'!BO$6:BO$41)</f>
        <v>2.8</v>
      </c>
      <c r="X20" s="95">
        <f>AVERAGEIF('Profiles - Group A '!$F$6:$F$41, "Above £50,000", 'Task metrics - Group A'!BP$6:BP$41)</f>
        <v>1.6</v>
      </c>
      <c r="Y20" s="95">
        <f>AVERAGEIF('Profiles - Group A '!$F$6:$F$41, "Above £50,000", 'Task metrics - Group A'!BQ$6:BQ$41)</f>
        <v>3</v>
      </c>
      <c r="Z20" s="95">
        <f>AVERAGEIF('Profiles - Group A '!$F$6:$F$41, "Above £50,000", 'Task metrics - Group A'!BR$6:BR$41)</f>
        <v>3.2</v>
      </c>
      <c r="AA20" s="95">
        <f>AVERAGEIF('Profiles - Group A '!$F$6:$F$41, "Above £50,000", 'Task metrics - Group A'!BS$6:BS$41)</f>
        <v>3.2</v>
      </c>
      <c r="AB20" s="95">
        <f>AVERAGEIF('Profiles - Group A '!$F$6:$F$41, "Above £50,000", 'Task metrics - Group A'!BT$6:BT$41)</f>
        <v>2.6</v>
      </c>
      <c r="AC20" s="95">
        <f>AVERAGEIF('Profiles - Group A '!$F$6:$F$41, "Above £50,000", 'Task metrics - Group A'!BU$6:BU$41)</f>
        <v>3.8</v>
      </c>
      <c r="AD20" s="95">
        <f>AVERAGE(V20:AC20)</f>
        <v>2.75</v>
      </c>
      <c r="AP20" s="95">
        <f>AVERAGEIF('Profiles - Group A '!$F$6:$F$41, "Above £50,000", 'Task metrics - Group A'!CH$6:CH$41)</f>
        <v>52</v>
      </c>
    </row>
    <row r="21" spans="1:43">
      <c r="A21" s="96"/>
    </row>
    <row r="22" spans="1:43">
      <c r="A22" s="96"/>
      <c r="B22" s="47" t="s">
        <v>27</v>
      </c>
      <c r="C22" s="47" t="s">
        <v>28</v>
      </c>
      <c r="D22" s="47" t="s">
        <v>2</v>
      </c>
      <c r="E22" s="47" t="s">
        <v>3</v>
      </c>
      <c r="F22" s="47" t="s">
        <v>4</v>
      </c>
      <c r="G22" s="47" t="s">
        <v>5</v>
      </c>
      <c r="H22" s="47" t="s">
        <v>6</v>
      </c>
      <c r="I22" s="47" t="s">
        <v>7</v>
      </c>
      <c r="J22" s="47" t="s">
        <v>31</v>
      </c>
      <c r="L22" s="47" t="s">
        <v>27</v>
      </c>
      <c r="M22" s="47" t="s">
        <v>28</v>
      </c>
      <c r="N22" s="47" t="s">
        <v>2</v>
      </c>
      <c r="O22" s="47" t="s">
        <v>3</v>
      </c>
      <c r="P22" s="47" t="s">
        <v>4</v>
      </c>
      <c r="Q22" s="47" t="s">
        <v>5</v>
      </c>
      <c r="R22" s="47" t="s">
        <v>6</v>
      </c>
      <c r="S22" s="47" t="s">
        <v>7</v>
      </c>
      <c r="T22" s="47" t="s">
        <v>31</v>
      </c>
      <c r="V22" s="47" t="s">
        <v>27</v>
      </c>
      <c r="W22" s="47" t="s">
        <v>28</v>
      </c>
      <c r="X22" s="47" t="s">
        <v>2</v>
      </c>
      <c r="Y22" s="47" t="s">
        <v>3</v>
      </c>
      <c r="Z22" s="47" t="s">
        <v>4</v>
      </c>
      <c r="AA22" s="47" t="s">
        <v>5</v>
      </c>
      <c r="AB22" s="47" t="s">
        <v>6</v>
      </c>
      <c r="AC22" s="47" t="s">
        <v>7</v>
      </c>
      <c r="AD22" s="47" t="s">
        <v>31</v>
      </c>
    </row>
    <row r="23" spans="1:43">
      <c r="A23" s="97" t="s">
        <v>42</v>
      </c>
      <c r="B23" s="95">
        <f>AVERAGEIF('Profiles - Group A '!$D$6:$D$41, "Below or completed GCSE", 'Task metrics - Group A'!AT$6:AT$41)</f>
        <v>0.125</v>
      </c>
      <c r="C23" s="95">
        <f>AVERAGEIF('Profiles - Group A '!$D$6:$D$41, "Below or completed GCSE", 'Task metrics - Group A'!AU$6:AU$41)</f>
        <v>0.45</v>
      </c>
      <c r="D23" s="95">
        <f>AVERAGEIF('Profiles - Group A '!$D$6:$D$41, "Below or completed GCSE", 'Task metrics - Group A'!AV$6:AV$41)</f>
        <v>0.375</v>
      </c>
      <c r="E23" s="95">
        <f>AVERAGEIF('Profiles - Group A '!$D$6:$D$41, "Below or completed GCSE", 'Task metrics - Group A'!AW$6:AW$41)</f>
        <v>0.9</v>
      </c>
      <c r="F23" s="95">
        <f>AVERAGEIF('Profiles - Group A '!$D$6:$D$41, "Below or completed GCSE", 'Task metrics - Group A'!AX$6:AX$41)</f>
        <v>0.27500000000000002</v>
      </c>
      <c r="G23" s="95">
        <f>AVERAGEIF('Profiles - Group A '!$D$6:$D$41, "Below or completed GCSE", 'Task metrics - Group A'!AY$6:AY$41)</f>
        <v>0.6</v>
      </c>
      <c r="H23" s="95">
        <f>AVERAGEIF('Profiles - Group A '!$D$6:$D$41, "Below or completed GCSE", 'Task metrics - Group A'!AZ$6:AZ$41)</f>
        <v>0.3</v>
      </c>
      <c r="I23" s="95">
        <f>AVERAGEIF('Profiles - Group A '!$D$6:$D$41, "Below or completed GCSE", 'Task metrics - Group A'!BA$6:BA$41)</f>
        <v>0.92500000000000004</v>
      </c>
      <c r="J23" s="95">
        <f>AVERAGE(B23:I23)</f>
        <v>0.49375000000000002</v>
      </c>
      <c r="L23" s="95">
        <f>AVERAGEIF('Profiles - Group A '!$D$6:$D$41, "Below or completed GCSE",  'Task Time Calcs - Group A'!L$6:L$41)</f>
        <v>199.4</v>
      </c>
      <c r="M23" s="95">
        <f>AVERAGEIF('Profiles - Group A '!$D$6:$D$41, "Below or completed GCSE",  'Task Time Calcs - Group A'!M$6:M$41)</f>
        <v>121.66666666666667</v>
      </c>
      <c r="N23" s="95">
        <f>AVERAGEIF('Profiles - Group A '!$D$6:$D$41, "Below or completed GCSE",  'Task Time Calcs - Group A'!N$6:N$41)</f>
        <v>127</v>
      </c>
      <c r="O23" s="95">
        <f>AVERAGEIF('Profiles - Group A '!$D$6:$D$41, "Below or completed GCSE",  'Task Time Calcs - Group A'!O$6:O$41)</f>
        <v>57.777777777777779</v>
      </c>
      <c r="P23" s="95">
        <f>AVERAGEIF('Profiles - Group A '!$D$6:$D$41, "Below or completed GCSE",  'Task Time Calcs - Group A'!P$6:P$41)</f>
        <v>148.625</v>
      </c>
      <c r="Q23" s="95">
        <f>AVERAGEIF('Profiles - Group A '!$D$6:$D$41, "Below or completed GCSE",  'Task Time Calcs - Group A'!Q$6:Q$41)</f>
        <v>81.333333333333329</v>
      </c>
      <c r="R23" s="95">
        <f>AVERAGEIF('Profiles - Group A '!$D$6:$D$41, "Below or completed GCSE",  'Task Time Calcs - Group A'!R$6:R$41)</f>
        <v>94</v>
      </c>
      <c r="S23" s="95">
        <f>AVERAGEIF('Profiles - Group A '!$D$6:$D$41, "Below or completed GCSE",  'Task Time Calcs - Group A'!S$6:S$41)</f>
        <v>31.6</v>
      </c>
      <c r="T23" s="95">
        <f>AVERAGE(L23:S23)</f>
        <v>107.67534722222223</v>
      </c>
      <c r="V23" s="95">
        <f>AVERAGEIF('Profiles - Group A '!$D$6:$D$41, "Below or completed GCSE", 'Task metrics - Group A'!BN$6:BN$41)</f>
        <v>2.2999999999999998</v>
      </c>
      <c r="W23" s="95">
        <f>AVERAGEIF('Profiles - Group A '!$D$6:$D$41, "Below or completed GCSE", 'Task metrics - Group A'!BO$6:BO$41)</f>
        <v>3</v>
      </c>
      <c r="X23" s="95">
        <f>AVERAGEIF('Profiles - Group A '!$D$6:$D$41, "Below or completed GCSE", 'Task metrics - Group A'!BP$6:BP$41)</f>
        <v>2.8</v>
      </c>
      <c r="Y23" s="95">
        <f>AVERAGEIF('Profiles - Group A '!$D$6:$D$41, "Below or completed GCSE", 'Task metrics - Group A'!BQ$6:BQ$41)</f>
        <v>2.5</v>
      </c>
      <c r="Z23" s="95">
        <f>AVERAGEIF('Profiles - Group A '!$D$6:$D$41, "Below or completed GCSE", 'Task metrics - Group A'!BR$6:BR$41)</f>
        <v>2.8</v>
      </c>
      <c r="AA23" s="95">
        <f>AVERAGEIF('Profiles - Group A '!$D$6:$D$41, "Below or completed GCSE", 'Task metrics - Group A'!BS$6:BS$41)</f>
        <v>3.4</v>
      </c>
      <c r="AB23" s="95">
        <f>AVERAGEIF('Profiles - Group A '!$D$6:$D$41, "Below or completed GCSE", 'Task metrics - Group A'!BT$6:BT$41)</f>
        <v>3.2</v>
      </c>
      <c r="AC23" s="95">
        <f>AVERAGEIF('Profiles - Group A '!$D$6:$D$41, "Below or completed GCSE", 'Task metrics - Group A'!BU$6:BU$41)</f>
        <v>4</v>
      </c>
      <c r="AD23" s="95">
        <f>AVERAGE(V23:AC23)</f>
        <v>2.9999999999999996</v>
      </c>
      <c r="AP23" s="95">
        <f>AVERAGEIF('Profiles - Group A '!$D$6:$D$41, "Below or completed GCSE", 'Task metrics - Group A'!CH$6:CH$41)</f>
        <v>46.5</v>
      </c>
    </row>
    <row r="24" spans="1:43">
      <c r="A24" s="98" t="s">
        <v>50</v>
      </c>
      <c r="B24" s="95">
        <f>AVERAGEIF('Profiles - Group A '!$D$6:$D$41, "Completed A Level", 'Task metrics - Group A'!AT$6:AT$41)</f>
        <v>0.125</v>
      </c>
      <c r="C24" s="95">
        <f>AVERAGEIF('Profiles - Group A '!$D$6:$D$41, "Completed A Level", 'Task metrics - Group A'!AU$6:AU$41)</f>
        <v>0.39642857142857141</v>
      </c>
      <c r="D24" s="95">
        <f>AVERAGEIF('Profiles - Group A '!$D$6:$D$41, "Completed A Level", 'Task metrics - Group A'!AV$6:AV$41)</f>
        <v>0.21428571428571427</v>
      </c>
      <c r="E24" s="95">
        <f>AVERAGEIF('Profiles - Group A '!$D$6:$D$41, "Completed A Level", 'Task metrics - Group A'!AW$6:AW$41)</f>
        <v>0.7321428571428571</v>
      </c>
      <c r="F24" s="95">
        <f>AVERAGEIF('Profiles - Group A '!$D$6:$D$41, "Completed A Level", 'Task metrics - Group A'!AX$6:AX$41)</f>
        <v>0.30357142857142855</v>
      </c>
      <c r="G24" s="95">
        <f>AVERAGEIF('Profiles - Group A '!$D$6:$D$41, "Completed A Level", 'Task metrics - Group A'!AY$6:AY$41)</f>
        <v>0.6428571428571429</v>
      </c>
      <c r="H24" s="95">
        <f>AVERAGEIF('Profiles - Group A '!$D$6:$D$41, "Completed A Level", 'Task metrics - Group A'!AZ$6:AZ$41)</f>
        <v>0.14285714285714285</v>
      </c>
      <c r="I24" s="95">
        <f>AVERAGEIF('Profiles - Group A '!$D$6:$D$41, "Completed A Level", 'Task metrics - Group A'!BA$6:BA$41)</f>
        <v>0.9464285714285714</v>
      </c>
      <c r="J24" s="95">
        <f>AVERAGE(B24:I24)</f>
        <v>0.43794642857142851</v>
      </c>
      <c r="K24" s="95"/>
      <c r="L24" s="95">
        <f>AVERAGEIF('Profiles - Group A '!$D$6:$D$41, "Completed A Level",  'Task Time Calcs - Group A'!L$6:L$41)</f>
        <v>218.57142857142858</v>
      </c>
      <c r="M24" s="95">
        <f>AVERAGEIF('Profiles - Group A '!$D$6:$D$41, "Completed A Level",  'Task Time Calcs - Group A'!M$6:M$41)</f>
        <v>128.19999999999999</v>
      </c>
      <c r="N24" s="95">
        <f>AVERAGEIF('Profiles - Group A '!$D$6:$D$41, "Completed A Level",  'Task Time Calcs - Group A'!N$6:N$41)</f>
        <v>73</v>
      </c>
      <c r="O24" s="95">
        <f>AVERAGEIF('Profiles - Group A '!$D$6:$D$41, "Completed A Level",  'Task Time Calcs - Group A'!O$6:O$41)</f>
        <v>38.636363636363633</v>
      </c>
      <c r="P24" s="95">
        <f>AVERAGEIF('Profiles - Group A '!$D$6:$D$41, "Completed A Level",  'Task Time Calcs - Group A'!P$6:P$41)</f>
        <v>97.181818181818187</v>
      </c>
      <c r="Q24" s="95">
        <f>AVERAGEIF('Profiles - Group A '!$D$6:$D$41, "Completed A Level",  'Task Time Calcs - Group A'!Q$6:Q$41)</f>
        <v>17.777777777777779</v>
      </c>
      <c r="R24" s="95">
        <f>AVERAGEIF('Profiles - Group A '!$D$6:$D$41, "Completed A Level",  'Task Time Calcs - Group A'!R$6:R$41)</f>
        <v>63</v>
      </c>
      <c r="S24" s="95">
        <f>AVERAGEIF('Profiles - Group A '!$D$6:$D$41, "Completed A Level",  'Task Time Calcs - Group A'!S$6:S$41)</f>
        <v>39.214285714285715</v>
      </c>
      <c r="T24" s="95">
        <f>AVERAGE(L24:S24)</f>
        <v>84.447709235209246</v>
      </c>
      <c r="U24" s="95"/>
      <c r="V24" s="95">
        <f>AVERAGEIF('Profiles - Group A '!$D$6:$D$41, "Completed A Level", 'Task metrics - Group A'!BN$6:BN$41)</f>
        <v>2.0714285714285716</v>
      </c>
      <c r="W24" s="95">
        <f>AVERAGEIF('Profiles - Group A '!$D$6:$D$41, "Completed A Level", 'Task metrics - Group A'!BO$6:BO$41)</f>
        <v>2.8571428571428572</v>
      </c>
      <c r="X24" s="95">
        <f>AVERAGEIF('Profiles - Group A '!$D$6:$D$41, "Completed A Level", 'Task metrics - Group A'!BP$6:BP$41)</f>
        <v>2.5</v>
      </c>
      <c r="Y24" s="95">
        <f>AVERAGEIF('Profiles - Group A '!$D$6:$D$41, "Completed A Level", 'Task metrics - Group A'!BQ$6:BQ$41)</f>
        <v>2.7857142857142856</v>
      </c>
      <c r="Z24" s="95">
        <f>AVERAGEIF('Profiles - Group A '!$D$6:$D$41, "Completed A Level", 'Task metrics - Group A'!BR$6:BR$41)</f>
        <v>3.5</v>
      </c>
      <c r="AA24" s="95">
        <f>AVERAGEIF('Profiles - Group A '!$D$6:$D$41, "Completed A Level", 'Task metrics - Group A'!BS$6:BS$41)</f>
        <v>3.9285714285714284</v>
      </c>
      <c r="AB24" s="95">
        <f>AVERAGEIF('Profiles - Group A '!$D$6:$D$41, "Completed A Level", 'Task metrics - Group A'!BT$6:BT$41)</f>
        <v>2.9285714285714284</v>
      </c>
      <c r="AC24" s="95">
        <f>AVERAGEIF('Profiles - Group A '!$D$6:$D$41, "Completed A Level", 'Task metrics - Group A'!BU$6:BU$41)</f>
        <v>4.5</v>
      </c>
      <c r="AD24" s="95">
        <f>AVERAGE(V24:AC24)</f>
        <v>3.1339285714285712</v>
      </c>
      <c r="AE24" s="95"/>
      <c r="AP24" s="95">
        <f>AVERAGEIF('Profiles - Group A '!$D$6:$D$41, "Completed A Level", 'Task metrics - Group A'!CH$6:CH$41)</f>
        <v>43.75</v>
      </c>
      <c r="AQ24" s="95"/>
    </row>
    <row r="25" spans="1:43">
      <c r="A25" s="98" t="s">
        <v>51</v>
      </c>
      <c r="B25" s="95">
        <f>AVERAGEIF('Profiles - Group A '!$D$6:$D$41, "Undergraduate", 'Task metrics - Group A'!AT$6:AT$41)</f>
        <v>0.22222222222222221</v>
      </c>
      <c r="C25" s="95">
        <f>AVERAGEIF('Profiles - Group A '!$D$6:$D$41, "Undergraduate", 'Task metrics - Group A'!AU$6:AU$41)</f>
        <v>0.47222222222222221</v>
      </c>
      <c r="D25" s="95">
        <f>AVERAGEIF('Profiles - Group A '!$D$6:$D$41, "Undergraduate", 'Task metrics - Group A'!AV$6:AV$41)</f>
        <v>0.47222222222222221</v>
      </c>
      <c r="E25" s="95">
        <f>AVERAGEIF('Profiles - Group A '!$D$6:$D$41, "Undergraduate", 'Task metrics - Group A'!AW$6:AW$41)</f>
        <v>0.66666666666666663</v>
      </c>
      <c r="F25" s="95">
        <f>AVERAGEIF('Profiles - Group A '!$D$6:$D$41, "Undergraduate", 'Task metrics - Group A'!AX$6:AX$41)</f>
        <v>0.3888888888888889</v>
      </c>
      <c r="G25" s="95">
        <f>AVERAGEIF('Profiles - Group A '!$D$6:$D$41, "Undergraduate", 'Task metrics - Group A'!AY$6:AY$41)</f>
        <v>0.5</v>
      </c>
      <c r="H25" s="95">
        <f>AVERAGEIF('Profiles - Group A '!$D$6:$D$41, "Undergraduate", 'Task metrics - Group A'!AZ$6:AZ$41)</f>
        <v>0.55555555555555558</v>
      </c>
      <c r="I25" s="95">
        <f>AVERAGEIF('Profiles - Group A '!$D$6:$D$41, "Undergraduate", 'Task metrics - Group A'!BA$6:BA$41)</f>
        <v>1</v>
      </c>
      <c r="J25" s="95">
        <f>AVERAGE(B25:I25)</f>
        <v>0.53472222222222221</v>
      </c>
      <c r="L25" s="95">
        <f>AVERAGEIF('Profiles - Group A '!$D$6:$D$41, "Undergraduate",  'Task Time Calcs - Group A'!L$6:L$41)</f>
        <v>210.875</v>
      </c>
      <c r="M25" s="95">
        <f>AVERAGEIF('Profiles - Group A '!$D$6:$D$41, "Undergraduate",  'Task Time Calcs - Group A'!M$6:M$41)</f>
        <v>109.125</v>
      </c>
      <c r="N25" s="95">
        <f>AVERAGEIF('Profiles - Group A '!$D$6:$D$41, "Undergraduate",  'Task Time Calcs - Group A'!N$6:N$41)</f>
        <v>136.5</v>
      </c>
      <c r="O25" s="95">
        <f>AVERAGEIF('Profiles - Group A '!$D$6:$D$41, "Undergraduate",  'Task Time Calcs - Group A'!O$6:O$41)</f>
        <v>69.666666666666671</v>
      </c>
      <c r="P25" s="95">
        <f>AVERAGEIF('Profiles - Group A '!$D$6:$D$41, "Undergraduate",  'Task Time Calcs - Group A'!P$6:P$41)</f>
        <v>111.75</v>
      </c>
      <c r="Q25" s="95">
        <f>AVERAGEIF('Profiles - Group A '!$D$6:$D$41, "Undergraduate",  'Task Time Calcs - Group A'!Q$6:Q$41)</f>
        <v>50.833333333333336</v>
      </c>
      <c r="R25" s="95">
        <f>AVERAGEIF('Profiles - Group A '!$D$6:$D$41, "Undergraduate",  'Task Time Calcs - Group A'!R$6:R$41)</f>
        <v>115.4</v>
      </c>
      <c r="S25" s="95">
        <f>AVERAGEIF('Profiles - Group A '!$D$6:$D$41, "Undergraduate",  'Task Time Calcs - Group A'!S$6:S$41)</f>
        <v>56.555555555555557</v>
      </c>
      <c r="T25" s="95">
        <f>AVERAGE(L25:S25)</f>
        <v>107.58819444444444</v>
      </c>
      <c r="V25" s="95">
        <f>AVERAGEIF('Profiles - Group A '!$D$6:$D$41, "Undergraduate", 'Task metrics - Group A'!BN$6:BN$41)</f>
        <v>3.2222222222222223</v>
      </c>
      <c r="W25" s="95">
        <f>AVERAGEIF('Profiles - Group A '!$D$6:$D$41, "Undergraduate", 'Task metrics - Group A'!BO$6:BO$41)</f>
        <v>4.1111111111111107</v>
      </c>
      <c r="X25" s="95">
        <f>AVERAGEIF('Profiles - Group A '!$D$6:$D$41, "Undergraduate", 'Task metrics - Group A'!BP$6:BP$41)</f>
        <v>3.1111111111111112</v>
      </c>
      <c r="Y25" s="95">
        <f>AVERAGEIF('Profiles - Group A '!$D$6:$D$41, "Undergraduate", 'Task metrics - Group A'!BQ$6:BQ$41)</f>
        <v>3.3333333333333335</v>
      </c>
      <c r="Z25" s="95">
        <f>AVERAGEIF('Profiles - Group A '!$D$6:$D$41, "Undergraduate", 'Task metrics - Group A'!BR$6:BR$41)</f>
        <v>4</v>
      </c>
      <c r="AA25" s="95">
        <f>AVERAGEIF('Profiles - Group A '!$D$6:$D$41, "Undergraduate", 'Task metrics - Group A'!BS$6:BS$41)</f>
        <v>3.7777777777777777</v>
      </c>
      <c r="AB25" s="95">
        <f>AVERAGEIF('Profiles - Group A '!$D$6:$D$41, "Undergraduate", 'Task metrics - Group A'!BT$6:BT$41)</f>
        <v>3.2222222222222223</v>
      </c>
      <c r="AC25" s="95">
        <f>AVERAGEIF('Profiles - Group A '!$D$6:$D$41, "Undergraduate", 'Task metrics - Group A'!BU$6:BU$41)</f>
        <v>4.4444444444444446</v>
      </c>
      <c r="AD25" s="95">
        <f>AVERAGE(V25:AC25)</f>
        <v>3.6527777777777777</v>
      </c>
      <c r="AP25" s="95">
        <f>AVERAGEIF('Profiles - Group A '!$D$6:$D$41, "Undergraduate", 'Task metrics - Group A'!CH$6:CH$41)</f>
        <v>60.555555555555557</v>
      </c>
    </row>
    <row r="26" spans="1:43">
      <c r="A26" s="99" t="s">
        <v>53</v>
      </c>
      <c r="B26" s="95">
        <f>AVERAGEIF('Profiles - Group A '!$D$6:$D$41, "Graduate (Masters or above)", 'Task metrics - Group A'!AT$6:AT$41)</f>
        <v>0.41666666666666669</v>
      </c>
      <c r="C26" s="95">
        <f>AVERAGEIF('Profiles - Group A '!$D$6:$D$41, "Graduate (Masters or above)", 'Task metrics - Group A'!AU$6:AU$41)</f>
        <v>0.5</v>
      </c>
      <c r="D26" s="95">
        <f>AVERAGEIF('Profiles - Group A '!$D$6:$D$41, "Graduate (Masters or above)", 'Task metrics - Group A'!AV$6:AV$41)</f>
        <v>0.41666666666666669</v>
      </c>
      <c r="E26" s="95">
        <f>AVERAGEIF('Profiles - Group A '!$D$6:$D$41, "Graduate (Masters or above)", 'Task metrics - Group A'!AW$6:AW$41)</f>
        <v>0.66666666666666663</v>
      </c>
      <c r="F26" s="95">
        <f>AVERAGEIF('Profiles - Group A '!$D$6:$D$41, "Graduate (Masters or above)", 'Task metrics - Group A'!AX$6:AX$41)</f>
        <v>0.25</v>
      </c>
      <c r="G26" s="95">
        <f>AVERAGEIF('Profiles - Group A '!$D$6:$D$41, "Graduate (Masters or above)", 'Task metrics - Group A'!AY$6:AY$41)</f>
        <v>8.3333333333333329E-2</v>
      </c>
      <c r="H26" s="95">
        <f>AVERAGEIF('Profiles - Group A '!$D$6:$D$41, "Graduate (Masters or above)", 'Task metrics - Group A'!AZ$6:AZ$41)</f>
        <v>0.33333333333333331</v>
      </c>
      <c r="I26" s="95">
        <f>AVERAGEIF('Profiles - Group A '!$D$6:$D$41, "Graduate (Masters or above)", 'Task metrics - Group A'!BA$6:BA$41)</f>
        <v>1</v>
      </c>
      <c r="J26" s="95">
        <f>AVERAGE(B26:I26)</f>
        <v>0.45833333333333337</v>
      </c>
      <c r="K26" s="95"/>
      <c r="L26" s="95">
        <f>AVERAGEIF('Profiles - Group A '!$D$6:$D$41, "Graduate (Masters or above)",  'Task Time Calcs - Group A'!L$6:L$41)</f>
        <v>213.5</v>
      </c>
      <c r="M26" s="95">
        <f>AVERAGEIF('Profiles - Group A '!$D$6:$D$41, "Graduate (Masters or above)",  'Task Time Calcs - Group A'!M$6:M$41)</f>
        <v>68.333333333333329</v>
      </c>
      <c r="N26" s="95">
        <f>AVERAGEIF('Profiles - Group A '!$D$6:$D$41, "Graduate (Masters or above)",  'Task Time Calcs - Group A'!N$6:N$41)</f>
        <v>121.5</v>
      </c>
      <c r="O26" s="95">
        <f>AVERAGEIF('Profiles - Group A '!$D$6:$D$41, "Graduate (Masters or above)",  'Task Time Calcs - Group A'!O$6:O$41)</f>
        <v>74.5</v>
      </c>
      <c r="P26" s="95">
        <f>AVERAGEIF('Profiles - Group A '!$D$6:$D$41, "Graduate (Masters or above)",  'Task Time Calcs - Group A'!P$6:P$41)</f>
        <v>73.333333333333329</v>
      </c>
      <c r="Q26" s="95">
        <f>AVERAGEIF('Profiles - Group A '!$D$6:$D$41, "Graduate (Masters or above)",  'Task Time Calcs - Group A'!Q$6:Q$41)</f>
        <v>118</v>
      </c>
      <c r="R26" s="95">
        <f>AVERAGEIF('Profiles - Group A '!$D$6:$D$41, "Graduate (Masters or above)",  'Task Time Calcs - Group A'!R$6:R$41)</f>
        <v>91</v>
      </c>
      <c r="S26" s="95">
        <f>AVERAGEIF('Profiles - Group A '!$D$6:$D$41, "Graduate (Masters or above)",  'Task Time Calcs - Group A'!S$6:S$41)</f>
        <v>70.333333333333329</v>
      </c>
      <c r="T26" s="95">
        <f>AVERAGE(L26:S26)</f>
        <v>103.8125</v>
      </c>
      <c r="U26" s="95"/>
      <c r="V26" s="95">
        <f>AVERAGEIF('Profiles - Group A '!$D$6:$D$41, "Graduate (Masters or above)", 'Task metrics - Group A'!BN$6:BN$41)</f>
        <v>3</v>
      </c>
      <c r="W26" s="95">
        <f>AVERAGEIF('Profiles - Group A '!$D$6:$D$41, "Graduate (Masters or above)", 'Task metrics - Group A'!BO$6:BO$41)</f>
        <v>4.333333333333333</v>
      </c>
      <c r="X26" s="95">
        <f>AVERAGEIF('Profiles - Group A '!$D$6:$D$41, "Graduate (Masters or above)", 'Task metrics - Group A'!BP$6:BP$41)</f>
        <v>4.333333333333333</v>
      </c>
      <c r="Y26" s="95">
        <f>AVERAGEIF('Profiles - Group A '!$D$6:$D$41, "Graduate (Masters or above)", 'Task metrics - Group A'!BQ$6:BQ$41)</f>
        <v>3.3333333333333335</v>
      </c>
      <c r="Z26" s="95">
        <f>AVERAGEIF('Profiles - Group A '!$D$6:$D$41, "Graduate (Masters or above)", 'Task metrics - Group A'!BR$6:BR$41)</f>
        <v>4.333333333333333</v>
      </c>
      <c r="AA26" s="95">
        <f>AVERAGEIF('Profiles - Group A '!$D$6:$D$41, "Graduate (Masters or above)", 'Task metrics - Group A'!BS$6:BS$41)</f>
        <v>3.3333333333333335</v>
      </c>
      <c r="AB26" s="95">
        <f>AVERAGEIF('Profiles - Group A '!$D$6:$D$41, "Graduate (Masters or above)", 'Task metrics - Group A'!BT$6:BT$41)</f>
        <v>2.6666666666666665</v>
      </c>
      <c r="AC26" s="95">
        <f>AVERAGEIF('Profiles - Group A '!$D$6:$D$41, "Graduate (Masters or above)", 'Task metrics - Group A'!BU$6:BU$41)</f>
        <v>4.666666666666667</v>
      </c>
      <c r="AD26" s="95">
        <f>AVERAGE(V26:AC26)</f>
        <v>3.75</v>
      </c>
      <c r="AE26" s="95"/>
      <c r="AP26" s="95">
        <f>AVERAGEIF('Profiles - Group A '!$D$6:$D$41, "Graduate (Masters or above)", 'Task metrics - Group A'!CH$6:CH$41)</f>
        <v>74.166666666666671</v>
      </c>
      <c r="AQ26" s="95"/>
    </row>
    <row r="28" spans="1:43">
      <c r="B28" s="47" t="s">
        <v>27</v>
      </c>
      <c r="C28" s="47" t="s">
        <v>28</v>
      </c>
      <c r="D28" s="47" t="s">
        <v>2</v>
      </c>
      <c r="E28" s="47" t="s">
        <v>3</v>
      </c>
      <c r="F28" s="47" t="s">
        <v>4</v>
      </c>
      <c r="G28" s="47" t="s">
        <v>5</v>
      </c>
      <c r="H28" s="47" t="s">
        <v>6</v>
      </c>
      <c r="I28" s="47" t="s">
        <v>7</v>
      </c>
      <c r="J28" s="47" t="s">
        <v>31</v>
      </c>
      <c r="L28" s="47" t="s">
        <v>27</v>
      </c>
      <c r="M28" s="47" t="s">
        <v>28</v>
      </c>
      <c r="N28" s="47" t="s">
        <v>2</v>
      </c>
      <c r="O28" s="47" t="s">
        <v>3</v>
      </c>
      <c r="P28" s="47" t="s">
        <v>4</v>
      </c>
      <c r="Q28" s="47" t="s">
        <v>5</v>
      </c>
      <c r="R28" s="47" t="s">
        <v>6</v>
      </c>
      <c r="S28" s="47" t="s">
        <v>7</v>
      </c>
      <c r="T28" s="47" t="s">
        <v>31</v>
      </c>
      <c r="V28" s="47" t="s">
        <v>27</v>
      </c>
      <c r="W28" s="47" t="s">
        <v>28</v>
      </c>
      <c r="X28" s="47" t="s">
        <v>2</v>
      </c>
      <c r="Y28" s="47" t="s">
        <v>3</v>
      </c>
      <c r="Z28" s="47" t="s">
        <v>4</v>
      </c>
      <c r="AA28" s="47" t="s">
        <v>5</v>
      </c>
      <c r="AB28" s="47" t="s">
        <v>6</v>
      </c>
      <c r="AC28" s="47" t="s">
        <v>7</v>
      </c>
      <c r="AD28" s="47" t="s">
        <v>31</v>
      </c>
    </row>
    <row r="29" spans="1:43">
      <c r="A29" s="100" t="s">
        <v>123</v>
      </c>
      <c r="B29" s="95">
        <f>AVERAGEIF('Profiles - Group A '!$G$6:$G$41, "&lt;&gt;No", 'Task metrics - Group A'!AT$6:AT$41)</f>
        <v>0.125</v>
      </c>
      <c r="C29" s="95">
        <f>AVERAGEIF('Profiles - Group A '!$G$6:$G$41, "&lt;&gt;No", 'Task metrics - Group A'!AU$6:AU$41)</f>
        <v>0.3</v>
      </c>
      <c r="D29" s="95">
        <f>AVERAGEIF('Profiles - Group A '!$G$6:$G$41, "&lt;&gt;No", 'Task metrics - Group A'!AV$6:AV$41)</f>
        <v>0.16666666666666666</v>
      </c>
      <c r="E29" s="95">
        <f>AVERAGEIF('Profiles - Group A '!$G$6:$G$41, "&lt;&gt;No", 'Task metrics - Group A'!AW$6:AW$41)</f>
        <v>1</v>
      </c>
      <c r="F29" s="95">
        <f>AVERAGEIF('Profiles - Group A '!$G$6:$G$41, "&lt;&gt;No", 'Task metrics - Group A'!AX$6:AX$41)</f>
        <v>0.33333333333333331</v>
      </c>
      <c r="G29" s="95">
        <f>AVERAGEIF('Profiles - Group A '!$G$6:$G$41, "&lt;&gt;No", 'Task metrics - Group A'!AY$6:AY$41)</f>
        <v>0.66666666666666663</v>
      </c>
      <c r="H29" s="95">
        <f>AVERAGEIF('Profiles - Group A '!$G$6:$G$41, "&lt;&gt;No", 'Task metrics - Group A'!AZ$6:AZ$41)</f>
        <v>0.33333333333333331</v>
      </c>
      <c r="I29" s="95">
        <f>AVERAGEIF('Profiles - Group A '!$G$6:$G$41, "&lt;&gt;No", 'Task metrics - Group A'!BA$6:BA$41)</f>
        <v>1</v>
      </c>
      <c r="J29" s="95">
        <f>AVERAGE(B29:I29)</f>
        <v>0.49062500000000003</v>
      </c>
      <c r="L29" s="95">
        <f>AVERAGEIF('Profiles - Group A '!$G$6:$G$41, "&lt;&gt;No", 'Task Time Calcs - Group A'!L$6:L$41)</f>
        <v>217</v>
      </c>
      <c r="M29" s="95">
        <f>AVERAGEIF('Profiles - Group A '!$G$6:$G$41, "&lt;&gt;No", 'Task Time Calcs - Group A'!M$6:M$41)</f>
        <v>142.75</v>
      </c>
      <c r="N29" s="95">
        <f>AVERAGEIF('Profiles - Group A '!$G$6:$G$41, "&lt;&gt;No", 'Task Time Calcs - Group A'!N$6:N$41)</f>
        <v>99</v>
      </c>
      <c r="O29" s="95">
        <f>AVERAGEIF('Profiles - Group A '!$G$6:$G$41, "&lt;&gt;No", 'Task Time Calcs - Group A'!O$6:O$41)</f>
        <v>43</v>
      </c>
      <c r="P29" s="95">
        <f>AVERAGEIF('Profiles - Group A '!$G$6:$G$41, "&lt;&gt;No", 'Task Time Calcs - Group A'!P$6:P$41)</f>
        <v>167.6</v>
      </c>
      <c r="Q29" s="95">
        <f>AVERAGEIF('Profiles - Group A '!$G$6:$G$41, "&lt;&gt;No", 'Task Time Calcs - Group A'!Q$6:Q$41)</f>
        <v>26.25</v>
      </c>
      <c r="R29" s="95">
        <f>AVERAGEIF('Profiles - Group A '!$G$6:$G$41, "&lt;&gt;No", 'Task Time Calcs - Group A'!R$6:R$41)</f>
        <v>56.5</v>
      </c>
      <c r="S29" s="95">
        <f>AVERAGEIF('Profiles - Group A '!$G$6:$G$41, "&lt;&gt;No", 'Task Time Calcs - Group A'!S$6:S$41)</f>
        <v>34.833333333333336</v>
      </c>
      <c r="T29" s="95">
        <f>AVERAGE(L29:S29)</f>
        <v>98.366666666666674</v>
      </c>
      <c r="V29" s="95">
        <f>AVERAGEIF('Profiles - Group A '!$G$6:$G$41, "&lt;&gt;No", 'Task metrics - Group A'!BN$6:BN$41)</f>
        <v>2.3333333333333335</v>
      </c>
      <c r="W29" s="95">
        <f>AVERAGEIF('Profiles - Group A '!$G$6:$G$41, "&lt;&gt;No", 'Task metrics - Group A'!BO$6:BO$41)</f>
        <v>3</v>
      </c>
      <c r="X29" s="95">
        <f>AVERAGEIF('Profiles - Group A '!$G$6:$G$41, "&lt;&gt;No", 'Task metrics - Group A'!BP$6:BP$41)</f>
        <v>2</v>
      </c>
      <c r="Y29" s="95">
        <f>AVERAGEIF('Profiles - Group A '!$G$6:$G$41, "&lt;&gt;No", 'Task metrics - Group A'!BQ$6:BQ$41)</f>
        <v>3.8333333333333335</v>
      </c>
      <c r="Z29" s="95">
        <f>AVERAGEIF('Profiles - Group A '!$G$6:$G$41, "&lt;&gt;No", 'Task metrics - Group A'!BR$6:BR$41)</f>
        <v>3.8333333333333335</v>
      </c>
      <c r="AA29" s="95">
        <f>AVERAGEIF('Profiles - Group A '!$G$6:$G$41, "&lt;&gt;No", 'Task metrics - Group A'!BS$6:BS$41)</f>
        <v>4.833333333333333</v>
      </c>
      <c r="AB29" s="95">
        <f>AVERAGEIF('Profiles - Group A '!$G$6:$G$41, "&lt;&gt;No", 'Task metrics - Group A'!BT$6:BT$41)</f>
        <v>3.5</v>
      </c>
      <c r="AC29" s="95">
        <f>AVERAGEIF('Profiles - Group A '!$G$6:$G$41, "&lt;&gt;No", 'Task metrics - Group A'!BU$6:BU$41)</f>
        <v>5</v>
      </c>
      <c r="AD29" s="95">
        <f>AVERAGE(V29:AC29)</f>
        <v>3.541666666666667</v>
      </c>
      <c r="AP29" s="95">
        <f>AVERAGEIF('Profiles - Group A '!$G$6:$G$41, "&lt;&gt;No", 'Task metrics - Group A'!CH$6:CH$41)</f>
        <v>44.583333333333336</v>
      </c>
    </row>
    <row r="30" spans="1:43">
      <c r="A30" s="100" t="s">
        <v>124</v>
      </c>
      <c r="B30" s="95">
        <f>AVERAGEIF('Profiles - Group A '!$G$6:$G$41, "No", 'Task metrics - Group A'!AT$6:AT$41)</f>
        <v>0.18333333333333332</v>
      </c>
      <c r="C30" s="95">
        <f>AVERAGEIF('Profiles - Group A '!$G$6:$G$41, "No", 'Task metrics - Group A'!AU$6:AU$41)</f>
        <v>0.46666666666666667</v>
      </c>
      <c r="D30" s="95">
        <f>AVERAGEIF('Profiles - Group A '!$G$6:$G$41, "No", 'Task metrics - Group A'!AV$6:AV$41)</f>
        <v>0.375</v>
      </c>
      <c r="E30" s="95">
        <f>AVERAGEIF('Profiles - Group A '!$G$6:$G$41, "No", 'Task metrics - Group A'!AW$6:AW$41)</f>
        <v>0.70833333333333337</v>
      </c>
      <c r="F30" s="95">
        <f>AVERAGEIF('Profiles - Group A '!$G$6:$G$41, "No", 'Task metrics - Group A'!AX$6:AX$41)</f>
        <v>0.30833333333333335</v>
      </c>
      <c r="G30" s="95">
        <f>AVERAGEIF('Profiles - Group A '!$G$6:$G$41, "No", 'Task metrics - Group A'!AY$6:AY$41)</f>
        <v>0.52500000000000002</v>
      </c>
      <c r="H30" s="95">
        <f>AVERAGEIF('Profiles - Group A '!$G$6:$G$41, "No", 'Task metrics - Group A'!AZ$6:AZ$41)</f>
        <v>0.3</v>
      </c>
      <c r="I30" s="95">
        <f>AVERAGEIF('Profiles - Group A '!$G$6:$G$41, "No", 'Task metrics - Group A'!BA$6:BA$41)</f>
        <v>0.95</v>
      </c>
      <c r="J30" s="95">
        <f>AVERAGE(B30:I30)</f>
        <v>0.4770833333333333</v>
      </c>
      <c r="L30" s="95">
        <f>AVERAGEIF('Profiles - Group A '!$G$6:$G$41, "No", 'Task Time Calcs - Group A'!L$6:L$41)</f>
        <v>210</v>
      </c>
      <c r="M30" s="95">
        <f>AVERAGEIF('Profiles - Group A '!$G$6:$G$41, "No", 'Task Time Calcs - Group A'!M$6:M$41)</f>
        <v>109.52173913043478</v>
      </c>
      <c r="N30" s="95">
        <f>AVERAGEIF('Profiles - Group A '!$G$6:$G$41, "No", 'Task Time Calcs - Group A'!N$6:N$41)</f>
        <v>116</v>
      </c>
      <c r="O30" s="95">
        <f>AVERAGEIF('Profiles - Group A '!$G$6:$G$41, "No", 'Task Time Calcs - Group A'!O$6:O$41)</f>
        <v>57</v>
      </c>
      <c r="P30" s="95">
        <f>AVERAGEIF('Profiles - Group A '!$G$6:$G$41, "No", 'Task Time Calcs - Group A'!P$6:P$41)</f>
        <v>101.36</v>
      </c>
      <c r="Q30" s="95">
        <f>AVERAGEIF('Profiles - Group A '!$G$6:$G$41, "No", 'Task Time Calcs - Group A'!Q$6:Q$41)</f>
        <v>53.666666666666664</v>
      </c>
      <c r="R30" s="95">
        <f>AVERAGEIF('Profiles - Group A '!$G$6:$G$41, "No", 'Task Time Calcs - Group A'!R$6:R$41)</f>
        <v>107</v>
      </c>
      <c r="S30" s="95">
        <f>AVERAGEIF('Profiles - Group A '!$G$6:$G$41, "No", 'Task Time Calcs - Group A'!S$6:S$41)</f>
        <v>45.866666666666667</v>
      </c>
      <c r="T30" s="95">
        <f>AVERAGE(L30:S30)</f>
        <v>100.05188405797101</v>
      </c>
      <c r="V30" s="95">
        <f>AVERAGEIF('Profiles - Group A '!$G$6:$G$41, "No", 'Task metrics - Group A'!BN$6:BN$41)</f>
        <v>2.5333333333333332</v>
      </c>
      <c r="W30" s="95">
        <f>AVERAGEIF('Profiles - Group A '!$G$6:$G$41, "No", 'Task metrics - Group A'!BO$6:BO$41)</f>
        <v>3.4</v>
      </c>
      <c r="X30" s="95">
        <f>AVERAGEIF('Profiles - Group A '!$G$6:$G$41, "No", 'Task metrics - Group A'!BP$6:BP$41)</f>
        <v>3.0666666666666669</v>
      </c>
      <c r="Y30" s="95">
        <f>AVERAGEIF('Profiles - Group A '!$G$6:$G$41, "No", 'Task metrics - Group A'!BQ$6:BQ$41)</f>
        <v>2.7</v>
      </c>
      <c r="Z30" s="95">
        <f>AVERAGEIF('Profiles - Group A '!$G$6:$G$41, "No", 'Task metrics - Group A'!BR$6:BR$41)</f>
        <v>3.4333333333333331</v>
      </c>
      <c r="AA30" s="95">
        <f>AVERAGEIF('Profiles - Group A '!$G$6:$G$41, "No", 'Task metrics - Group A'!BS$6:BS$41)</f>
        <v>3.4666666666666668</v>
      </c>
      <c r="AB30" s="95">
        <f>AVERAGEIF('Profiles - Group A '!$G$6:$G$41, "No", 'Task metrics - Group A'!BT$6:BT$41)</f>
        <v>2.9666666666666668</v>
      </c>
      <c r="AC30" s="95">
        <f>AVERAGEIF('Profiles - Group A '!$G$6:$G$41, "No", 'Task metrics - Group A'!BU$6:BU$41)</f>
        <v>4.2333333333333334</v>
      </c>
      <c r="AD30" s="95">
        <f>AVERAGE(V30:AC30)</f>
        <v>3.2250000000000005</v>
      </c>
      <c r="AP30" s="95">
        <f>AVERAGEIF('Profiles - Group A '!$G$6:$G$41, "No", 'Task metrics - Group A'!CH$6:CH$41)</f>
        <v>52.583333333333336</v>
      </c>
    </row>
    <row r="33" spans="1:11">
      <c r="A33" s="47"/>
    </row>
    <row r="34" spans="1:11">
      <c r="B34" s="47"/>
      <c r="C34" s="47"/>
      <c r="D34" s="47"/>
      <c r="E34" s="47"/>
      <c r="F34" s="47"/>
      <c r="G34" s="47"/>
      <c r="H34" s="47"/>
      <c r="I34" s="47"/>
      <c r="J34" s="47"/>
    </row>
    <row r="35" spans="1:11">
      <c r="A35" s="96"/>
      <c r="B35" s="95"/>
      <c r="C35" s="95"/>
      <c r="D35" s="95"/>
      <c r="E35" s="95"/>
      <c r="F35" s="95"/>
      <c r="G35" s="95"/>
      <c r="H35" s="95"/>
      <c r="I35" s="95"/>
      <c r="J35" s="95"/>
    </row>
    <row r="36" spans="1:11">
      <c r="A36" s="96"/>
      <c r="B36" s="95"/>
      <c r="C36" s="95"/>
      <c r="D36" s="95"/>
      <c r="E36" s="95"/>
      <c r="F36" s="95"/>
      <c r="G36" s="95"/>
      <c r="H36" s="95"/>
      <c r="I36" s="95"/>
      <c r="J36" s="95"/>
    </row>
    <row r="38" spans="1:11">
      <c r="B38" s="47"/>
      <c r="C38" s="47"/>
      <c r="D38" s="47"/>
      <c r="E38" s="47"/>
      <c r="F38" s="47"/>
      <c r="G38" s="47"/>
      <c r="H38" s="47"/>
      <c r="I38" s="47"/>
      <c r="J38" s="47"/>
    </row>
    <row r="39" spans="1:11">
      <c r="A39" s="96"/>
      <c r="B39" s="95"/>
      <c r="C39" s="95"/>
      <c r="D39" s="95"/>
      <c r="E39" s="95"/>
      <c r="F39" s="95"/>
      <c r="G39" s="95"/>
      <c r="H39" s="95"/>
      <c r="I39" s="95"/>
      <c r="J39" s="95"/>
    </row>
    <row r="40" spans="1:11">
      <c r="A40" s="96"/>
      <c r="B40" s="95"/>
      <c r="C40" s="95"/>
      <c r="D40" s="95"/>
      <c r="E40" s="95"/>
      <c r="F40" s="95"/>
      <c r="G40" s="95"/>
      <c r="H40" s="95"/>
      <c r="I40" s="95"/>
      <c r="J40" s="95"/>
      <c r="K40" s="95"/>
    </row>
    <row r="41" spans="1:11">
      <c r="A41" s="96"/>
      <c r="B41" s="95"/>
      <c r="C41" s="95"/>
      <c r="D41" s="95"/>
      <c r="E41" s="95"/>
      <c r="F41" s="95"/>
      <c r="G41" s="95"/>
      <c r="H41" s="95"/>
      <c r="I41" s="95"/>
      <c r="J41" s="95"/>
    </row>
    <row r="42" spans="1:11">
      <c r="A42" s="96"/>
      <c r="B42" s="95"/>
      <c r="C42" s="95"/>
      <c r="D42" s="95"/>
      <c r="E42" s="95"/>
      <c r="F42" s="95"/>
      <c r="G42" s="95"/>
      <c r="H42" s="95"/>
      <c r="I42" s="95"/>
      <c r="J42" s="95"/>
      <c r="K42" s="95"/>
    </row>
    <row r="43" spans="1:11">
      <c r="A43" s="96"/>
      <c r="B43" s="95"/>
      <c r="C43" s="95"/>
      <c r="D43" s="95"/>
      <c r="E43" s="95"/>
      <c r="F43" s="95"/>
      <c r="G43" s="95"/>
      <c r="H43" s="95"/>
      <c r="I43" s="95"/>
      <c r="J43" s="95"/>
    </row>
    <row r="44" spans="1:11">
      <c r="A44" s="96"/>
      <c r="B44" s="95"/>
      <c r="C44" s="95"/>
      <c r="D44" s="95"/>
      <c r="E44" s="95"/>
      <c r="F44" s="95"/>
      <c r="G44" s="95"/>
      <c r="H44" s="95"/>
      <c r="I44" s="95"/>
      <c r="J44" s="95"/>
      <c r="K44" s="95"/>
    </row>
    <row r="45" spans="1:11">
      <c r="A45" s="96"/>
    </row>
    <row r="46" spans="1:11">
      <c r="A46" s="96"/>
      <c r="B46" s="47"/>
      <c r="C46" s="47"/>
      <c r="D46" s="47"/>
      <c r="E46" s="47"/>
      <c r="F46" s="47"/>
      <c r="G46" s="47"/>
      <c r="H46" s="47"/>
      <c r="I46" s="47"/>
      <c r="J46" s="47"/>
    </row>
    <row r="47" spans="1:11">
      <c r="A47" s="96"/>
      <c r="B47" s="95"/>
      <c r="C47" s="95"/>
      <c r="D47" s="95"/>
      <c r="E47" s="95"/>
      <c r="F47" s="95"/>
      <c r="G47" s="95"/>
      <c r="H47" s="95"/>
      <c r="I47" s="95"/>
      <c r="J47" s="95"/>
    </row>
    <row r="48" spans="1:11">
      <c r="A48" s="96"/>
      <c r="B48" s="95"/>
      <c r="C48" s="95"/>
      <c r="D48" s="95"/>
      <c r="E48" s="95"/>
      <c r="F48" s="95"/>
      <c r="G48" s="95"/>
      <c r="H48" s="95"/>
      <c r="I48" s="95"/>
      <c r="J48" s="95"/>
    </row>
    <row r="49" spans="1:11">
      <c r="A49" s="96"/>
      <c r="B49" s="95"/>
      <c r="C49" s="95"/>
      <c r="D49" s="95"/>
      <c r="E49" s="95"/>
      <c r="F49" s="95"/>
      <c r="G49" s="95"/>
      <c r="H49" s="95"/>
      <c r="I49" s="95"/>
      <c r="J49" s="95"/>
      <c r="K49" s="95"/>
    </row>
    <row r="50" spans="1:11">
      <c r="A50" s="96"/>
      <c r="B50" s="95"/>
      <c r="C50" s="95"/>
      <c r="D50" s="95"/>
      <c r="E50" s="95"/>
      <c r="F50" s="95"/>
      <c r="G50" s="95"/>
      <c r="H50" s="95"/>
      <c r="I50" s="95"/>
      <c r="J50" s="95"/>
    </row>
    <row r="51" spans="1:11">
      <c r="A51" s="96"/>
    </row>
    <row r="52" spans="1:11">
      <c r="A52" s="96"/>
      <c r="B52" s="47"/>
      <c r="C52" s="47"/>
      <c r="D52" s="47"/>
      <c r="E52" s="47"/>
      <c r="F52" s="47"/>
      <c r="G52" s="47"/>
      <c r="H52" s="47"/>
      <c r="I52" s="47"/>
      <c r="J52" s="47"/>
    </row>
    <row r="53" spans="1:11">
      <c r="A53" s="97"/>
      <c r="B53" s="95"/>
      <c r="C53" s="95"/>
      <c r="D53" s="95"/>
      <c r="E53" s="95"/>
      <c r="F53" s="95"/>
      <c r="G53" s="95"/>
      <c r="H53" s="95"/>
      <c r="I53" s="95"/>
      <c r="J53" s="95"/>
    </row>
    <row r="54" spans="1:11">
      <c r="A54" s="98"/>
      <c r="B54" s="95"/>
      <c r="C54" s="95"/>
      <c r="D54" s="95"/>
      <c r="E54" s="95"/>
      <c r="F54" s="95"/>
      <c r="G54" s="95"/>
      <c r="H54" s="95"/>
      <c r="I54" s="95"/>
      <c r="J54" s="95"/>
      <c r="K54" s="95"/>
    </row>
    <row r="55" spans="1:11">
      <c r="A55" s="98"/>
      <c r="B55" s="95"/>
      <c r="C55" s="95"/>
      <c r="D55" s="95"/>
      <c r="E55" s="95"/>
      <c r="F55" s="95"/>
      <c r="G55" s="95"/>
      <c r="H55" s="95"/>
      <c r="I55" s="95"/>
      <c r="J55" s="95"/>
    </row>
    <row r="56" spans="1:11">
      <c r="A56" s="99"/>
      <c r="B56" s="95"/>
      <c r="C56" s="95"/>
      <c r="D56" s="95"/>
      <c r="E56" s="95"/>
      <c r="F56" s="95"/>
      <c r="G56" s="95"/>
      <c r="H56" s="95"/>
      <c r="I56" s="95"/>
      <c r="J56" s="95"/>
      <c r="K56" s="95"/>
    </row>
    <row r="58" spans="1:11">
      <c r="B58" s="47"/>
      <c r="C58" s="47"/>
      <c r="D58" s="47"/>
      <c r="E58" s="47"/>
      <c r="F58" s="47"/>
      <c r="G58" s="47"/>
      <c r="H58" s="47"/>
      <c r="I58" s="47"/>
      <c r="J58" s="47"/>
    </row>
    <row r="59" spans="1:11">
      <c r="A59" s="100"/>
      <c r="B59" s="95"/>
      <c r="C59" s="95"/>
      <c r="D59" s="95"/>
      <c r="E59" s="95"/>
      <c r="F59" s="95"/>
      <c r="G59" s="95"/>
      <c r="H59" s="95"/>
      <c r="I59" s="95"/>
      <c r="J59" s="95"/>
    </row>
    <row r="60" spans="1:11">
      <c r="A60" s="100"/>
      <c r="B60" s="95"/>
      <c r="C60" s="95"/>
      <c r="D60" s="95"/>
      <c r="E60" s="95"/>
      <c r="F60" s="95"/>
      <c r="G60" s="95"/>
      <c r="H60" s="95"/>
      <c r="I60" s="95"/>
      <c r="J60" s="95"/>
    </row>
    <row r="63" spans="1:11">
      <c r="A63" s="47"/>
    </row>
    <row r="64" spans="1:11">
      <c r="B64" s="47"/>
      <c r="C64" s="47"/>
      <c r="D64" s="47"/>
      <c r="E64" s="47"/>
      <c r="F64" s="47"/>
      <c r="G64" s="47"/>
      <c r="H64" s="47"/>
      <c r="I64" s="47"/>
      <c r="J64" s="47"/>
    </row>
    <row r="65" spans="1:11">
      <c r="A65" s="96"/>
      <c r="B65" s="95"/>
      <c r="C65" s="95"/>
      <c r="D65" s="95"/>
      <c r="E65" s="95"/>
      <c r="F65" s="95"/>
      <c r="G65" s="95"/>
      <c r="H65" s="95"/>
      <c r="I65" s="95"/>
      <c r="J65" s="95"/>
    </row>
    <row r="66" spans="1:11">
      <c r="A66" s="96"/>
      <c r="B66" s="95"/>
      <c r="C66" s="95"/>
      <c r="D66" s="95"/>
      <c r="E66" s="95"/>
      <c r="F66" s="95"/>
      <c r="G66" s="95"/>
      <c r="H66" s="95"/>
      <c r="I66" s="95"/>
      <c r="J66" s="95"/>
    </row>
    <row r="68" spans="1:11">
      <c r="B68" s="47"/>
      <c r="C68" s="47"/>
      <c r="D68" s="47"/>
      <c r="E68" s="47"/>
      <c r="F68" s="47"/>
      <c r="G68" s="47"/>
      <c r="H68" s="47"/>
      <c r="I68" s="47"/>
      <c r="J68" s="47"/>
    </row>
    <row r="69" spans="1:11">
      <c r="A69" s="96"/>
      <c r="B69" s="95"/>
      <c r="C69" s="95"/>
      <c r="D69" s="95"/>
      <c r="E69" s="95"/>
      <c r="F69" s="95"/>
      <c r="G69" s="95"/>
      <c r="H69" s="95"/>
      <c r="I69" s="95"/>
      <c r="J69" s="95"/>
    </row>
    <row r="70" spans="1:11">
      <c r="A70" s="96"/>
      <c r="B70" s="95"/>
      <c r="C70" s="95"/>
      <c r="D70" s="95"/>
      <c r="E70" s="95"/>
      <c r="F70" s="95"/>
      <c r="G70" s="95"/>
      <c r="H70" s="95"/>
      <c r="I70" s="95"/>
      <c r="J70" s="95"/>
      <c r="K70" s="95"/>
    </row>
    <row r="71" spans="1:11">
      <c r="A71" s="96"/>
      <c r="B71" s="95"/>
      <c r="C71" s="95"/>
      <c r="D71" s="95"/>
      <c r="E71" s="95"/>
      <c r="F71" s="95"/>
      <c r="G71" s="95"/>
      <c r="H71" s="95"/>
      <c r="I71" s="95"/>
      <c r="J71" s="95"/>
    </row>
    <row r="72" spans="1:11">
      <c r="A72" s="96"/>
      <c r="B72" s="95"/>
      <c r="C72" s="95"/>
      <c r="D72" s="95"/>
      <c r="E72" s="95"/>
      <c r="F72" s="95"/>
      <c r="G72" s="95"/>
      <c r="H72" s="95"/>
      <c r="I72" s="95"/>
      <c r="J72" s="95"/>
      <c r="K72" s="95"/>
    </row>
    <row r="73" spans="1:11">
      <c r="A73" s="96"/>
      <c r="B73" s="95"/>
      <c r="C73" s="95"/>
      <c r="D73" s="95"/>
      <c r="E73" s="95"/>
      <c r="F73" s="95"/>
      <c r="G73" s="95"/>
      <c r="H73" s="95"/>
      <c r="I73" s="95"/>
      <c r="J73" s="95"/>
    </row>
    <row r="74" spans="1:11">
      <c r="A74" s="96"/>
      <c r="B74" s="95"/>
      <c r="C74" s="95"/>
      <c r="D74" s="95"/>
      <c r="E74" s="95"/>
      <c r="F74" s="95"/>
      <c r="G74" s="95"/>
      <c r="H74" s="95"/>
      <c r="I74" s="95"/>
      <c r="J74" s="95"/>
      <c r="K74" s="95"/>
    </row>
    <row r="75" spans="1:11">
      <c r="A75" s="96"/>
    </row>
    <row r="76" spans="1:11">
      <c r="A76" s="96"/>
      <c r="B76" s="47"/>
      <c r="C76" s="47"/>
      <c r="D76" s="47"/>
      <c r="E76" s="47"/>
      <c r="F76" s="47"/>
      <c r="G76" s="47"/>
      <c r="H76" s="47"/>
      <c r="I76" s="47"/>
      <c r="J76" s="47"/>
    </row>
    <row r="77" spans="1:11">
      <c r="A77" s="96"/>
      <c r="B77" s="95"/>
      <c r="C77" s="95"/>
      <c r="D77" s="95"/>
      <c r="E77" s="95"/>
      <c r="F77" s="95"/>
      <c r="G77" s="95"/>
      <c r="H77" s="95"/>
      <c r="I77" s="95"/>
      <c r="J77" s="95"/>
    </row>
    <row r="78" spans="1:11">
      <c r="A78" s="96"/>
      <c r="B78" s="95"/>
      <c r="C78" s="95"/>
      <c r="D78" s="95"/>
      <c r="E78" s="95"/>
      <c r="F78" s="95"/>
      <c r="G78" s="95"/>
      <c r="H78" s="95"/>
      <c r="I78" s="95"/>
      <c r="J78" s="95"/>
    </row>
    <row r="79" spans="1:11">
      <c r="A79" s="96"/>
      <c r="B79" s="95"/>
      <c r="C79" s="95"/>
      <c r="D79" s="95"/>
      <c r="E79" s="95"/>
      <c r="F79" s="95"/>
      <c r="G79" s="95"/>
      <c r="H79" s="95"/>
      <c r="I79" s="95"/>
      <c r="J79" s="95"/>
      <c r="K79" s="95"/>
    </row>
    <row r="80" spans="1:11">
      <c r="A80" s="96"/>
      <c r="B80" s="95"/>
      <c r="C80" s="95"/>
      <c r="D80" s="95"/>
      <c r="E80" s="95"/>
      <c r="F80" s="95"/>
      <c r="G80" s="95"/>
      <c r="H80" s="95"/>
      <c r="I80" s="95"/>
      <c r="J80" s="95"/>
    </row>
    <row r="81" spans="1:11">
      <c r="A81" s="96"/>
    </row>
    <row r="82" spans="1:11">
      <c r="A82" s="96"/>
      <c r="B82" s="47"/>
      <c r="C82" s="47"/>
      <c r="D82" s="47"/>
      <c r="E82" s="47"/>
      <c r="F82" s="47"/>
      <c r="G82" s="47"/>
      <c r="H82" s="47"/>
      <c r="I82" s="47"/>
      <c r="J82" s="47"/>
    </row>
    <row r="83" spans="1:11">
      <c r="A83" s="97"/>
      <c r="B83" s="95"/>
      <c r="C83" s="95"/>
      <c r="D83" s="95"/>
      <c r="E83" s="95"/>
      <c r="F83" s="95"/>
      <c r="G83" s="95"/>
      <c r="H83" s="95"/>
      <c r="I83" s="95"/>
      <c r="J83" s="95"/>
    </row>
    <row r="84" spans="1:11">
      <c r="A84" s="98"/>
      <c r="B84" s="95"/>
      <c r="C84" s="95"/>
      <c r="D84" s="95"/>
      <c r="E84" s="95"/>
      <c r="F84" s="95"/>
      <c r="G84" s="95"/>
      <c r="H84" s="95"/>
      <c r="I84" s="95"/>
      <c r="J84" s="95"/>
      <c r="K84" s="95"/>
    </row>
    <row r="85" spans="1:11">
      <c r="A85" s="98"/>
      <c r="B85" s="95"/>
      <c r="C85" s="95"/>
      <c r="D85" s="95"/>
      <c r="E85" s="95"/>
      <c r="F85" s="95"/>
      <c r="G85" s="95"/>
      <c r="H85" s="95"/>
      <c r="I85" s="95"/>
      <c r="J85" s="95"/>
    </row>
    <row r="86" spans="1:11">
      <c r="A86" s="99"/>
      <c r="B86" s="95"/>
      <c r="C86" s="95"/>
      <c r="D86" s="95"/>
      <c r="E86" s="95"/>
      <c r="F86" s="95"/>
      <c r="G86" s="95"/>
      <c r="H86" s="95"/>
      <c r="I86" s="95"/>
      <c r="J86" s="95"/>
      <c r="K86" s="95"/>
    </row>
    <row r="88" spans="1:11">
      <c r="B88" s="47"/>
      <c r="C88" s="47"/>
      <c r="D88" s="47"/>
      <c r="E88" s="47"/>
      <c r="F88" s="47"/>
      <c r="G88" s="47"/>
      <c r="H88" s="47"/>
      <c r="I88" s="47"/>
      <c r="J88" s="47"/>
    </row>
    <row r="89" spans="1:11">
      <c r="A89" s="100"/>
      <c r="B89" s="95"/>
      <c r="C89" s="95"/>
      <c r="D89" s="95"/>
      <c r="E89" s="95"/>
      <c r="F89" s="95"/>
      <c r="G89" s="95"/>
      <c r="H89" s="95"/>
      <c r="I89" s="95"/>
      <c r="J89" s="95"/>
    </row>
    <row r="90" spans="1:11">
      <c r="A90" s="100"/>
      <c r="B90" s="95"/>
      <c r="C90" s="95"/>
      <c r="D90" s="95"/>
      <c r="E90" s="95"/>
      <c r="F90" s="95"/>
      <c r="G90" s="95"/>
      <c r="H90" s="95"/>
      <c r="I90" s="95"/>
      <c r="J90" s="95"/>
    </row>
    <row r="1048576" spans="2:2">
      <c r="B1048576" s="95"/>
    </row>
  </sheetData>
  <mergeCells count="3">
    <mergeCell ref="A3:J3"/>
    <mergeCell ref="L3:T3"/>
    <mergeCell ref="V3:AP3"/>
  </mergeCells>
  <pageMargins left="0.7" right="0.7" top="0.75" bottom="0.75" header="0.3" footer="0.3"/>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58"/>
  <sheetViews>
    <sheetView topLeftCell="A7" zoomScale="60" zoomScaleNormal="60" workbookViewId="0">
      <selection activeCell="B45" sqref="B45:N58"/>
    </sheetView>
  </sheetViews>
  <sheetFormatPr defaultColWidth="12.28515625" defaultRowHeight="15"/>
  <cols>
    <col min="1" max="16384" width="12.28515625" style="1"/>
  </cols>
  <sheetData>
    <row r="1" spans="1:129" ht="36">
      <c r="A1" s="127" t="s">
        <v>229</v>
      </c>
      <c r="B1" s="117"/>
      <c r="C1" s="117"/>
      <c r="D1" s="117"/>
      <c r="E1" s="117"/>
    </row>
    <row r="3" spans="1:129" ht="72" customHeight="1">
      <c r="B3" s="160" t="s">
        <v>126</v>
      </c>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S3" s="167" t="s">
        <v>131</v>
      </c>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J3" s="160" t="s">
        <v>127</v>
      </c>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row>
    <row r="4" spans="1:129">
      <c r="B4" s="15"/>
      <c r="C4" s="161" t="s">
        <v>24</v>
      </c>
      <c r="D4" s="161"/>
      <c r="E4" s="161"/>
      <c r="F4" s="161"/>
      <c r="G4" s="161"/>
      <c r="H4" s="161"/>
      <c r="I4" s="161"/>
      <c r="J4" s="162"/>
      <c r="L4" s="11"/>
      <c r="M4" s="163" t="s">
        <v>25</v>
      </c>
      <c r="N4" s="163"/>
      <c r="O4" s="163"/>
      <c r="P4" s="163"/>
      <c r="Q4" s="163"/>
      <c r="R4" s="163"/>
      <c r="S4" s="163"/>
      <c r="T4" s="164"/>
      <c r="W4" s="165" t="s">
        <v>26</v>
      </c>
      <c r="X4" s="165"/>
      <c r="Y4" s="165"/>
      <c r="Z4" s="165"/>
      <c r="AA4" s="165"/>
      <c r="AB4" s="165"/>
      <c r="AC4" s="165"/>
      <c r="AD4" s="165"/>
      <c r="AG4" s="166" t="s">
        <v>12</v>
      </c>
      <c r="AH4" s="166"/>
      <c r="AI4" s="166"/>
      <c r="AJ4" s="166"/>
      <c r="AK4" s="166"/>
      <c r="AL4" s="166"/>
      <c r="AM4" s="166"/>
      <c r="AN4" s="166"/>
      <c r="AO4" s="166"/>
      <c r="AP4" s="166"/>
      <c r="AQ4" s="166"/>
      <c r="AS4" s="15"/>
      <c r="AT4" s="161" t="s">
        <v>8</v>
      </c>
      <c r="AU4" s="161"/>
      <c r="AV4" s="161"/>
      <c r="AW4" s="161"/>
      <c r="AX4" s="161"/>
      <c r="AY4" s="161"/>
      <c r="AZ4" s="161"/>
      <c r="BA4" s="162"/>
      <c r="BC4" s="11"/>
      <c r="BD4" s="163" t="s">
        <v>9</v>
      </c>
      <c r="BE4" s="163"/>
      <c r="BF4" s="163"/>
      <c r="BG4" s="163"/>
      <c r="BH4" s="163"/>
      <c r="BI4" s="163"/>
      <c r="BJ4" s="163"/>
      <c r="BK4" s="164"/>
      <c r="BN4" s="165" t="s">
        <v>10</v>
      </c>
      <c r="BO4" s="165"/>
      <c r="BP4" s="165"/>
      <c r="BQ4" s="165"/>
      <c r="BR4" s="165"/>
      <c r="BS4" s="165"/>
      <c r="BT4" s="165"/>
      <c r="BU4" s="165"/>
      <c r="BX4" s="166" t="s">
        <v>12</v>
      </c>
      <c r="BY4" s="166"/>
      <c r="BZ4" s="166"/>
      <c r="CA4" s="166"/>
      <c r="CB4" s="166"/>
      <c r="CC4" s="166"/>
      <c r="CD4" s="166"/>
      <c r="CE4" s="166"/>
      <c r="CF4" s="166"/>
      <c r="CG4" s="166"/>
      <c r="CH4" s="166"/>
      <c r="CJ4" s="15"/>
      <c r="CK4" s="161" t="s">
        <v>8</v>
      </c>
      <c r="CL4" s="161"/>
      <c r="CM4" s="161"/>
      <c r="CN4" s="161"/>
      <c r="CO4" s="161"/>
      <c r="CP4" s="161"/>
      <c r="CQ4" s="161"/>
      <c r="CR4" s="162"/>
      <c r="CT4" s="11"/>
      <c r="CU4" s="163" t="s">
        <v>9</v>
      </c>
      <c r="CV4" s="163"/>
      <c r="CW4" s="163"/>
      <c r="CX4" s="163"/>
      <c r="CY4" s="163"/>
      <c r="CZ4" s="163"/>
      <c r="DA4" s="163"/>
      <c r="DB4" s="164"/>
      <c r="DE4" s="165" t="s">
        <v>10</v>
      </c>
      <c r="DF4" s="165"/>
      <c r="DG4" s="165"/>
      <c r="DH4" s="165"/>
      <c r="DI4" s="165"/>
      <c r="DJ4" s="165"/>
      <c r="DK4" s="165"/>
      <c r="DL4" s="165"/>
      <c r="DO4" s="166" t="s">
        <v>12</v>
      </c>
      <c r="DP4" s="166"/>
      <c r="DQ4" s="166"/>
      <c r="DR4" s="166"/>
      <c r="DS4" s="166"/>
      <c r="DT4" s="166"/>
      <c r="DU4" s="166"/>
      <c r="DV4" s="166"/>
      <c r="DW4" s="166"/>
      <c r="DX4" s="166"/>
      <c r="DY4" s="166"/>
    </row>
    <row r="5" spans="1:129" ht="14.45" customHeight="1">
      <c r="B5" s="13" t="s">
        <v>0</v>
      </c>
      <c r="C5" s="13" t="s">
        <v>27</v>
      </c>
      <c r="D5" s="13" t="s">
        <v>28</v>
      </c>
      <c r="E5" s="13" t="s">
        <v>2</v>
      </c>
      <c r="F5" s="13" t="s">
        <v>3</v>
      </c>
      <c r="G5" s="13" t="s">
        <v>4</v>
      </c>
      <c r="H5" s="13" t="s">
        <v>5</v>
      </c>
      <c r="I5" s="13" t="s">
        <v>6</v>
      </c>
      <c r="J5" s="13" t="s">
        <v>7</v>
      </c>
      <c r="K5" s="103" t="s">
        <v>113</v>
      </c>
      <c r="L5" s="12" t="s">
        <v>0</v>
      </c>
      <c r="M5" s="13" t="s">
        <v>27</v>
      </c>
      <c r="N5" s="13" t="s">
        <v>28</v>
      </c>
      <c r="O5" s="13" t="s">
        <v>2</v>
      </c>
      <c r="P5" s="13" t="s">
        <v>3</v>
      </c>
      <c r="Q5" s="13" t="s">
        <v>4</v>
      </c>
      <c r="R5" s="13" t="s">
        <v>5</v>
      </c>
      <c r="S5" s="13" t="s">
        <v>6</v>
      </c>
      <c r="T5" s="13" t="s">
        <v>7</v>
      </c>
      <c r="V5" s="18" t="s">
        <v>0</v>
      </c>
      <c r="W5" s="13" t="s">
        <v>27</v>
      </c>
      <c r="X5" s="13" t="s">
        <v>28</v>
      </c>
      <c r="Y5" s="13" t="s">
        <v>2</v>
      </c>
      <c r="Z5" s="13" t="s">
        <v>3</v>
      </c>
      <c r="AA5" s="13" t="s">
        <v>4</v>
      </c>
      <c r="AB5" s="13" t="s">
        <v>5</v>
      </c>
      <c r="AC5" s="13" t="s">
        <v>6</v>
      </c>
      <c r="AD5" s="13" t="s">
        <v>7</v>
      </c>
      <c r="AF5" s="18" t="s">
        <v>0</v>
      </c>
      <c r="AG5" s="19" t="s">
        <v>13</v>
      </c>
      <c r="AH5" s="19" t="s">
        <v>14</v>
      </c>
      <c r="AI5" s="19" t="s">
        <v>15</v>
      </c>
      <c r="AJ5" s="19" t="s">
        <v>16</v>
      </c>
      <c r="AK5" s="19" t="s">
        <v>17</v>
      </c>
      <c r="AL5" s="19" t="s">
        <v>18</v>
      </c>
      <c r="AM5" s="19" t="s">
        <v>19</v>
      </c>
      <c r="AN5" s="19" t="s">
        <v>20</v>
      </c>
      <c r="AO5" s="23" t="s">
        <v>21</v>
      </c>
      <c r="AP5" s="23" t="s">
        <v>22</v>
      </c>
      <c r="AQ5" s="23" t="s">
        <v>23</v>
      </c>
      <c r="AS5" s="13" t="s">
        <v>0</v>
      </c>
      <c r="AT5" s="13" t="s">
        <v>27</v>
      </c>
      <c r="AU5" s="13" t="s">
        <v>28</v>
      </c>
      <c r="AV5" s="13" t="s">
        <v>2</v>
      </c>
      <c r="AW5" s="13" t="s">
        <v>3</v>
      </c>
      <c r="AX5" s="13" t="s">
        <v>4</v>
      </c>
      <c r="AY5" s="13" t="s">
        <v>5</v>
      </c>
      <c r="AZ5" s="13" t="s">
        <v>6</v>
      </c>
      <c r="BA5" s="13" t="s">
        <v>7</v>
      </c>
      <c r="BC5" s="12" t="s">
        <v>0</v>
      </c>
      <c r="BD5" s="13" t="s">
        <v>27</v>
      </c>
      <c r="BE5" s="13" t="s">
        <v>28</v>
      </c>
      <c r="BF5" s="13" t="s">
        <v>2</v>
      </c>
      <c r="BG5" s="13" t="s">
        <v>3</v>
      </c>
      <c r="BH5" s="13" t="s">
        <v>4</v>
      </c>
      <c r="BI5" s="13" t="s">
        <v>5</v>
      </c>
      <c r="BJ5" s="13" t="s">
        <v>6</v>
      </c>
      <c r="BK5" s="13" t="s">
        <v>7</v>
      </c>
      <c r="BM5" s="18" t="s">
        <v>0</v>
      </c>
      <c r="BN5" s="13" t="s">
        <v>27</v>
      </c>
      <c r="BO5" s="13" t="s">
        <v>28</v>
      </c>
      <c r="BP5" s="13" t="s">
        <v>2</v>
      </c>
      <c r="BQ5" s="13" t="s">
        <v>3</v>
      </c>
      <c r="BR5" s="13" t="s">
        <v>4</v>
      </c>
      <c r="BS5" s="13" t="s">
        <v>5</v>
      </c>
      <c r="BT5" s="13" t="s">
        <v>6</v>
      </c>
      <c r="BU5" s="13" t="s">
        <v>7</v>
      </c>
      <c r="BW5" s="18" t="s">
        <v>0</v>
      </c>
      <c r="BX5" s="19" t="s">
        <v>13</v>
      </c>
      <c r="BY5" s="19" t="s">
        <v>14</v>
      </c>
      <c r="BZ5" s="19" t="s">
        <v>15</v>
      </c>
      <c r="CA5" s="19" t="s">
        <v>16</v>
      </c>
      <c r="CB5" s="19" t="s">
        <v>17</v>
      </c>
      <c r="CC5" s="19" t="s">
        <v>18</v>
      </c>
      <c r="CD5" s="19" t="s">
        <v>19</v>
      </c>
      <c r="CE5" s="19" t="s">
        <v>20</v>
      </c>
      <c r="CF5" s="23" t="s">
        <v>21</v>
      </c>
      <c r="CG5" s="23" t="s">
        <v>22</v>
      </c>
      <c r="CH5" s="23" t="s">
        <v>23</v>
      </c>
      <c r="CJ5" s="13" t="s">
        <v>0</v>
      </c>
      <c r="CK5" s="13" t="s">
        <v>27</v>
      </c>
      <c r="CL5" s="13" t="s">
        <v>28</v>
      </c>
      <c r="CM5" s="13" t="s">
        <v>2</v>
      </c>
      <c r="CN5" s="13" t="s">
        <v>3</v>
      </c>
      <c r="CO5" s="13" t="s">
        <v>4</v>
      </c>
      <c r="CP5" s="13" t="s">
        <v>5</v>
      </c>
      <c r="CQ5" s="13" t="s">
        <v>6</v>
      </c>
      <c r="CR5" s="13" t="s">
        <v>7</v>
      </c>
      <c r="CT5" s="12" t="s">
        <v>0</v>
      </c>
      <c r="CU5" s="13" t="s">
        <v>27</v>
      </c>
      <c r="CV5" s="13" t="s">
        <v>28</v>
      </c>
      <c r="CW5" s="13" t="s">
        <v>2</v>
      </c>
      <c r="CX5" s="13" t="s">
        <v>3</v>
      </c>
      <c r="CY5" s="13" t="s">
        <v>4</v>
      </c>
      <c r="CZ5" s="13" t="s">
        <v>5</v>
      </c>
      <c r="DA5" s="13" t="s">
        <v>6</v>
      </c>
      <c r="DB5" s="13" t="s">
        <v>7</v>
      </c>
      <c r="DD5" s="18" t="s">
        <v>0</v>
      </c>
      <c r="DE5" s="13" t="s">
        <v>27</v>
      </c>
      <c r="DF5" s="13" t="s">
        <v>28</v>
      </c>
      <c r="DG5" s="13" t="s">
        <v>2</v>
      </c>
      <c r="DH5" s="13" t="s">
        <v>3</v>
      </c>
      <c r="DI5" s="13" t="s">
        <v>4</v>
      </c>
      <c r="DJ5" s="13" t="s">
        <v>5</v>
      </c>
      <c r="DK5" s="13" t="s">
        <v>6</v>
      </c>
      <c r="DL5" s="13" t="s">
        <v>7</v>
      </c>
      <c r="DN5" s="18" t="s">
        <v>0</v>
      </c>
      <c r="DO5" s="19" t="s">
        <v>13</v>
      </c>
      <c r="DP5" s="19" t="s">
        <v>14</v>
      </c>
      <c r="DQ5" s="19" t="s">
        <v>15</v>
      </c>
      <c r="DR5" s="19" t="s">
        <v>16</v>
      </c>
      <c r="DS5" s="19" t="s">
        <v>17</v>
      </c>
      <c r="DT5" s="19" t="s">
        <v>18</v>
      </c>
      <c r="DU5" s="19" t="s">
        <v>19</v>
      </c>
      <c r="DV5" s="19" t="s">
        <v>20</v>
      </c>
      <c r="DW5" s="23" t="s">
        <v>21</v>
      </c>
      <c r="DX5" s="23" t="s">
        <v>22</v>
      </c>
      <c r="DY5" s="23" t="s">
        <v>23</v>
      </c>
    </row>
    <row r="6" spans="1:129">
      <c r="B6" s="9">
        <v>1</v>
      </c>
      <c r="C6" s="33">
        <v>0.25</v>
      </c>
      <c r="D6" s="101"/>
      <c r="E6" s="102">
        <v>0</v>
      </c>
      <c r="F6" s="102">
        <v>0</v>
      </c>
      <c r="G6" s="102">
        <v>0</v>
      </c>
      <c r="H6" s="102">
        <v>1</v>
      </c>
      <c r="I6" s="33">
        <v>0</v>
      </c>
      <c r="J6" s="34"/>
      <c r="K6" s="102"/>
      <c r="L6" s="9">
        <v>1</v>
      </c>
      <c r="M6" s="6">
        <v>108</v>
      </c>
      <c r="N6" s="83"/>
      <c r="O6" s="83">
        <v>156</v>
      </c>
      <c r="P6" s="83">
        <v>28</v>
      </c>
      <c r="Q6" s="83">
        <v>82</v>
      </c>
      <c r="R6" s="83">
        <v>45</v>
      </c>
      <c r="S6" s="6">
        <v>10</v>
      </c>
      <c r="T6" s="7"/>
      <c r="V6" s="2">
        <v>1</v>
      </c>
      <c r="W6" s="3">
        <v>5</v>
      </c>
      <c r="X6" s="21"/>
      <c r="Y6" s="21">
        <v>3</v>
      </c>
      <c r="Z6" s="21">
        <v>5</v>
      </c>
      <c r="AA6" s="21">
        <v>1</v>
      </c>
      <c r="AB6" s="21">
        <v>5</v>
      </c>
      <c r="AC6" s="3">
        <v>5</v>
      </c>
      <c r="AD6" s="3"/>
      <c r="AF6" s="2">
        <v>1</v>
      </c>
      <c r="AG6" s="3">
        <v>5</v>
      </c>
      <c r="AH6" s="3">
        <v>3</v>
      </c>
      <c r="AI6" s="3">
        <v>3</v>
      </c>
      <c r="AJ6" s="3">
        <v>1</v>
      </c>
      <c r="AK6" s="3">
        <v>5</v>
      </c>
      <c r="AL6" s="3">
        <v>1</v>
      </c>
      <c r="AM6" s="3">
        <v>4</v>
      </c>
      <c r="AN6" s="3">
        <v>2</v>
      </c>
      <c r="AO6" s="21">
        <v>3</v>
      </c>
      <c r="AP6" s="21">
        <v>4</v>
      </c>
      <c r="AQ6" s="21">
        <f t="shared" ref="AQ6:AQ41" si="0">((AG6-1)+(5-AH6)+(AI6-1)+(5-AJ6)+(AK6-1)+(5-AL6)+(AM6-1)+(5-AN6)+(AO6-1)+(5-AP6))*2.5</f>
        <v>72.5</v>
      </c>
      <c r="AS6" s="9">
        <v>1</v>
      </c>
      <c r="AT6" s="33">
        <v>0.25</v>
      </c>
      <c r="AU6" s="33">
        <v>0.25</v>
      </c>
      <c r="AV6" s="33">
        <v>1</v>
      </c>
      <c r="AW6" s="33">
        <v>1</v>
      </c>
      <c r="AX6" s="33">
        <v>0.25</v>
      </c>
      <c r="AY6" s="33">
        <v>1</v>
      </c>
      <c r="AZ6" s="33">
        <v>1</v>
      </c>
      <c r="BA6" s="38">
        <v>1</v>
      </c>
      <c r="BC6" s="9">
        <v>1</v>
      </c>
      <c r="BD6" s="6">
        <v>216</v>
      </c>
      <c r="BE6" s="6">
        <v>120</v>
      </c>
      <c r="BF6" s="6">
        <v>46</v>
      </c>
      <c r="BG6" s="6">
        <v>100</v>
      </c>
      <c r="BH6" s="6">
        <v>105</v>
      </c>
      <c r="BI6" s="6">
        <v>21</v>
      </c>
      <c r="BJ6" s="6">
        <v>107</v>
      </c>
      <c r="BK6" s="7">
        <v>33</v>
      </c>
      <c r="BM6" s="2">
        <v>1</v>
      </c>
      <c r="BN6" s="3">
        <v>2</v>
      </c>
      <c r="BO6" s="3">
        <v>2</v>
      </c>
      <c r="BP6" s="3">
        <v>2</v>
      </c>
      <c r="BQ6" s="3">
        <v>3</v>
      </c>
      <c r="BR6" s="3">
        <v>1</v>
      </c>
      <c r="BS6" s="3">
        <v>5</v>
      </c>
      <c r="BT6" s="3">
        <v>2</v>
      </c>
      <c r="BU6" s="3">
        <v>5</v>
      </c>
      <c r="BW6" s="2">
        <v>1</v>
      </c>
      <c r="BX6" s="3">
        <v>4</v>
      </c>
      <c r="BY6" s="3">
        <v>4</v>
      </c>
      <c r="BZ6" s="3">
        <v>2</v>
      </c>
      <c r="CA6" s="3">
        <v>4</v>
      </c>
      <c r="CB6" s="3">
        <v>3</v>
      </c>
      <c r="CC6" s="3">
        <v>3</v>
      </c>
      <c r="CD6" s="3">
        <v>3</v>
      </c>
      <c r="CE6" s="3">
        <v>3</v>
      </c>
      <c r="CF6" s="21">
        <v>2</v>
      </c>
      <c r="CG6" s="21">
        <v>5</v>
      </c>
      <c r="CH6" s="21">
        <f t="shared" ref="CH6:CH41" si="1">((BX6-1)+(5-BY6)+(BZ6-1)+(5-CA6)+(CB6-1)+(5-CC6)+(CD6-1)+(5-CE6)+(CF6-1)+(5-CG6))*2.5</f>
        <v>37.5</v>
      </c>
      <c r="CJ6" s="9">
        <v>1</v>
      </c>
      <c r="CK6" s="33">
        <v>0</v>
      </c>
      <c r="CL6" s="33">
        <v>0</v>
      </c>
      <c r="CM6" s="33">
        <v>0</v>
      </c>
      <c r="CN6" s="33">
        <v>1</v>
      </c>
      <c r="CO6" s="33">
        <v>1</v>
      </c>
      <c r="CP6" s="33">
        <v>0</v>
      </c>
      <c r="CQ6" s="33">
        <v>0</v>
      </c>
      <c r="CR6" s="34">
        <v>1</v>
      </c>
      <c r="CT6" s="9">
        <v>1</v>
      </c>
      <c r="CU6" s="6">
        <v>300</v>
      </c>
      <c r="CV6" s="6">
        <v>147</v>
      </c>
      <c r="CW6" s="6">
        <v>142</v>
      </c>
      <c r="CX6" s="6">
        <v>116</v>
      </c>
      <c r="CY6" s="6">
        <v>54</v>
      </c>
      <c r="CZ6" s="6">
        <v>55</v>
      </c>
      <c r="DA6" s="6">
        <v>98</v>
      </c>
      <c r="DB6" s="7">
        <v>42</v>
      </c>
      <c r="DD6" s="2">
        <v>1</v>
      </c>
      <c r="DE6" s="3">
        <v>1</v>
      </c>
      <c r="DF6" s="3">
        <v>1</v>
      </c>
      <c r="DG6" s="3">
        <v>1</v>
      </c>
      <c r="DH6" s="3">
        <v>1</v>
      </c>
      <c r="DI6" s="3">
        <v>1</v>
      </c>
      <c r="DJ6" s="3">
        <v>1</v>
      </c>
      <c r="DK6" s="3">
        <v>1</v>
      </c>
      <c r="DL6" s="3">
        <v>1</v>
      </c>
      <c r="DN6" s="2">
        <v>1</v>
      </c>
      <c r="DO6" s="3">
        <v>1</v>
      </c>
      <c r="DP6" s="3">
        <v>5</v>
      </c>
      <c r="DQ6" s="3">
        <v>1</v>
      </c>
      <c r="DR6" s="3">
        <v>5</v>
      </c>
      <c r="DS6" s="3">
        <v>1</v>
      </c>
      <c r="DT6" s="3">
        <v>5</v>
      </c>
      <c r="DU6" s="3">
        <v>1</v>
      </c>
      <c r="DV6" s="3">
        <v>5</v>
      </c>
      <c r="DW6" s="21">
        <v>1</v>
      </c>
      <c r="DX6" s="21">
        <v>5</v>
      </c>
      <c r="DY6" s="21">
        <f t="shared" ref="DY6:DY41" si="2">((DO6-1)+(5-DP6)+(DQ6-1)+(5-DR6)+(DS6-1)+(5-DT6)+(DU6-1)+(5-DV6)+(DW6-1)+(5-DX6))*2.5</f>
        <v>0</v>
      </c>
    </row>
    <row r="7" spans="1:129">
      <c r="B7" s="9">
        <v>2</v>
      </c>
      <c r="C7" s="33">
        <v>0.25</v>
      </c>
      <c r="D7" s="34"/>
      <c r="E7" s="33">
        <v>1</v>
      </c>
      <c r="F7" s="33">
        <v>0</v>
      </c>
      <c r="G7" s="33">
        <v>0</v>
      </c>
      <c r="H7" s="33">
        <v>0</v>
      </c>
      <c r="I7" s="33">
        <v>0</v>
      </c>
      <c r="J7" s="34"/>
      <c r="K7" s="102"/>
      <c r="L7" s="9">
        <v>2</v>
      </c>
      <c r="M7" s="6">
        <v>81</v>
      </c>
      <c r="N7" s="6"/>
      <c r="O7" s="6">
        <v>180</v>
      </c>
      <c r="P7" s="6">
        <v>87</v>
      </c>
      <c r="Q7" s="6">
        <v>118</v>
      </c>
      <c r="R7" s="6">
        <v>60</v>
      </c>
      <c r="S7" s="6">
        <v>150</v>
      </c>
      <c r="T7" s="7"/>
      <c r="V7" s="2">
        <v>2</v>
      </c>
      <c r="W7" s="3">
        <v>4</v>
      </c>
      <c r="X7" s="3"/>
      <c r="Y7" s="3">
        <v>3</v>
      </c>
      <c r="Z7" s="3">
        <v>2</v>
      </c>
      <c r="AA7" s="3">
        <v>1</v>
      </c>
      <c r="AB7" s="3">
        <v>1</v>
      </c>
      <c r="AC7" s="3">
        <v>1</v>
      </c>
      <c r="AD7" s="3"/>
      <c r="AF7" s="2">
        <v>2</v>
      </c>
      <c r="AG7" s="3">
        <v>3</v>
      </c>
      <c r="AH7" s="3">
        <v>5</v>
      </c>
      <c r="AI7" s="3">
        <v>1</v>
      </c>
      <c r="AJ7" s="3">
        <v>5</v>
      </c>
      <c r="AK7" s="3">
        <v>4</v>
      </c>
      <c r="AL7" s="3">
        <v>4</v>
      </c>
      <c r="AM7" s="3">
        <v>2</v>
      </c>
      <c r="AN7" s="3">
        <v>4</v>
      </c>
      <c r="AO7" s="3">
        <v>1</v>
      </c>
      <c r="AP7" s="3">
        <v>5</v>
      </c>
      <c r="AQ7" s="3">
        <f t="shared" si="0"/>
        <v>20</v>
      </c>
      <c r="AS7" s="9">
        <v>2</v>
      </c>
      <c r="AT7" s="33">
        <v>0</v>
      </c>
      <c r="AU7" s="33">
        <v>1</v>
      </c>
      <c r="AV7" s="33">
        <v>1</v>
      </c>
      <c r="AW7" s="33">
        <v>1</v>
      </c>
      <c r="AX7" s="33">
        <v>0.25</v>
      </c>
      <c r="AY7" s="33">
        <v>0</v>
      </c>
      <c r="AZ7" s="33">
        <v>1</v>
      </c>
      <c r="BA7" s="34">
        <v>1</v>
      </c>
      <c r="BC7" s="9">
        <v>2</v>
      </c>
      <c r="BD7" s="26">
        <v>158</v>
      </c>
      <c r="BE7" s="6">
        <v>179</v>
      </c>
      <c r="BF7" s="6">
        <v>105</v>
      </c>
      <c r="BG7" s="6">
        <v>50</v>
      </c>
      <c r="BH7" s="6">
        <v>50</v>
      </c>
      <c r="BI7" s="6">
        <v>68</v>
      </c>
      <c r="BJ7" s="6">
        <v>110</v>
      </c>
      <c r="BK7" s="7">
        <v>27</v>
      </c>
      <c r="BM7" s="2">
        <v>2</v>
      </c>
      <c r="BN7" s="3">
        <v>1</v>
      </c>
      <c r="BO7" s="3">
        <v>2</v>
      </c>
      <c r="BP7" s="3">
        <v>3</v>
      </c>
      <c r="BQ7" s="3">
        <v>2</v>
      </c>
      <c r="BR7" s="3">
        <v>3</v>
      </c>
      <c r="BS7" s="3">
        <v>1</v>
      </c>
      <c r="BT7" s="3">
        <v>3</v>
      </c>
      <c r="BU7" s="3">
        <v>5</v>
      </c>
      <c r="BW7" s="2">
        <v>2</v>
      </c>
      <c r="BX7" s="3">
        <v>3</v>
      </c>
      <c r="BY7" s="3">
        <v>4</v>
      </c>
      <c r="BZ7" s="3">
        <v>2</v>
      </c>
      <c r="CA7" s="3">
        <v>5</v>
      </c>
      <c r="CB7" s="3">
        <v>3</v>
      </c>
      <c r="CC7" s="3">
        <v>2</v>
      </c>
      <c r="CD7" s="3">
        <v>2</v>
      </c>
      <c r="CE7" s="3">
        <v>4</v>
      </c>
      <c r="CF7" s="3">
        <v>2</v>
      </c>
      <c r="CG7" s="3">
        <v>5</v>
      </c>
      <c r="CH7" s="3">
        <f t="shared" si="1"/>
        <v>30</v>
      </c>
      <c r="CJ7" s="9">
        <v>2</v>
      </c>
      <c r="CK7" s="33">
        <v>0</v>
      </c>
      <c r="CL7" s="33">
        <v>0</v>
      </c>
      <c r="CM7" s="33">
        <v>0</v>
      </c>
      <c r="CN7" s="33">
        <v>0</v>
      </c>
      <c r="CO7" s="33">
        <v>0</v>
      </c>
      <c r="CP7" s="33">
        <v>0</v>
      </c>
      <c r="CQ7" s="33">
        <v>0</v>
      </c>
      <c r="CR7" s="34">
        <v>0</v>
      </c>
      <c r="CT7" s="9">
        <v>2</v>
      </c>
      <c r="CU7" s="6">
        <v>300</v>
      </c>
      <c r="CV7" s="6">
        <v>300</v>
      </c>
      <c r="CW7" s="6">
        <v>134</v>
      </c>
      <c r="CX7" s="6">
        <v>159</v>
      </c>
      <c r="CY7" s="6">
        <v>161</v>
      </c>
      <c r="CZ7" s="6">
        <v>128</v>
      </c>
      <c r="DA7" s="6">
        <v>142</v>
      </c>
      <c r="DB7" s="7">
        <v>180</v>
      </c>
      <c r="DD7" s="2">
        <v>2</v>
      </c>
      <c r="DE7" s="3">
        <v>1</v>
      </c>
      <c r="DF7" s="3">
        <v>2</v>
      </c>
      <c r="DG7" s="3">
        <v>1</v>
      </c>
      <c r="DH7" s="3">
        <v>2</v>
      </c>
      <c r="DI7" s="3">
        <v>1</v>
      </c>
      <c r="DJ7" s="3">
        <v>1</v>
      </c>
      <c r="DK7" s="3">
        <v>1</v>
      </c>
      <c r="DL7" s="3">
        <v>1</v>
      </c>
      <c r="DN7" s="2">
        <v>2</v>
      </c>
      <c r="DO7" s="3">
        <v>1</v>
      </c>
      <c r="DP7" s="3">
        <v>1</v>
      </c>
      <c r="DQ7" s="3">
        <v>1</v>
      </c>
      <c r="DR7" s="3">
        <v>5</v>
      </c>
      <c r="DS7" s="3">
        <v>1</v>
      </c>
      <c r="DT7" s="3">
        <v>4</v>
      </c>
      <c r="DU7" s="3">
        <v>1</v>
      </c>
      <c r="DV7" s="3">
        <v>5</v>
      </c>
      <c r="DW7" s="3">
        <v>1</v>
      </c>
      <c r="DX7" s="3">
        <v>5</v>
      </c>
      <c r="DY7" s="3">
        <f t="shared" si="2"/>
        <v>12.5</v>
      </c>
    </row>
    <row r="8" spans="1:129">
      <c r="B8" s="9">
        <v>3</v>
      </c>
      <c r="C8" s="33">
        <v>1</v>
      </c>
      <c r="D8" s="34"/>
      <c r="E8" s="33">
        <v>0.25</v>
      </c>
      <c r="F8" s="33">
        <v>0</v>
      </c>
      <c r="G8" s="33">
        <v>0</v>
      </c>
      <c r="H8" s="33">
        <v>0</v>
      </c>
      <c r="I8" s="33">
        <v>1</v>
      </c>
      <c r="J8" s="34"/>
      <c r="K8" s="102"/>
      <c r="L8" s="9">
        <v>3</v>
      </c>
      <c r="M8" s="6">
        <v>93</v>
      </c>
      <c r="N8" s="6"/>
      <c r="O8" s="6">
        <v>121</v>
      </c>
      <c r="P8" s="6">
        <v>89</v>
      </c>
      <c r="Q8" s="6">
        <v>139</v>
      </c>
      <c r="R8" s="6">
        <v>180</v>
      </c>
      <c r="S8" s="6">
        <v>172</v>
      </c>
      <c r="T8" s="7"/>
      <c r="V8" s="2">
        <v>3</v>
      </c>
      <c r="W8" s="3">
        <v>5</v>
      </c>
      <c r="X8" s="3"/>
      <c r="Y8" s="3">
        <v>4</v>
      </c>
      <c r="Z8" s="3">
        <v>2</v>
      </c>
      <c r="AA8" s="3">
        <v>1</v>
      </c>
      <c r="AB8" s="3">
        <v>3</v>
      </c>
      <c r="AC8" s="3">
        <v>2</v>
      </c>
      <c r="AD8" s="3"/>
      <c r="AF8" s="2">
        <v>3</v>
      </c>
      <c r="AG8" s="3">
        <v>4</v>
      </c>
      <c r="AH8" s="3">
        <v>3</v>
      </c>
      <c r="AI8" s="3">
        <v>3</v>
      </c>
      <c r="AJ8" s="3">
        <v>1</v>
      </c>
      <c r="AK8" s="3">
        <v>3</v>
      </c>
      <c r="AL8" s="3">
        <v>2</v>
      </c>
      <c r="AM8" s="3">
        <v>4</v>
      </c>
      <c r="AN8" s="3">
        <v>2</v>
      </c>
      <c r="AO8" s="3">
        <v>3</v>
      </c>
      <c r="AP8" s="3">
        <v>1</v>
      </c>
      <c r="AQ8" s="3">
        <f t="shared" si="0"/>
        <v>70</v>
      </c>
      <c r="AS8" s="9">
        <v>3</v>
      </c>
      <c r="AT8" s="33">
        <v>0</v>
      </c>
      <c r="AU8" s="33">
        <v>0</v>
      </c>
      <c r="AV8" s="33">
        <v>0</v>
      </c>
      <c r="AW8" s="33">
        <v>1</v>
      </c>
      <c r="AX8" s="33">
        <v>0.25</v>
      </c>
      <c r="AY8" s="33">
        <v>1</v>
      </c>
      <c r="AZ8" s="33">
        <v>1</v>
      </c>
      <c r="BA8" s="34">
        <v>1</v>
      </c>
      <c r="BC8" s="9">
        <v>3</v>
      </c>
      <c r="BD8" s="6">
        <v>180</v>
      </c>
      <c r="BE8" s="6">
        <v>180</v>
      </c>
      <c r="BF8" s="6">
        <v>180</v>
      </c>
      <c r="BG8" s="6">
        <v>14</v>
      </c>
      <c r="BH8" s="6">
        <v>168</v>
      </c>
      <c r="BI8" s="6">
        <v>21</v>
      </c>
      <c r="BJ8" s="6">
        <v>19</v>
      </c>
      <c r="BK8" s="7">
        <v>13</v>
      </c>
      <c r="BM8" s="2">
        <v>3</v>
      </c>
      <c r="BN8" s="3">
        <v>1</v>
      </c>
      <c r="BO8" s="3">
        <v>2</v>
      </c>
      <c r="BP8" s="3">
        <v>1</v>
      </c>
      <c r="BQ8" s="3">
        <v>5</v>
      </c>
      <c r="BR8" s="3">
        <v>5</v>
      </c>
      <c r="BS8" s="3">
        <v>5</v>
      </c>
      <c r="BT8" s="3">
        <v>5</v>
      </c>
      <c r="BU8" s="3">
        <v>5</v>
      </c>
      <c r="BW8" s="2">
        <v>3</v>
      </c>
      <c r="BX8" s="3">
        <v>5</v>
      </c>
      <c r="BY8" s="3">
        <v>4</v>
      </c>
      <c r="BZ8" s="3">
        <v>3</v>
      </c>
      <c r="CA8" s="3">
        <v>1</v>
      </c>
      <c r="CB8" s="3">
        <v>4</v>
      </c>
      <c r="CC8" s="3">
        <v>2</v>
      </c>
      <c r="CD8" s="3">
        <v>4</v>
      </c>
      <c r="CE8" s="3">
        <v>2</v>
      </c>
      <c r="CF8" s="3">
        <v>3</v>
      </c>
      <c r="CG8" s="3">
        <v>4</v>
      </c>
      <c r="CH8" s="3">
        <f t="shared" si="1"/>
        <v>65</v>
      </c>
      <c r="CJ8" s="9">
        <v>3</v>
      </c>
      <c r="CK8" s="33">
        <v>0</v>
      </c>
      <c r="CL8" s="33">
        <v>0</v>
      </c>
      <c r="CM8" s="33">
        <v>0.25</v>
      </c>
      <c r="CN8" s="33">
        <v>1</v>
      </c>
      <c r="CO8" s="33">
        <v>0.25</v>
      </c>
      <c r="CP8" s="33">
        <v>0</v>
      </c>
      <c r="CQ8" s="33">
        <v>0</v>
      </c>
      <c r="CR8" s="34">
        <v>1</v>
      </c>
      <c r="CT8" s="9">
        <v>3</v>
      </c>
      <c r="CU8" s="6">
        <v>274</v>
      </c>
      <c r="CV8" s="27">
        <v>300</v>
      </c>
      <c r="CW8" s="6">
        <v>300</v>
      </c>
      <c r="CX8" s="6">
        <v>20</v>
      </c>
      <c r="CY8" s="6">
        <v>29</v>
      </c>
      <c r="CZ8" s="6">
        <v>152</v>
      </c>
      <c r="DA8" s="6">
        <v>43</v>
      </c>
      <c r="DB8" s="7">
        <v>23</v>
      </c>
      <c r="DD8" s="2">
        <v>3</v>
      </c>
      <c r="DE8" s="3">
        <v>3</v>
      </c>
      <c r="DF8" s="3">
        <v>3</v>
      </c>
      <c r="DG8" s="3">
        <v>2</v>
      </c>
      <c r="DH8" s="3">
        <v>5</v>
      </c>
      <c r="DI8" s="3">
        <v>5</v>
      </c>
      <c r="DJ8" s="3">
        <v>2</v>
      </c>
      <c r="DK8" s="3">
        <v>3</v>
      </c>
      <c r="DL8" s="3">
        <v>5</v>
      </c>
      <c r="DN8" s="2">
        <v>3</v>
      </c>
      <c r="DO8" s="3">
        <v>1</v>
      </c>
      <c r="DP8" s="3">
        <v>4</v>
      </c>
      <c r="DQ8" s="3">
        <v>2</v>
      </c>
      <c r="DR8" s="3">
        <v>2</v>
      </c>
      <c r="DS8" s="3">
        <v>2</v>
      </c>
      <c r="DT8" s="3">
        <v>3</v>
      </c>
      <c r="DU8" s="3">
        <v>2</v>
      </c>
      <c r="DV8" s="3">
        <v>4</v>
      </c>
      <c r="DW8" s="3">
        <v>3</v>
      </c>
      <c r="DX8" s="3">
        <v>3</v>
      </c>
      <c r="DY8" s="3">
        <f t="shared" si="2"/>
        <v>35</v>
      </c>
    </row>
    <row r="9" spans="1:129">
      <c r="B9" s="9">
        <v>4</v>
      </c>
      <c r="C9" s="33">
        <v>1</v>
      </c>
      <c r="D9" s="34"/>
      <c r="E9" s="33">
        <v>0</v>
      </c>
      <c r="F9" s="33">
        <v>0</v>
      </c>
      <c r="G9" s="33">
        <v>1</v>
      </c>
      <c r="H9" s="33">
        <v>1</v>
      </c>
      <c r="I9" s="33">
        <v>1</v>
      </c>
      <c r="J9" s="34"/>
      <c r="K9" s="102"/>
      <c r="L9" s="9">
        <v>4</v>
      </c>
      <c r="M9" s="6">
        <v>200</v>
      </c>
      <c r="N9" s="6"/>
      <c r="O9" s="6">
        <v>155</v>
      </c>
      <c r="P9" s="6">
        <v>166</v>
      </c>
      <c r="Q9" s="6">
        <v>83</v>
      </c>
      <c r="R9" s="6">
        <v>52</v>
      </c>
      <c r="S9" s="6">
        <v>36</v>
      </c>
      <c r="T9" s="7"/>
      <c r="V9" s="2">
        <v>4</v>
      </c>
      <c r="W9" s="3">
        <v>4</v>
      </c>
      <c r="X9" s="3"/>
      <c r="Y9" s="3">
        <v>1</v>
      </c>
      <c r="Z9" s="3">
        <v>2</v>
      </c>
      <c r="AA9" s="3">
        <v>2</v>
      </c>
      <c r="AB9" s="3">
        <v>4</v>
      </c>
      <c r="AC9" s="3">
        <v>3</v>
      </c>
      <c r="AD9" s="3"/>
      <c r="AF9" s="2">
        <v>4</v>
      </c>
      <c r="AG9" s="3">
        <v>4</v>
      </c>
      <c r="AH9" s="3">
        <v>3</v>
      </c>
      <c r="AI9" s="3">
        <v>3</v>
      </c>
      <c r="AJ9" s="3">
        <v>2</v>
      </c>
      <c r="AK9" s="3">
        <v>4</v>
      </c>
      <c r="AL9" s="3">
        <v>2</v>
      </c>
      <c r="AM9" s="3">
        <v>4</v>
      </c>
      <c r="AN9" s="3">
        <v>1</v>
      </c>
      <c r="AO9" s="3">
        <v>4</v>
      </c>
      <c r="AP9" s="3">
        <v>2</v>
      </c>
      <c r="AQ9" s="3">
        <f t="shared" si="0"/>
        <v>72.5</v>
      </c>
      <c r="AS9" s="9">
        <v>4</v>
      </c>
      <c r="AT9" s="33">
        <v>0.25</v>
      </c>
      <c r="AU9" s="33">
        <v>1</v>
      </c>
      <c r="AV9" s="33">
        <v>0</v>
      </c>
      <c r="AW9" s="33">
        <v>1</v>
      </c>
      <c r="AX9" s="33">
        <v>0</v>
      </c>
      <c r="AY9" s="33">
        <v>1</v>
      </c>
      <c r="AZ9" s="33">
        <v>0</v>
      </c>
      <c r="BA9" s="34">
        <v>1</v>
      </c>
      <c r="BC9" s="9">
        <v>4</v>
      </c>
      <c r="BD9" s="6">
        <v>300</v>
      </c>
      <c r="BE9" s="6">
        <v>299</v>
      </c>
      <c r="BF9" s="6">
        <v>300</v>
      </c>
      <c r="BG9" s="6">
        <v>33</v>
      </c>
      <c r="BH9" s="6">
        <v>113</v>
      </c>
      <c r="BI9" s="6">
        <v>7</v>
      </c>
      <c r="BJ9" s="6">
        <v>114</v>
      </c>
      <c r="BK9" s="7">
        <v>15</v>
      </c>
      <c r="BM9" s="2">
        <v>4</v>
      </c>
      <c r="BN9" s="3">
        <v>2</v>
      </c>
      <c r="BO9" s="3">
        <v>3</v>
      </c>
      <c r="BP9" s="3">
        <v>2</v>
      </c>
      <c r="BQ9" s="3">
        <v>1</v>
      </c>
      <c r="BR9" s="3">
        <v>3</v>
      </c>
      <c r="BS9" s="3">
        <v>5</v>
      </c>
      <c r="BT9" s="3">
        <v>3</v>
      </c>
      <c r="BU9" s="3">
        <v>5</v>
      </c>
      <c r="BW9" s="2">
        <v>4</v>
      </c>
      <c r="BX9" s="3">
        <v>2</v>
      </c>
      <c r="BY9" s="3">
        <v>4</v>
      </c>
      <c r="BZ9" s="3">
        <v>3</v>
      </c>
      <c r="CA9" s="3">
        <v>4</v>
      </c>
      <c r="CB9" s="3">
        <v>2</v>
      </c>
      <c r="CC9" s="3">
        <v>4</v>
      </c>
      <c r="CD9" s="3">
        <v>1</v>
      </c>
      <c r="CE9" s="3">
        <v>3</v>
      </c>
      <c r="CF9" s="3">
        <v>2</v>
      </c>
      <c r="CG9" s="3">
        <v>3</v>
      </c>
      <c r="CH9" s="3">
        <f t="shared" si="1"/>
        <v>30</v>
      </c>
      <c r="CJ9" s="9">
        <v>4</v>
      </c>
      <c r="CK9" s="33">
        <v>0</v>
      </c>
      <c r="CL9" s="33">
        <v>0</v>
      </c>
      <c r="CM9" s="33">
        <v>0</v>
      </c>
      <c r="CN9" s="33">
        <v>1</v>
      </c>
      <c r="CO9" s="33">
        <v>0.25</v>
      </c>
      <c r="CP9" s="33">
        <v>0</v>
      </c>
      <c r="CQ9" s="33">
        <v>0</v>
      </c>
      <c r="CR9" s="34">
        <v>1</v>
      </c>
      <c r="CT9" s="9">
        <v>4</v>
      </c>
      <c r="CU9" s="6">
        <v>300</v>
      </c>
      <c r="CV9" s="6">
        <v>48</v>
      </c>
      <c r="CW9" s="6">
        <v>128</v>
      </c>
      <c r="CX9" s="6">
        <v>51</v>
      </c>
      <c r="CY9" s="6">
        <v>71</v>
      </c>
      <c r="CZ9" s="6">
        <v>140</v>
      </c>
      <c r="DA9" s="6">
        <v>53</v>
      </c>
      <c r="DB9" s="7">
        <v>15</v>
      </c>
      <c r="DD9" s="2">
        <v>4</v>
      </c>
      <c r="DE9" s="3">
        <v>2</v>
      </c>
      <c r="DF9" s="3">
        <v>3</v>
      </c>
      <c r="DG9" s="3">
        <v>4</v>
      </c>
      <c r="DH9" s="3">
        <v>4</v>
      </c>
      <c r="DI9" s="3">
        <v>4</v>
      </c>
      <c r="DJ9" s="3">
        <v>1</v>
      </c>
      <c r="DK9" s="3">
        <v>3</v>
      </c>
      <c r="DL9" s="3">
        <v>5</v>
      </c>
      <c r="DN9" s="2">
        <v>4</v>
      </c>
      <c r="DO9" s="3">
        <v>2</v>
      </c>
      <c r="DP9" s="3">
        <v>4</v>
      </c>
      <c r="DQ9" s="3">
        <v>3</v>
      </c>
      <c r="DR9" s="3">
        <v>4</v>
      </c>
      <c r="DS9" s="3">
        <v>2</v>
      </c>
      <c r="DT9" s="3">
        <v>3</v>
      </c>
      <c r="DU9" s="3">
        <v>1</v>
      </c>
      <c r="DV9" s="3">
        <v>4</v>
      </c>
      <c r="DW9" s="3">
        <v>1</v>
      </c>
      <c r="DX9" s="3">
        <v>4</v>
      </c>
      <c r="DY9" s="3">
        <f t="shared" si="2"/>
        <v>25</v>
      </c>
    </row>
    <row r="10" spans="1:129">
      <c r="B10" s="9">
        <v>5</v>
      </c>
      <c r="C10" s="33">
        <v>1</v>
      </c>
      <c r="D10" s="34"/>
      <c r="E10" s="33">
        <v>0</v>
      </c>
      <c r="F10" s="33">
        <v>0</v>
      </c>
      <c r="G10" s="33">
        <v>0</v>
      </c>
      <c r="H10" s="33">
        <v>0</v>
      </c>
      <c r="I10" s="33">
        <v>0</v>
      </c>
      <c r="J10" s="34"/>
      <c r="K10" s="102"/>
      <c r="L10" s="9">
        <v>5</v>
      </c>
      <c r="M10" s="6">
        <v>137</v>
      </c>
      <c r="N10" s="6"/>
      <c r="O10" s="6">
        <v>69</v>
      </c>
      <c r="P10" s="6">
        <v>58</v>
      </c>
      <c r="Q10" s="6">
        <v>103</v>
      </c>
      <c r="R10" s="6">
        <v>78</v>
      </c>
      <c r="S10" s="6">
        <v>46</v>
      </c>
      <c r="T10" s="7"/>
      <c r="V10" s="2">
        <v>5</v>
      </c>
      <c r="W10" s="3">
        <v>3</v>
      </c>
      <c r="X10" s="3"/>
      <c r="Y10" s="3">
        <v>1</v>
      </c>
      <c r="Z10" s="3">
        <v>2</v>
      </c>
      <c r="AA10" s="3">
        <v>2</v>
      </c>
      <c r="AB10" s="3">
        <v>1</v>
      </c>
      <c r="AC10" s="3">
        <v>1</v>
      </c>
      <c r="AD10" s="3"/>
      <c r="AF10" s="2">
        <v>5</v>
      </c>
      <c r="AG10" s="3">
        <v>2</v>
      </c>
      <c r="AH10" s="3">
        <v>3</v>
      </c>
      <c r="AI10" s="3">
        <v>2</v>
      </c>
      <c r="AJ10" s="3">
        <v>3</v>
      </c>
      <c r="AK10" s="3">
        <v>3</v>
      </c>
      <c r="AL10" s="3">
        <v>3</v>
      </c>
      <c r="AM10" s="3">
        <v>2</v>
      </c>
      <c r="AN10" s="3">
        <v>3</v>
      </c>
      <c r="AO10" s="3">
        <v>2</v>
      </c>
      <c r="AP10" s="3">
        <v>4</v>
      </c>
      <c r="AQ10" s="3">
        <f t="shared" si="0"/>
        <v>37.5</v>
      </c>
      <c r="AS10" s="9">
        <v>5</v>
      </c>
      <c r="AT10" s="33">
        <v>0.25</v>
      </c>
      <c r="AU10" s="33">
        <v>1</v>
      </c>
      <c r="AV10" s="33">
        <v>0</v>
      </c>
      <c r="AW10" s="33">
        <v>0.25</v>
      </c>
      <c r="AX10" s="33">
        <v>0.25</v>
      </c>
      <c r="AY10" s="33">
        <v>0</v>
      </c>
      <c r="AZ10" s="33">
        <v>0</v>
      </c>
      <c r="BA10" s="34">
        <v>1</v>
      </c>
      <c r="BC10" s="9">
        <v>5</v>
      </c>
      <c r="BD10" s="6">
        <v>196</v>
      </c>
      <c r="BE10" s="6">
        <v>158</v>
      </c>
      <c r="BF10" s="6">
        <v>105</v>
      </c>
      <c r="BG10" s="6">
        <v>32</v>
      </c>
      <c r="BH10" s="6">
        <v>31</v>
      </c>
      <c r="BI10" s="6">
        <v>8</v>
      </c>
      <c r="BJ10" s="6">
        <v>76</v>
      </c>
      <c r="BK10" s="7">
        <v>71</v>
      </c>
      <c r="BM10" s="2">
        <v>5</v>
      </c>
      <c r="BN10" s="3">
        <v>1</v>
      </c>
      <c r="BO10" s="3">
        <v>2</v>
      </c>
      <c r="BP10" s="3">
        <v>1</v>
      </c>
      <c r="BQ10" s="3">
        <v>1</v>
      </c>
      <c r="BR10" s="3">
        <v>4</v>
      </c>
      <c r="BS10" s="3">
        <v>4</v>
      </c>
      <c r="BT10" s="3">
        <v>2</v>
      </c>
      <c r="BU10" s="3">
        <v>3</v>
      </c>
      <c r="BW10" s="2">
        <v>5</v>
      </c>
      <c r="BX10" s="3">
        <v>1</v>
      </c>
      <c r="BY10" s="3">
        <v>4</v>
      </c>
      <c r="BZ10" s="3">
        <v>2</v>
      </c>
      <c r="CA10" s="3">
        <v>3</v>
      </c>
      <c r="CB10" s="3">
        <v>2</v>
      </c>
      <c r="CC10" s="3">
        <v>4</v>
      </c>
      <c r="CD10" s="3">
        <v>2</v>
      </c>
      <c r="CE10" s="3">
        <v>4</v>
      </c>
      <c r="CF10" s="3">
        <v>2</v>
      </c>
      <c r="CG10" s="3">
        <v>4</v>
      </c>
      <c r="CH10" s="3">
        <f t="shared" si="1"/>
        <v>25</v>
      </c>
      <c r="CJ10" s="9">
        <v>5</v>
      </c>
      <c r="CK10" s="33">
        <v>0</v>
      </c>
      <c r="CL10" s="33">
        <v>0</v>
      </c>
      <c r="CM10" s="33">
        <v>0.25</v>
      </c>
      <c r="CN10" s="33">
        <v>0</v>
      </c>
      <c r="CO10" s="33">
        <v>0.25</v>
      </c>
      <c r="CP10" s="33">
        <v>0.25</v>
      </c>
      <c r="CQ10" s="33">
        <v>0</v>
      </c>
      <c r="CR10" s="34">
        <v>0</v>
      </c>
      <c r="CT10" s="9">
        <v>5</v>
      </c>
      <c r="CU10" s="6">
        <v>200</v>
      </c>
      <c r="CV10" s="6">
        <v>74</v>
      </c>
      <c r="CW10" s="6">
        <v>69</v>
      </c>
      <c r="CX10" s="6">
        <v>128</v>
      </c>
      <c r="CY10" s="6">
        <v>21</v>
      </c>
      <c r="CZ10" s="6">
        <v>51</v>
      </c>
      <c r="DA10" s="6">
        <v>69</v>
      </c>
      <c r="DB10" s="7">
        <v>99</v>
      </c>
      <c r="DD10" s="2">
        <v>5</v>
      </c>
      <c r="DE10" s="3">
        <v>3</v>
      </c>
      <c r="DF10" s="3">
        <v>3</v>
      </c>
      <c r="DG10" s="3">
        <v>4</v>
      </c>
      <c r="DH10" s="3">
        <v>1</v>
      </c>
      <c r="DI10" s="3">
        <v>4</v>
      </c>
      <c r="DJ10" s="28">
        <v>4</v>
      </c>
      <c r="DK10" s="3">
        <v>1</v>
      </c>
      <c r="DL10" s="3">
        <v>1</v>
      </c>
      <c r="DN10" s="2">
        <v>5</v>
      </c>
      <c r="DO10" s="3">
        <v>4</v>
      </c>
      <c r="DP10" s="3">
        <v>3</v>
      </c>
      <c r="DQ10" s="3">
        <v>3</v>
      </c>
      <c r="DR10" s="3">
        <v>2</v>
      </c>
      <c r="DS10" s="3">
        <v>4</v>
      </c>
      <c r="DT10" s="3">
        <v>3</v>
      </c>
      <c r="DU10" s="3">
        <v>3</v>
      </c>
      <c r="DV10" s="3">
        <v>2</v>
      </c>
      <c r="DW10" s="3">
        <v>3</v>
      </c>
      <c r="DX10" s="3">
        <v>2</v>
      </c>
      <c r="DY10" s="3">
        <f t="shared" si="2"/>
        <v>62.5</v>
      </c>
    </row>
    <row r="11" spans="1:129">
      <c r="B11" s="9">
        <v>6</v>
      </c>
      <c r="C11" s="33">
        <v>0.25</v>
      </c>
      <c r="D11" s="34"/>
      <c r="E11" s="33">
        <v>0</v>
      </c>
      <c r="F11" s="33">
        <v>0</v>
      </c>
      <c r="G11" s="33">
        <v>0</v>
      </c>
      <c r="H11" s="33">
        <v>1</v>
      </c>
      <c r="I11" s="33">
        <v>0</v>
      </c>
      <c r="J11" s="34"/>
      <c r="K11" s="102"/>
      <c r="L11" s="9">
        <v>6</v>
      </c>
      <c r="M11" s="6">
        <v>130</v>
      </c>
      <c r="N11" s="6"/>
      <c r="O11" s="6">
        <v>179</v>
      </c>
      <c r="P11" s="6">
        <v>105</v>
      </c>
      <c r="Q11" s="6">
        <v>150</v>
      </c>
      <c r="R11" s="6">
        <v>71</v>
      </c>
      <c r="S11" s="6">
        <v>37</v>
      </c>
      <c r="T11" s="7"/>
      <c r="V11" s="2">
        <v>6</v>
      </c>
      <c r="W11" s="3">
        <v>4</v>
      </c>
      <c r="X11" s="3"/>
      <c r="Y11" s="3">
        <v>4</v>
      </c>
      <c r="Z11" s="3">
        <v>4</v>
      </c>
      <c r="AA11" s="3">
        <v>1</v>
      </c>
      <c r="AB11" s="3">
        <v>2</v>
      </c>
      <c r="AC11" s="3">
        <v>2</v>
      </c>
      <c r="AD11" s="3"/>
      <c r="AF11" s="2">
        <v>6</v>
      </c>
      <c r="AG11" s="3">
        <v>4</v>
      </c>
      <c r="AH11" s="3">
        <v>3</v>
      </c>
      <c r="AI11" s="3">
        <v>3</v>
      </c>
      <c r="AJ11" s="3">
        <v>3</v>
      </c>
      <c r="AK11" s="3">
        <v>3</v>
      </c>
      <c r="AL11" s="3">
        <v>2</v>
      </c>
      <c r="AM11" s="3">
        <v>4</v>
      </c>
      <c r="AN11" s="3">
        <v>3</v>
      </c>
      <c r="AO11" s="3">
        <v>4</v>
      </c>
      <c r="AP11" s="3">
        <v>3</v>
      </c>
      <c r="AQ11" s="3">
        <f t="shared" si="0"/>
        <v>60</v>
      </c>
      <c r="AS11" s="9">
        <v>6</v>
      </c>
      <c r="AT11" s="33">
        <v>0.25</v>
      </c>
      <c r="AU11" s="33">
        <v>0.25</v>
      </c>
      <c r="AV11" s="33">
        <v>0.25</v>
      </c>
      <c r="AW11" s="33">
        <v>1</v>
      </c>
      <c r="AX11" s="33">
        <v>0.25</v>
      </c>
      <c r="AY11" s="33">
        <v>0</v>
      </c>
      <c r="AZ11" s="33">
        <v>0</v>
      </c>
      <c r="BA11" s="34">
        <v>1</v>
      </c>
      <c r="BC11" s="9">
        <v>6</v>
      </c>
      <c r="BD11" s="6">
        <v>127</v>
      </c>
      <c r="BE11" s="6">
        <v>63</v>
      </c>
      <c r="BF11" s="6">
        <v>160</v>
      </c>
      <c r="BG11" s="6">
        <v>33</v>
      </c>
      <c r="BH11" s="6">
        <v>61</v>
      </c>
      <c r="BI11" s="6">
        <v>36</v>
      </c>
      <c r="BJ11">
        <v>105</v>
      </c>
      <c r="BK11" s="7">
        <v>129</v>
      </c>
      <c r="BM11" s="2">
        <v>6</v>
      </c>
      <c r="BN11" s="3">
        <v>4</v>
      </c>
      <c r="BO11" s="3">
        <v>4</v>
      </c>
      <c r="BP11" s="3">
        <v>4</v>
      </c>
      <c r="BQ11" s="3">
        <v>3</v>
      </c>
      <c r="BR11" s="3">
        <v>4</v>
      </c>
      <c r="BS11" s="3">
        <v>1</v>
      </c>
      <c r="BT11" s="3">
        <v>1</v>
      </c>
      <c r="BU11" s="3">
        <v>4</v>
      </c>
      <c r="BW11" s="2">
        <v>6</v>
      </c>
      <c r="BX11" s="3">
        <v>3</v>
      </c>
      <c r="BY11" s="3">
        <v>2</v>
      </c>
      <c r="BZ11" s="3">
        <v>4</v>
      </c>
      <c r="CA11" s="3">
        <v>3</v>
      </c>
      <c r="CB11" s="3">
        <v>4</v>
      </c>
      <c r="CC11" s="3">
        <v>2</v>
      </c>
      <c r="CD11" s="3">
        <v>4</v>
      </c>
      <c r="CE11" s="3">
        <v>2</v>
      </c>
      <c r="CF11" s="3">
        <v>4</v>
      </c>
      <c r="CG11" s="3">
        <v>3</v>
      </c>
      <c r="CH11" s="3">
        <f t="shared" si="1"/>
        <v>67.5</v>
      </c>
      <c r="CJ11" s="9">
        <v>6</v>
      </c>
      <c r="CK11" s="33">
        <v>0.25</v>
      </c>
      <c r="CL11" s="33">
        <v>0</v>
      </c>
      <c r="CM11" s="33">
        <v>0</v>
      </c>
      <c r="CN11" s="33">
        <v>0</v>
      </c>
      <c r="CO11" s="33">
        <v>0.25</v>
      </c>
      <c r="CP11" s="33">
        <v>0</v>
      </c>
      <c r="CQ11" s="33">
        <v>0</v>
      </c>
      <c r="CR11" s="34">
        <v>1</v>
      </c>
      <c r="CT11" s="9">
        <v>6</v>
      </c>
      <c r="CU11" s="6">
        <v>259</v>
      </c>
      <c r="CV11" s="6">
        <v>79</v>
      </c>
      <c r="CW11" s="6">
        <v>74</v>
      </c>
      <c r="CX11" s="6">
        <v>69</v>
      </c>
      <c r="CY11" s="6">
        <v>80</v>
      </c>
      <c r="CZ11" s="6">
        <v>66</v>
      </c>
      <c r="DA11" s="6">
        <v>40</v>
      </c>
      <c r="DB11" s="7">
        <v>42</v>
      </c>
      <c r="DD11" s="2">
        <v>6</v>
      </c>
      <c r="DE11" s="3">
        <v>3</v>
      </c>
      <c r="DF11" s="3">
        <v>3</v>
      </c>
      <c r="DG11" s="3">
        <v>3</v>
      </c>
      <c r="DH11" s="3">
        <v>3</v>
      </c>
      <c r="DI11" s="3">
        <v>3</v>
      </c>
      <c r="DJ11" s="3">
        <v>1</v>
      </c>
      <c r="DK11" s="3">
        <v>1</v>
      </c>
      <c r="DL11" s="3">
        <v>4</v>
      </c>
      <c r="DN11" s="2">
        <v>6</v>
      </c>
      <c r="DO11" s="3">
        <v>3</v>
      </c>
      <c r="DP11" s="3">
        <v>4</v>
      </c>
      <c r="DQ11" s="3">
        <v>2</v>
      </c>
      <c r="DR11" s="3">
        <v>4</v>
      </c>
      <c r="DS11" s="3">
        <v>3</v>
      </c>
      <c r="DT11" s="3">
        <v>3</v>
      </c>
      <c r="DU11" s="3">
        <v>4</v>
      </c>
      <c r="DV11" s="3">
        <v>4</v>
      </c>
      <c r="DW11" s="3">
        <v>2</v>
      </c>
      <c r="DX11" s="3">
        <v>4</v>
      </c>
      <c r="DY11" s="3">
        <f t="shared" si="2"/>
        <v>37.5</v>
      </c>
    </row>
    <row r="12" spans="1:129">
      <c r="B12" s="9">
        <v>7</v>
      </c>
      <c r="C12" s="33">
        <v>0.25</v>
      </c>
      <c r="D12" s="34"/>
      <c r="E12" s="33">
        <v>0.25</v>
      </c>
      <c r="F12" s="33">
        <v>0</v>
      </c>
      <c r="G12" s="33">
        <v>0</v>
      </c>
      <c r="H12" s="33">
        <v>1</v>
      </c>
      <c r="I12" s="33">
        <v>1</v>
      </c>
      <c r="J12" s="34"/>
      <c r="K12" s="102"/>
      <c r="L12" s="9">
        <v>7</v>
      </c>
      <c r="M12" s="6">
        <v>245</v>
      </c>
      <c r="N12" s="6"/>
      <c r="O12" s="6">
        <v>180</v>
      </c>
      <c r="P12" s="6">
        <v>113</v>
      </c>
      <c r="Q12" s="6">
        <v>180</v>
      </c>
      <c r="R12" s="6">
        <v>123</v>
      </c>
      <c r="S12" s="6">
        <v>86</v>
      </c>
      <c r="T12" s="7"/>
      <c r="V12" s="2">
        <v>7</v>
      </c>
      <c r="W12" s="3">
        <v>4</v>
      </c>
      <c r="X12" s="3"/>
      <c r="Y12" s="3">
        <v>2</v>
      </c>
      <c r="Z12" s="3">
        <v>1</v>
      </c>
      <c r="AA12" s="3">
        <v>3</v>
      </c>
      <c r="AB12" s="3">
        <v>5</v>
      </c>
      <c r="AC12" s="3">
        <v>5</v>
      </c>
      <c r="AD12" s="3"/>
      <c r="AF12" s="2">
        <v>7</v>
      </c>
      <c r="AG12" s="3">
        <v>5</v>
      </c>
      <c r="AH12" s="3">
        <v>4</v>
      </c>
      <c r="AI12" s="3">
        <v>3</v>
      </c>
      <c r="AJ12" s="3">
        <v>3</v>
      </c>
      <c r="AK12" s="3">
        <v>4</v>
      </c>
      <c r="AL12" s="3">
        <v>3</v>
      </c>
      <c r="AM12" s="3">
        <v>2</v>
      </c>
      <c r="AN12" s="3">
        <v>4</v>
      </c>
      <c r="AO12" s="3">
        <v>3</v>
      </c>
      <c r="AP12" s="3">
        <v>5</v>
      </c>
      <c r="AQ12" s="3">
        <f t="shared" si="0"/>
        <v>45</v>
      </c>
      <c r="AS12" s="9">
        <v>7</v>
      </c>
      <c r="AT12" s="33">
        <v>0</v>
      </c>
      <c r="AU12" s="33">
        <v>0.25</v>
      </c>
      <c r="AV12" s="33">
        <v>0</v>
      </c>
      <c r="AW12" s="33">
        <v>1</v>
      </c>
      <c r="AX12" s="33">
        <v>0.25</v>
      </c>
      <c r="AY12" s="33">
        <v>0</v>
      </c>
      <c r="AZ12" s="33">
        <v>1</v>
      </c>
      <c r="BA12" s="34">
        <v>1</v>
      </c>
      <c r="BC12" s="9">
        <v>7</v>
      </c>
      <c r="BD12" s="6">
        <v>204</v>
      </c>
      <c r="BE12" s="6">
        <v>93</v>
      </c>
      <c r="BF12" s="6">
        <v>177</v>
      </c>
      <c r="BG12" s="6">
        <v>116</v>
      </c>
      <c r="BH12" s="6">
        <v>66</v>
      </c>
      <c r="BI12" s="6">
        <v>35</v>
      </c>
      <c r="BJ12" s="6">
        <v>91</v>
      </c>
      <c r="BK12" s="7">
        <v>19</v>
      </c>
      <c r="BM12" s="2">
        <v>7</v>
      </c>
      <c r="BN12" s="3">
        <v>1</v>
      </c>
      <c r="BO12" s="3">
        <v>4</v>
      </c>
      <c r="BP12" s="3">
        <v>4</v>
      </c>
      <c r="BQ12" s="3">
        <v>3</v>
      </c>
      <c r="BR12" s="3">
        <v>5</v>
      </c>
      <c r="BS12" s="3">
        <v>5</v>
      </c>
      <c r="BT12" s="3">
        <v>3</v>
      </c>
      <c r="BU12" s="3">
        <v>5</v>
      </c>
      <c r="BW12" s="2">
        <v>7</v>
      </c>
      <c r="BX12" s="3">
        <v>5</v>
      </c>
      <c r="BY12" s="3">
        <v>2</v>
      </c>
      <c r="BZ12" s="3">
        <v>4</v>
      </c>
      <c r="CA12" s="3">
        <v>3</v>
      </c>
      <c r="CB12" s="3">
        <v>5</v>
      </c>
      <c r="CC12" s="3">
        <v>2</v>
      </c>
      <c r="CD12" s="3">
        <v>3</v>
      </c>
      <c r="CE12" s="3">
        <v>2</v>
      </c>
      <c r="CF12" s="3">
        <v>4</v>
      </c>
      <c r="CG12" s="3">
        <v>3</v>
      </c>
      <c r="CH12" s="3">
        <f t="shared" si="1"/>
        <v>72.5</v>
      </c>
      <c r="CJ12" s="9">
        <v>7</v>
      </c>
      <c r="CK12" s="33">
        <v>0</v>
      </c>
      <c r="CL12" s="33">
        <v>0</v>
      </c>
      <c r="CM12" s="33">
        <v>0</v>
      </c>
      <c r="CN12" s="33">
        <v>0</v>
      </c>
      <c r="CO12" s="33">
        <v>0</v>
      </c>
      <c r="CP12" s="33">
        <v>1</v>
      </c>
      <c r="CQ12" s="33">
        <v>1</v>
      </c>
      <c r="CR12" s="34">
        <v>0</v>
      </c>
      <c r="CT12" s="9">
        <v>7</v>
      </c>
      <c r="CU12" s="6">
        <v>300</v>
      </c>
      <c r="CV12" s="6">
        <v>78</v>
      </c>
      <c r="CW12" s="6">
        <v>135</v>
      </c>
      <c r="CX12" s="6">
        <v>180</v>
      </c>
      <c r="CY12" s="6">
        <v>180</v>
      </c>
      <c r="CZ12" s="6">
        <v>176</v>
      </c>
      <c r="DA12" s="6">
        <v>73</v>
      </c>
      <c r="DB12" s="7">
        <v>102</v>
      </c>
      <c r="DD12" s="2">
        <v>7</v>
      </c>
      <c r="DE12" s="3">
        <v>4</v>
      </c>
      <c r="DF12" s="3">
        <v>5</v>
      </c>
      <c r="DG12" s="3">
        <v>4</v>
      </c>
      <c r="DH12" s="3">
        <v>5</v>
      </c>
      <c r="DI12" s="3">
        <v>1</v>
      </c>
      <c r="DJ12" s="3">
        <v>4</v>
      </c>
      <c r="DK12" s="3">
        <v>5</v>
      </c>
      <c r="DL12" s="3">
        <v>1</v>
      </c>
      <c r="DN12" s="2">
        <v>7</v>
      </c>
      <c r="DO12" s="3">
        <v>5</v>
      </c>
      <c r="DP12" s="3">
        <v>2</v>
      </c>
      <c r="DQ12" s="3">
        <v>4</v>
      </c>
      <c r="DR12" s="3">
        <v>2</v>
      </c>
      <c r="DS12" s="3">
        <v>5</v>
      </c>
      <c r="DT12" s="3">
        <v>1</v>
      </c>
      <c r="DU12" s="3">
        <v>4</v>
      </c>
      <c r="DV12" s="3">
        <v>2</v>
      </c>
      <c r="DW12" s="3">
        <v>4</v>
      </c>
      <c r="DX12" s="3">
        <v>3</v>
      </c>
      <c r="DY12" s="3">
        <f t="shared" si="2"/>
        <v>80</v>
      </c>
    </row>
    <row r="13" spans="1:129">
      <c r="B13" s="9">
        <v>8</v>
      </c>
      <c r="C13" s="33">
        <v>0.25</v>
      </c>
      <c r="D13" s="34"/>
      <c r="E13" s="33">
        <v>0.25</v>
      </c>
      <c r="F13" s="33">
        <v>0.25</v>
      </c>
      <c r="G13" s="33">
        <v>0.25</v>
      </c>
      <c r="H13" s="33">
        <v>1</v>
      </c>
      <c r="I13" s="33">
        <v>1</v>
      </c>
      <c r="J13" s="34"/>
      <c r="K13" s="102"/>
      <c r="L13" s="9">
        <v>8</v>
      </c>
      <c r="M13" s="6">
        <v>80</v>
      </c>
      <c r="N13" s="6"/>
      <c r="O13" s="6">
        <v>43</v>
      </c>
      <c r="P13" s="6">
        <v>40</v>
      </c>
      <c r="Q13" s="6">
        <v>61</v>
      </c>
      <c r="R13" s="6">
        <v>8</v>
      </c>
      <c r="S13" s="6">
        <v>15</v>
      </c>
      <c r="T13" s="7"/>
      <c r="V13" s="2">
        <v>8</v>
      </c>
      <c r="W13" s="3">
        <v>5</v>
      </c>
      <c r="X13" s="3"/>
      <c r="Y13" s="3">
        <v>5</v>
      </c>
      <c r="Z13" s="3">
        <v>5</v>
      </c>
      <c r="AA13" s="3">
        <v>4</v>
      </c>
      <c r="AB13" s="3">
        <v>5</v>
      </c>
      <c r="AC13" s="3">
        <v>5</v>
      </c>
      <c r="AD13" s="3"/>
      <c r="AF13" s="2">
        <v>8</v>
      </c>
      <c r="AG13" s="3">
        <v>5</v>
      </c>
      <c r="AH13" s="3">
        <v>1</v>
      </c>
      <c r="AI13" s="3">
        <v>5</v>
      </c>
      <c r="AJ13" s="3">
        <v>1</v>
      </c>
      <c r="AK13" s="3">
        <v>4</v>
      </c>
      <c r="AL13" s="3">
        <v>1</v>
      </c>
      <c r="AM13" s="3">
        <v>5</v>
      </c>
      <c r="AN13" s="3">
        <v>1</v>
      </c>
      <c r="AO13" s="3">
        <v>5</v>
      </c>
      <c r="AP13" s="3">
        <v>1</v>
      </c>
      <c r="AQ13" s="3">
        <f t="shared" si="0"/>
        <v>97.5</v>
      </c>
      <c r="AS13" s="9">
        <v>8</v>
      </c>
      <c r="AT13" s="33">
        <v>0.25</v>
      </c>
      <c r="AU13" s="33">
        <v>0.25</v>
      </c>
      <c r="AV13" s="33">
        <v>0.25</v>
      </c>
      <c r="AW13" s="33">
        <v>0</v>
      </c>
      <c r="AX13" s="33">
        <v>0.25</v>
      </c>
      <c r="AY13" s="33">
        <v>1</v>
      </c>
      <c r="AZ13" s="33">
        <v>0</v>
      </c>
      <c r="BA13" s="34">
        <v>1</v>
      </c>
      <c r="BC13" s="9">
        <v>8</v>
      </c>
      <c r="BD13" s="6">
        <v>130</v>
      </c>
      <c r="BE13" s="6">
        <v>80</v>
      </c>
      <c r="BF13" s="6">
        <v>120</v>
      </c>
      <c r="BG13" s="6">
        <v>109</v>
      </c>
      <c r="BH13" s="6">
        <v>157</v>
      </c>
      <c r="BI13" s="6">
        <v>32</v>
      </c>
      <c r="BJ13" s="6">
        <v>27</v>
      </c>
      <c r="BK13" s="7">
        <v>62</v>
      </c>
      <c r="BM13" s="2">
        <v>8</v>
      </c>
      <c r="BN13" s="3">
        <v>3</v>
      </c>
      <c r="BO13" s="3">
        <v>4</v>
      </c>
      <c r="BP13" s="3">
        <v>4</v>
      </c>
      <c r="BQ13" s="3">
        <v>4</v>
      </c>
      <c r="BR13" s="3">
        <v>5</v>
      </c>
      <c r="BS13" s="3">
        <v>5</v>
      </c>
      <c r="BT13" s="3">
        <v>5</v>
      </c>
      <c r="BU13" s="3">
        <v>5</v>
      </c>
      <c r="BW13" s="2">
        <v>8</v>
      </c>
      <c r="BX13" s="3">
        <v>4</v>
      </c>
      <c r="BY13" s="3">
        <v>4</v>
      </c>
      <c r="BZ13" s="3">
        <v>3</v>
      </c>
      <c r="CA13" s="3">
        <v>2</v>
      </c>
      <c r="CB13" s="3">
        <v>2</v>
      </c>
      <c r="CC13" s="3">
        <v>2</v>
      </c>
      <c r="CD13" s="3">
        <v>2</v>
      </c>
      <c r="CE13" s="3">
        <v>3</v>
      </c>
      <c r="CF13" s="3">
        <v>3</v>
      </c>
      <c r="CG13" s="3">
        <v>4</v>
      </c>
      <c r="CH13" s="3">
        <f t="shared" si="1"/>
        <v>47.5</v>
      </c>
      <c r="CJ13" s="9">
        <v>8</v>
      </c>
      <c r="CK13" s="33">
        <v>0.25</v>
      </c>
      <c r="CL13" s="33">
        <v>0</v>
      </c>
      <c r="CM13" s="33">
        <v>0.25</v>
      </c>
      <c r="CN13" s="33">
        <v>1</v>
      </c>
      <c r="CO13" s="33">
        <v>0.25</v>
      </c>
      <c r="CP13" s="33">
        <v>0</v>
      </c>
      <c r="CQ13" s="33">
        <v>0</v>
      </c>
      <c r="CR13" s="34">
        <v>1</v>
      </c>
      <c r="CT13" s="9">
        <v>8</v>
      </c>
      <c r="CU13" s="6">
        <v>162</v>
      </c>
      <c r="CV13" s="6">
        <v>70</v>
      </c>
      <c r="CW13" s="6">
        <v>58</v>
      </c>
      <c r="CX13" s="6">
        <v>62</v>
      </c>
      <c r="CY13" s="6">
        <v>180</v>
      </c>
      <c r="CZ13" s="6">
        <v>61</v>
      </c>
      <c r="DA13" s="6">
        <v>64</v>
      </c>
      <c r="DB13" s="7">
        <v>34</v>
      </c>
      <c r="DD13" s="2">
        <v>8</v>
      </c>
      <c r="DE13" s="3">
        <v>4</v>
      </c>
      <c r="DF13" s="3">
        <v>5</v>
      </c>
      <c r="DG13" s="3">
        <v>5</v>
      </c>
      <c r="DH13" s="3">
        <v>5</v>
      </c>
      <c r="DI13" s="3">
        <v>3</v>
      </c>
      <c r="DJ13" s="3">
        <v>4</v>
      </c>
      <c r="DK13" s="3">
        <v>5</v>
      </c>
      <c r="DL13" s="3">
        <v>5</v>
      </c>
      <c r="DN13" s="2">
        <v>8</v>
      </c>
      <c r="DO13" s="3">
        <v>3</v>
      </c>
      <c r="DP13" s="3">
        <v>4</v>
      </c>
      <c r="DQ13" s="3">
        <v>4</v>
      </c>
      <c r="DR13" s="3">
        <v>1</v>
      </c>
      <c r="DS13" s="3">
        <v>3</v>
      </c>
      <c r="DT13" s="3">
        <v>2</v>
      </c>
      <c r="DU13" s="3">
        <v>2</v>
      </c>
      <c r="DV13" s="3">
        <v>4</v>
      </c>
      <c r="DW13" s="3">
        <v>2</v>
      </c>
      <c r="DX13" s="3">
        <v>3</v>
      </c>
      <c r="DY13" s="3">
        <f t="shared" si="2"/>
        <v>50</v>
      </c>
    </row>
    <row r="14" spans="1:129">
      <c r="B14" s="9">
        <v>9</v>
      </c>
      <c r="C14" s="33">
        <v>1</v>
      </c>
      <c r="D14" s="34"/>
      <c r="E14" s="33">
        <v>1</v>
      </c>
      <c r="F14" s="33">
        <v>0</v>
      </c>
      <c r="G14" s="33">
        <v>0</v>
      </c>
      <c r="H14" s="33">
        <v>1</v>
      </c>
      <c r="I14" s="33">
        <v>0</v>
      </c>
      <c r="J14" s="34"/>
      <c r="K14" s="102"/>
      <c r="L14" s="9">
        <v>9</v>
      </c>
      <c r="M14" s="6">
        <v>215</v>
      </c>
      <c r="N14" s="6"/>
      <c r="O14" s="6">
        <v>53</v>
      </c>
      <c r="P14" s="6">
        <v>53</v>
      </c>
      <c r="Q14" s="6">
        <v>147</v>
      </c>
      <c r="R14" s="6">
        <v>11</v>
      </c>
      <c r="S14" s="6">
        <v>11</v>
      </c>
      <c r="T14" s="7"/>
      <c r="V14" s="2">
        <v>9</v>
      </c>
      <c r="W14" s="3">
        <v>3</v>
      </c>
      <c r="X14" s="3"/>
      <c r="Y14" s="3">
        <v>3</v>
      </c>
      <c r="Z14" s="3">
        <v>4</v>
      </c>
      <c r="AA14" s="3">
        <v>1</v>
      </c>
      <c r="AB14" s="3">
        <v>5</v>
      </c>
      <c r="AC14" s="3">
        <v>5</v>
      </c>
      <c r="AD14" s="3"/>
      <c r="AF14" s="2">
        <v>9</v>
      </c>
      <c r="AG14" s="3">
        <v>3</v>
      </c>
      <c r="AH14" s="3">
        <v>3</v>
      </c>
      <c r="AI14" s="3">
        <v>3</v>
      </c>
      <c r="AJ14" s="3">
        <v>3</v>
      </c>
      <c r="AK14" s="3">
        <v>2</v>
      </c>
      <c r="AL14" s="3">
        <v>2</v>
      </c>
      <c r="AM14" s="3">
        <v>3</v>
      </c>
      <c r="AN14" s="3">
        <v>3</v>
      </c>
      <c r="AO14" s="3">
        <v>3</v>
      </c>
      <c r="AP14" s="3">
        <v>2</v>
      </c>
      <c r="AQ14" s="3">
        <f>((AG14-1)+(5-AH14)+(AI14-1)+(5-AJ14)+(AK14-1)+(5-AL14)+(AM14-1)+(5-AN14)+(AO14-1)+(5-AP14))*2.5</f>
        <v>52.5</v>
      </c>
      <c r="AS14" s="9">
        <v>9</v>
      </c>
      <c r="AT14" s="33">
        <v>0</v>
      </c>
      <c r="AU14" s="33">
        <v>1</v>
      </c>
      <c r="AV14" s="33">
        <v>0</v>
      </c>
      <c r="AW14" s="33">
        <v>1</v>
      </c>
      <c r="AX14" s="33">
        <v>0.25</v>
      </c>
      <c r="AY14" s="33">
        <v>0</v>
      </c>
      <c r="AZ14" s="33">
        <v>0</v>
      </c>
      <c r="BA14" s="34">
        <v>0.25</v>
      </c>
      <c r="BC14" s="9">
        <v>9</v>
      </c>
      <c r="BD14" s="6">
        <v>189</v>
      </c>
      <c r="BE14" s="6">
        <v>104</v>
      </c>
      <c r="BF14" s="6">
        <v>160</v>
      </c>
      <c r="BG14" s="6">
        <v>13</v>
      </c>
      <c r="BH14" s="6">
        <v>93</v>
      </c>
      <c r="BI14" s="6">
        <v>13</v>
      </c>
      <c r="BJ14" s="6">
        <v>29</v>
      </c>
      <c r="BK14" s="7">
        <v>67</v>
      </c>
      <c r="BM14" s="2">
        <v>9</v>
      </c>
      <c r="BN14" s="3">
        <v>2</v>
      </c>
      <c r="BO14" s="3">
        <v>3</v>
      </c>
      <c r="BP14" s="3">
        <v>1</v>
      </c>
      <c r="BQ14" s="3">
        <v>4</v>
      </c>
      <c r="BR14" s="3">
        <v>5</v>
      </c>
      <c r="BS14" s="3">
        <v>5</v>
      </c>
      <c r="BT14" s="3">
        <v>1</v>
      </c>
      <c r="BU14" s="3">
        <v>2</v>
      </c>
      <c r="BW14" s="2">
        <v>9</v>
      </c>
      <c r="BX14" s="3">
        <v>2</v>
      </c>
      <c r="BY14" s="3">
        <v>2</v>
      </c>
      <c r="BZ14" s="3">
        <v>1</v>
      </c>
      <c r="CA14" s="3">
        <v>4</v>
      </c>
      <c r="CB14" s="3">
        <v>3</v>
      </c>
      <c r="CC14" s="3">
        <v>2</v>
      </c>
      <c r="CD14" s="3">
        <v>4</v>
      </c>
      <c r="CE14" s="3">
        <v>4</v>
      </c>
      <c r="CF14" s="3">
        <v>2</v>
      </c>
      <c r="CG14" s="3">
        <v>4</v>
      </c>
      <c r="CH14" s="3">
        <f t="shared" si="1"/>
        <v>40</v>
      </c>
      <c r="CJ14" s="9">
        <v>9</v>
      </c>
      <c r="CK14" s="33">
        <v>0</v>
      </c>
      <c r="CL14" s="39">
        <v>0</v>
      </c>
      <c r="CM14" s="33">
        <v>0</v>
      </c>
      <c r="CN14" s="33">
        <v>0</v>
      </c>
      <c r="CO14" s="33">
        <v>0.25</v>
      </c>
      <c r="CP14" s="33">
        <v>0</v>
      </c>
      <c r="CQ14" s="33">
        <v>0</v>
      </c>
      <c r="CR14" s="34">
        <v>0</v>
      </c>
      <c r="CT14" s="9">
        <v>9</v>
      </c>
      <c r="CU14" s="6">
        <v>122</v>
      </c>
      <c r="CV14" s="6">
        <v>89</v>
      </c>
      <c r="CW14" s="6">
        <v>144</v>
      </c>
      <c r="CX14" s="6">
        <v>90</v>
      </c>
      <c r="CY14" s="6">
        <v>89</v>
      </c>
      <c r="CZ14" s="6">
        <v>30</v>
      </c>
      <c r="DA14" s="6">
        <v>42</v>
      </c>
      <c r="DB14" s="7">
        <v>69</v>
      </c>
      <c r="DD14" s="2">
        <v>9</v>
      </c>
      <c r="DE14" s="3">
        <v>1</v>
      </c>
      <c r="DF14" s="3">
        <v>2</v>
      </c>
      <c r="DG14" s="3">
        <v>1</v>
      </c>
      <c r="DH14" s="3">
        <v>1</v>
      </c>
      <c r="DI14" s="3">
        <v>2</v>
      </c>
      <c r="DJ14" s="3">
        <v>1</v>
      </c>
      <c r="DK14" s="3">
        <v>1</v>
      </c>
      <c r="DL14" s="3">
        <v>1</v>
      </c>
      <c r="DN14" s="2">
        <v>9</v>
      </c>
      <c r="DO14" s="3">
        <v>1</v>
      </c>
      <c r="DP14" s="3">
        <v>5</v>
      </c>
      <c r="DQ14" s="3">
        <v>1</v>
      </c>
      <c r="DR14" s="3">
        <v>5</v>
      </c>
      <c r="DS14" s="3">
        <v>5</v>
      </c>
      <c r="DT14" s="3">
        <v>5</v>
      </c>
      <c r="DU14" s="3">
        <v>2</v>
      </c>
      <c r="DV14" s="3">
        <v>5</v>
      </c>
      <c r="DW14" s="3">
        <v>1</v>
      </c>
      <c r="DX14" s="3">
        <v>5</v>
      </c>
      <c r="DY14" s="3">
        <f t="shared" si="2"/>
        <v>12.5</v>
      </c>
    </row>
    <row r="15" spans="1:129">
      <c r="B15" s="9">
        <v>10</v>
      </c>
      <c r="C15" s="35">
        <v>0</v>
      </c>
      <c r="D15" s="34"/>
      <c r="E15" s="33">
        <v>0</v>
      </c>
      <c r="F15" s="33">
        <v>0</v>
      </c>
      <c r="G15" s="33">
        <v>1</v>
      </c>
      <c r="H15" s="33">
        <v>1</v>
      </c>
      <c r="I15" s="33">
        <v>0</v>
      </c>
      <c r="J15" s="34"/>
      <c r="K15" s="102"/>
      <c r="L15" s="9">
        <v>10</v>
      </c>
      <c r="M15" s="30">
        <v>165</v>
      </c>
      <c r="N15" s="6"/>
      <c r="O15" s="6">
        <v>122</v>
      </c>
      <c r="P15" s="6">
        <v>180</v>
      </c>
      <c r="Q15" s="6">
        <v>87</v>
      </c>
      <c r="R15" s="6">
        <v>143</v>
      </c>
      <c r="S15" s="6">
        <v>135</v>
      </c>
      <c r="T15" s="7"/>
      <c r="V15" s="2">
        <v>10</v>
      </c>
      <c r="W15" s="29">
        <v>1</v>
      </c>
      <c r="X15" s="3"/>
      <c r="Y15" s="3">
        <v>1</v>
      </c>
      <c r="Z15" s="3">
        <v>1</v>
      </c>
      <c r="AA15" s="3">
        <v>2</v>
      </c>
      <c r="AB15" s="3">
        <v>1</v>
      </c>
      <c r="AC15" s="3">
        <v>1</v>
      </c>
      <c r="AD15" s="3"/>
      <c r="AF15" s="2">
        <v>10</v>
      </c>
      <c r="AG15" s="29">
        <v>1</v>
      </c>
      <c r="AH15" s="3">
        <v>4</v>
      </c>
      <c r="AI15" s="3">
        <v>1</v>
      </c>
      <c r="AJ15" s="3">
        <v>5</v>
      </c>
      <c r="AK15" s="3">
        <v>1</v>
      </c>
      <c r="AL15" s="3">
        <v>4</v>
      </c>
      <c r="AM15" s="3">
        <v>4</v>
      </c>
      <c r="AN15" s="3">
        <v>4</v>
      </c>
      <c r="AO15" s="3">
        <v>1</v>
      </c>
      <c r="AP15" s="3">
        <v>4</v>
      </c>
      <c r="AQ15" s="3">
        <f>((AG15-1)+(5-AH15)+(AI15-1)+(5-AJ15)+(AK15-1)+(5-AL15)+(AM15-1)+(5-AN15)+(AO15-1)+(5-AP15))*2.5</f>
        <v>17.5</v>
      </c>
      <c r="AS15" s="9">
        <v>10</v>
      </c>
      <c r="AT15" s="33">
        <v>0.25</v>
      </c>
      <c r="AU15" s="33">
        <v>1</v>
      </c>
      <c r="AV15" s="33">
        <v>0.25</v>
      </c>
      <c r="AW15" s="33">
        <v>1</v>
      </c>
      <c r="AX15" s="33">
        <v>0.25</v>
      </c>
      <c r="AY15" s="33">
        <v>1</v>
      </c>
      <c r="AZ15" s="33">
        <v>1</v>
      </c>
      <c r="BA15" s="34">
        <v>0.25</v>
      </c>
      <c r="BC15" s="9">
        <v>10</v>
      </c>
      <c r="BD15" s="6">
        <v>176</v>
      </c>
      <c r="BE15" s="6">
        <v>77</v>
      </c>
      <c r="BF15" s="6">
        <v>89</v>
      </c>
      <c r="BG15" s="6">
        <v>78</v>
      </c>
      <c r="BH15" s="6">
        <v>144</v>
      </c>
      <c r="BI15" s="6">
        <v>53</v>
      </c>
      <c r="BJ15" s="6">
        <v>88</v>
      </c>
      <c r="BK15" s="7">
        <v>77</v>
      </c>
      <c r="BM15" s="2">
        <v>10</v>
      </c>
      <c r="BN15" s="3">
        <v>5</v>
      </c>
      <c r="BO15" s="3">
        <v>3</v>
      </c>
      <c r="BP15" s="3">
        <v>4</v>
      </c>
      <c r="BQ15" s="3">
        <v>3</v>
      </c>
      <c r="BR15" s="3">
        <v>3</v>
      </c>
      <c r="BS15" s="3">
        <v>5</v>
      </c>
      <c r="BT15" s="3">
        <v>4</v>
      </c>
      <c r="BU15" s="3">
        <v>2</v>
      </c>
      <c r="BW15" s="2">
        <v>10</v>
      </c>
      <c r="BX15" s="3">
        <v>5</v>
      </c>
      <c r="BY15" s="3">
        <v>2</v>
      </c>
      <c r="BZ15" s="3">
        <v>4</v>
      </c>
      <c r="CA15" s="3">
        <v>1</v>
      </c>
      <c r="CB15" s="3">
        <v>3</v>
      </c>
      <c r="CC15" s="3">
        <v>2</v>
      </c>
      <c r="CD15" s="3">
        <v>5</v>
      </c>
      <c r="CE15" s="3">
        <v>1</v>
      </c>
      <c r="CF15" s="3">
        <v>4</v>
      </c>
      <c r="CG15" s="3">
        <v>2</v>
      </c>
      <c r="CH15" s="3">
        <f t="shared" si="1"/>
        <v>82.5</v>
      </c>
      <c r="CJ15" s="9">
        <v>10</v>
      </c>
      <c r="CK15" s="33">
        <v>0</v>
      </c>
      <c r="CL15" s="33">
        <v>0</v>
      </c>
      <c r="CM15" s="33">
        <v>0.25</v>
      </c>
      <c r="CN15" s="33">
        <v>1</v>
      </c>
      <c r="CO15" s="33">
        <v>0</v>
      </c>
      <c r="CP15" s="33">
        <v>0</v>
      </c>
      <c r="CQ15" s="33">
        <v>0</v>
      </c>
      <c r="CR15" s="34">
        <v>1</v>
      </c>
      <c r="CT15" s="9">
        <v>10</v>
      </c>
      <c r="CU15" s="6">
        <v>300</v>
      </c>
      <c r="CV15" s="6">
        <v>104</v>
      </c>
      <c r="CW15" s="6">
        <v>180</v>
      </c>
      <c r="CX15" s="6">
        <v>81</v>
      </c>
      <c r="CY15" s="6">
        <v>111</v>
      </c>
      <c r="CZ15" s="6">
        <v>103</v>
      </c>
      <c r="DA15" s="6">
        <v>91</v>
      </c>
      <c r="DB15" s="7">
        <v>116</v>
      </c>
      <c r="DD15" s="2">
        <v>10</v>
      </c>
      <c r="DE15" s="3">
        <v>1</v>
      </c>
      <c r="DF15" s="3">
        <v>1</v>
      </c>
      <c r="DG15" s="3">
        <v>2</v>
      </c>
      <c r="DH15" s="3">
        <v>1</v>
      </c>
      <c r="DI15" s="3">
        <v>1</v>
      </c>
      <c r="DJ15" s="3">
        <v>2</v>
      </c>
      <c r="DK15" s="3">
        <v>2</v>
      </c>
      <c r="DL15" s="3">
        <v>4</v>
      </c>
      <c r="DN15" s="2">
        <v>10</v>
      </c>
      <c r="DO15" s="3">
        <v>1</v>
      </c>
      <c r="DP15" s="3">
        <v>3</v>
      </c>
      <c r="DQ15" s="3">
        <v>1</v>
      </c>
      <c r="DR15" s="3">
        <v>4</v>
      </c>
      <c r="DS15" s="3">
        <v>1</v>
      </c>
      <c r="DT15" s="3">
        <v>5</v>
      </c>
      <c r="DU15" s="3">
        <v>1</v>
      </c>
      <c r="DV15" s="3">
        <v>5</v>
      </c>
      <c r="DW15" s="3">
        <v>1</v>
      </c>
      <c r="DX15" s="3">
        <v>5</v>
      </c>
      <c r="DY15" s="3">
        <f t="shared" si="2"/>
        <v>7.5</v>
      </c>
    </row>
    <row r="16" spans="1:129">
      <c r="A16" s="31"/>
      <c r="B16" s="9">
        <v>11</v>
      </c>
      <c r="C16" s="33">
        <v>1</v>
      </c>
      <c r="D16" s="34"/>
      <c r="E16" s="33">
        <v>0.25</v>
      </c>
      <c r="F16" s="33">
        <v>0</v>
      </c>
      <c r="G16" s="33">
        <v>0</v>
      </c>
      <c r="H16" s="33">
        <v>0</v>
      </c>
      <c r="I16" s="33">
        <v>0</v>
      </c>
      <c r="J16" s="34"/>
      <c r="K16" s="102"/>
      <c r="L16" s="9">
        <v>11</v>
      </c>
      <c r="M16" s="6">
        <v>69</v>
      </c>
      <c r="N16" s="6"/>
      <c r="O16" s="6">
        <v>95</v>
      </c>
      <c r="P16" s="6">
        <v>51</v>
      </c>
      <c r="Q16" s="6">
        <v>86</v>
      </c>
      <c r="R16" s="6">
        <v>80</v>
      </c>
      <c r="S16" s="6">
        <v>83</v>
      </c>
      <c r="T16" s="7"/>
      <c r="V16" s="2">
        <v>11</v>
      </c>
      <c r="W16" s="3">
        <v>5</v>
      </c>
      <c r="X16" s="3"/>
      <c r="Y16" s="3">
        <v>2</v>
      </c>
      <c r="Z16" s="3">
        <v>3</v>
      </c>
      <c r="AA16" s="3">
        <v>4</v>
      </c>
      <c r="AB16" s="3">
        <v>4</v>
      </c>
      <c r="AC16" s="3">
        <v>3</v>
      </c>
      <c r="AD16" s="3"/>
      <c r="AF16" s="2">
        <v>11</v>
      </c>
      <c r="AG16" s="3">
        <v>4</v>
      </c>
      <c r="AH16" s="3">
        <v>2</v>
      </c>
      <c r="AI16" s="3">
        <v>4</v>
      </c>
      <c r="AJ16" s="3">
        <v>2</v>
      </c>
      <c r="AK16" s="3">
        <v>3</v>
      </c>
      <c r="AL16" s="3">
        <v>2</v>
      </c>
      <c r="AM16" s="3">
        <v>4</v>
      </c>
      <c r="AN16" s="3">
        <v>2</v>
      </c>
      <c r="AO16" s="21">
        <v>2</v>
      </c>
      <c r="AP16" s="21">
        <v>4</v>
      </c>
      <c r="AQ16" s="3">
        <f>((AG15-1)+(5-AH16)+(AI16-1)+(5-AJ16)+(AK16-1)+(5-AL16)+(AM16-1)+(5-AN16)+(AO16-1)+(5-AP16))*2.5</f>
        <v>55</v>
      </c>
      <c r="AS16" s="9">
        <v>11</v>
      </c>
      <c r="AT16" s="39">
        <v>0.25</v>
      </c>
      <c r="AU16" s="39">
        <v>0.25</v>
      </c>
      <c r="AV16" s="39">
        <v>0</v>
      </c>
      <c r="AW16" s="39">
        <v>1</v>
      </c>
      <c r="AX16" s="39">
        <v>0.25</v>
      </c>
      <c r="AY16" s="39">
        <v>1</v>
      </c>
      <c r="AZ16" s="39">
        <v>1</v>
      </c>
      <c r="BA16" s="40">
        <v>1</v>
      </c>
      <c r="BC16" s="9">
        <v>11</v>
      </c>
      <c r="BD16" s="6">
        <v>162</v>
      </c>
      <c r="BE16" s="6">
        <v>131</v>
      </c>
      <c r="BF16" s="6">
        <v>180</v>
      </c>
      <c r="BG16" s="6">
        <v>16</v>
      </c>
      <c r="BH16" s="6">
        <v>56</v>
      </c>
      <c r="BI16" s="6">
        <v>6</v>
      </c>
      <c r="BJ16" s="6">
        <v>94</v>
      </c>
      <c r="BK16" s="7">
        <v>28</v>
      </c>
      <c r="BM16" s="2">
        <v>11</v>
      </c>
      <c r="BN16" s="3">
        <v>2</v>
      </c>
      <c r="BO16" s="3">
        <v>3</v>
      </c>
      <c r="BP16" s="3">
        <v>1</v>
      </c>
      <c r="BQ16" s="3">
        <v>5</v>
      </c>
      <c r="BR16" s="3">
        <v>5</v>
      </c>
      <c r="BS16" s="3">
        <v>5</v>
      </c>
      <c r="BT16" s="3">
        <v>3</v>
      </c>
      <c r="BU16" s="3">
        <v>5</v>
      </c>
      <c r="BW16" s="2">
        <v>11</v>
      </c>
      <c r="BX16" s="3">
        <v>4</v>
      </c>
      <c r="BY16" s="3">
        <v>2</v>
      </c>
      <c r="BZ16" s="3">
        <v>4</v>
      </c>
      <c r="CA16" s="3">
        <v>2</v>
      </c>
      <c r="CB16" s="3">
        <v>4</v>
      </c>
      <c r="CC16" s="3">
        <v>1</v>
      </c>
      <c r="CD16" s="3">
        <v>4</v>
      </c>
      <c r="CE16" s="3">
        <v>1</v>
      </c>
      <c r="CF16" s="3">
        <v>5</v>
      </c>
      <c r="CG16" s="3">
        <v>5</v>
      </c>
      <c r="CH16" s="3">
        <f t="shared" si="1"/>
        <v>75</v>
      </c>
      <c r="CJ16" s="9">
        <v>11</v>
      </c>
      <c r="CK16" s="33">
        <v>0</v>
      </c>
      <c r="CL16" s="33">
        <v>0.25</v>
      </c>
      <c r="CM16" s="33">
        <v>0</v>
      </c>
      <c r="CN16" s="33">
        <v>0</v>
      </c>
      <c r="CO16" s="33">
        <v>0</v>
      </c>
      <c r="CP16" s="33">
        <v>0.25</v>
      </c>
      <c r="CQ16" s="33">
        <v>0.25</v>
      </c>
      <c r="CR16" s="34">
        <v>1</v>
      </c>
      <c r="CT16" s="9">
        <v>11</v>
      </c>
      <c r="CU16" s="6">
        <v>144</v>
      </c>
      <c r="CV16" s="6">
        <v>51</v>
      </c>
      <c r="CW16" s="6">
        <v>180</v>
      </c>
      <c r="CX16" s="6">
        <v>87</v>
      </c>
      <c r="CY16" s="6">
        <v>203</v>
      </c>
      <c r="CZ16" s="6">
        <v>120</v>
      </c>
      <c r="DA16" s="6">
        <v>47</v>
      </c>
      <c r="DB16" s="7">
        <v>30</v>
      </c>
      <c r="DD16" s="2">
        <v>11</v>
      </c>
      <c r="DE16" s="3">
        <v>3</v>
      </c>
      <c r="DF16" s="3">
        <v>4</v>
      </c>
      <c r="DG16" s="3">
        <v>1</v>
      </c>
      <c r="DH16" s="3">
        <v>3</v>
      </c>
      <c r="DI16" s="3">
        <v>1</v>
      </c>
      <c r="DJ16" s="3">
        <v>4</v>
      </c>
      <c r="DK16" s="3">
        <v>4</v>
      </c>
      <c r="DL16" s="3">
        <v>5</v>
      </c>
      <c r="DN16" s="2">
        <v>11</v>
      </c>
      <c r="DO16" s="3">
        <v>4</v>
      </c>
      <c r="DP16" s="3">
        <v>3</v>
      </c>
      <c r="DQ16" s="3">
        <v>4</v>
      </c>
      <c r="DR16" s="3">
        <v>3</v>
      </c>
      <c r="DS16" s="3">
        <v>4</v>
      </c>
      <c r="DT16" s="3">
        <v>2</v>
      </c>
      <c r="DU16" s="3">
        <v>4</v>
      </c>
      <c r="DV16" s="3">
        <v>3</v>
      </c>
      <c r="DW16" s="3">
        <v>4</v>
      </c>
      <c r="DX16" s="3">
        <v>4</v>
      </c>
      <c r="DY16" s="3">
        <f t="shared" si="2"/>
        <v>62.5</v>
      </c>
    </row>
    <row r="17" spans="2:129">
      <c r="B17" s="9">
        <v>12</v>
      </c>
      <c r="C17" s="33">
        <v>0.25</v>
      </c>
      <c r="D17" s="34"/>
      <c r="E17" s="33">
        <v>0.25</v>
      </c>
      <c r="F17" s="33">
        <v>0.25</v>
      </c>
      <c r="G17" s="33">
        <v>0</v>
      </c>
      <c r="H17" s="33">
        <v>1</v>
      </c>
      <c r="I17" s="33">
        <v>0</v>
      </c>
      <c r="J17" s="34"/>
      <c r="K17" s="102"/>
      <c r="L17" s="9">
        <v>12</v>
      </c>
      <c r="M17" s="6">
        <v>148</v>
      </c>
      <c r="N17" s="6"/>
      <c r="O17" s="6">
        <v>180</v>
      </c>
      <c r="P17" s="6">
        <v>63</v>
      </c>
      <c r="Q17" s="6">
        <v>61</v>
      </c>
      <c r="R17" s="6">
        <v>4</v>
      </c>
      <c r="S17" s="6">
        <v>4</v>
      </c>
      <c r="T17" s="7"/>
      <c r="V17" s="2">
        <v>12</v>
      </c>
      <c r="W17" s="3">
        <v>5</v>
      </c>
      <c r="X17" s="3"/>
      <c r="Y17" s="3">
        <v>1</v>
      </c>
      <c r="Z17" s="3">
        <v>4</v>
      </c>
      <c r="AA17" s="3">
        <v>3</v>
      </c>
      <c r="AB17" s="3">
        <v>5</v>
      </c>
      <c r="AC17" s="3">
        <v>5</v>
      </c>
      <c r="AD17" s="3"/>
      <c r="AF17" s="2">
        <v>12</v>
      </c>
      <c r="AG17" s="3">
        <v>3</v>
      </c>
      <c r="AH17" s="3">
        <v>3</v>
      </c>
      <c r="AI17" s="3">
        <v>4</v>
      </c>
      <c r="AJ17" s="3">
        <v>2</v>
      </c>
      <c r="AK17" s="3">
        <v>4</v>
      </c>
      <c r="AL17" s="3">
        <v>2</v>
      </c>
      <c r="AM17" s="3">
        <v>4</v>
      </c>
      <c r="AN17" s="3">
        <v>3</v>
      </c>
      <c r="AO17" s="3">
        <v>4</v>
      </c>
      <c r="AP17" s="3">
        <v>5</v>
      </c>
      <c r="AQ17" s="3">
        <f>((AG14-1)+(5-AH14)+(AI14-1)+(5-AJ14)+(AK14-1)+(5-AL14)+(AM14-1)+(5-AN14)+(AO14-1)+(5-AP14))*2.5</f>
        <v>52.5</v>
      </c>
      <c r="AS17" s="9">
        <v>12</v>
      </c>
      <c r="AT17" s="33">
        <v>0.25</v>
      </c>
      <c r="AU17" s="33">
        <v>1</v>
      </c>
      <c r="AV17" s="33">
        <v>1</v>
      </c>
      <c r="AW17" s="33">
        <v>1</v>
      </c>
      <c r="AX17" s="33">
        <v>0.25</v>
      </c>
      <c r="AY17" s="33">
        <v>0</v>
      </c>
      <c r="AZ17" s="33">
        <v>0</v>
      </c>
      <c r="BA17" s="34">
        <v>1</v>
      </c>
      <c r="BC17" s="9">
        <v>12</v>
      </c>
      <c r="BD17" s="6">
        <v>112</v>
      </c>
      <c r="BE17" s="6">
        <v>62</v>
      </c>
      <c r="BF17" s="6">
        <v>79</v>
      </c>
      <c r="BG17" s="6">
        <v>103</v>
      </c>
      <c r="BH17" s="6">
        <v>39</v>
      </c>
      <c r="BI17" s="6">
        <v>21</v>
      </c>
      <c r="BJ17" s="6">
        <v>111</v>
      </c>
      <c r="BK17" s="7">
        <v>17</v>
      </c>
      <c r="BM17" s="2">
        <v>12</v>
      </c>
      <c r="BN17" s="3">
        <v>3</v>
      </c>
      <c r="BO17" s="3">
        <v>4</v>
      </c>
      <c r="BP17" s="3">
        <v>4</v>
      </c>
      <c r="BQ17" s="3">
        <v>3</v>
      </c>
      <c r="BR17" s="3">
        <v>4</v>
      </c>
      <c r="BS17" s="3">
        <v>4</v>
      </c>
      <c r="BT17" s="3">
        <v>3</v>
      </c>
      <c r="BU17" s="3">
        <v>5</v>
      </c>
      <c r="BW17" s="2">
        <v>12</v>
      </c>
      <c r="BX17" s="3">
        <v>4</v>
      </c>
      <c r="BY17" s="3">
        <v>2</v>
      </c>
      <c r="BZ17" s="3">
        <v>3</v>
      </c>
      <c r="CA17" s="3">
        <v>2</v>
      </c>
      <c r="CB17" s="3">
        <v>3</v>
      </c>
      <c r="CC17" s="3">
        <v>1</v>
      </c>
      <c r="CD17" s="3">
        <v>3</v>
      </c>
      <c r="CE17" s="3">
        <v>3</v>
      </c>
      <c r="CF17" s="3">
        <v>3</v>
      </c>
      <c r="CG17" s="3">
        <v>3</v>
      </c>
      <c r="CH17" s="3">
        <f t="shared" si="1"/>
        <v>62.5</v>
      </c>
      <c r="CJ17" s="9">
        <v>12</v>
      </c>
      <c r="CK17" s="33">
        <v>0.25</v>
      </c>
      <c r="CL17" s="33">
        <v>0.25</v>
      </c>
      <c r="CM17" s="33">
        <v>0.25</v>
      </c>
      <c r="CN17" s="33">
        <v>1</v>
      </c>
      <c r="CO17" s="33">
        <v>0.25</v>
      </c>
      <c r="CP17" s="33">
        <v>1</v>
      </c>
      <c r="CQ17" s="33">
        <v>1</v>
      </c>
      <c r="CR17" s="34">
        <v>1</v>
      </c>
      <c r="CT17" s="9">
        <v>12</v>
      </c>
      <c r="CU17" s="6">
        <v>300</v>
      </c>
      <c r="CV17" s="6">
        <v>180</v>
      </c>
      <c r="CW17" s="6">
        <v>90</v>
      </c>
      <c r="CX17" s="6">
        <v>89</v>
      </c>
      <c r="CY17" s="6">
        <v>80</v>
      </c>
      <c r="CZ17" s="6">
        <v>70</v>
      </c>
      <c r="DA17" s="6">
        <v>34</v>
      </c>
      <c r="DB17" s="7">
        <v>15</v>
      </c>
      <c r="DD17" s="2">
        <v>12</v>
      </c>
      <c r="DE17" s="3">
        <v>1</v>
      </c>
      <c r="DF17" s="3">
        <v>1</v>
      </c>
      <c r="DG17" s="3">
        <v>2</v>
      </c>
      <c r="DH17" s="3">
        <v>3</v>
      </c>
      <c r="DI17" s="3">
        <v>3</v>
      </c>
      <c r="DJ17" s="3">
        <v>3</v>
      </c>
      <c r="DK17" s="3">
        <v>3</v>
      </c>
      <c r="DL17" s="3">
        <v>4</v>
      </c>
      <c r="DN17" s="2">
        <v>12</v>
      </c>
      <c r="DO17" s="3">
        <v>1</v>
      </c>
      <c r="DP17" s="3">
        <v>5</v>
      </c>
      <c r="DQ17" s="3">
        <v>1</v>
      </c>
      <c r="DR17" s="3">
        <v>5</v>
      </c>
      <c r="DS17" s="3">
        <v>3</v>
      </c>
      <c r="DT17" s="3">
        <v>3</v>
      </c>
      <c r="DU17" s="3">
        <v>2</v>
      </c>
      <c r="DV17" s="3">
        <v>5</v>
      </c>
      <c r="DW17" s="3">
        <v>1</v>
      </c>
      <c r="DX17" s="3">
        <v>5</v>
      </c>
      <c r="DY17" s="3">
        <f t="shared" si="2"/>
        <v>12.5</v>
      </c>
    </row>
    <row r="18" spans="2:129">
      <c r="B18" s="9">
        <v>13</v>
      </c>
      <c r="C18" s="33">
        <v>1</v>
      </c>
      <c r="D18" s="34"/>
      <c r="E18" s="33">
        <v>1</v>
      </c>
      <c r="F18" s="33">
        <v>0</v>
      </c>
      <c r="G18" s="33">
        <v>1</v>
      </c>
      <c r="H18" s="33">
        <v>1</v>
      </c>
      <c r="I18" s="33">
        <v>1</v>
      </c>
      <c r="J18" s="34"/>
      <c r="K18" s="102"/>
      <c r="L18" s="9">
        <v>13</v>
      </c>
      <c r="M18" s="6">
        <v>68</v>
      </c>
      <c r="N18" s="6"/>
      <c r="O18" s="6">
        <v>88</v>
      </c>
      <c r="P18" s="6">
        <v>30</v>
      </c>
      <c r="Q18" s="6">
        <v>57</v>
      </c>
      <c r="R18" s="6">
        <v>77</v>
      </c>
      <c r="S18" s="6">
        <v>34</v>
      </c>
      <c r="T18" s="7"/>
      <c r="V18" s="2">
        <v>13</v>
      </c>
      <c r="W18" s="3">
        <v>5</v>
      </c>
      <c r="X18" s="3"/>
      <c r="Y18" s="3">
        <v>5</v>
      </c>
      <c r="Z18" s="3">
        <v>4</v>
      </c>
      <c r="AA18" s="3">
        <v>5</v>
      </c>
      <c r="AB18" s="3">
        <v>1</v>
      </c>
      <c r="AC18" s="3">
        <v>5</v>
      </c>
      <c r="AD18" s="3"/>
      <c r="AF18" s="2">
        <v>13</v>
      </c>
      <c r="AG18" s="3">
        <v>5</v>
      </c>
      <c r="AH18" s="3">
        <v>1</v>
      </c>
      <c r="AI18" s="3">
        <v>5</v>
      </c>
      <c r="AJ18" s="3">
        <v>1</v>
      </c>
      <c r="AK18" s="3">
        <v>5</v>
      </c>
      <c r="AL18" s="3">
        <v>1</v>
      </c>
      <c r="AM18" s="3">
        <v>5</v>
      </c>
      <c r="AN18" s="3">
        <v>1</v>
      </c>
      <c r="AO18" s="3">
        <v>5</v>
      </c>
      <c r="AP18" s="3">
        <v>1</v>
      </c>
      <c r="AQ18" s="3">
        <f t="shared" si="0"/>
        <v>100</v>
      </c>
      <c r="AS18" s="9">
        <v>13</v>
      </c>
      <c r="AT18" s="33">
        <v>0.25</v>
      </c>
      <c r="AU18" s="33">
        <v>1</v>
      </c>
      <c r="AV18" s="33">
        <v>1</v>
      </c>
      <c r="AW18" s="33">
        <v>1</v>
      </c>
      <c r="AX18" s="33">
        <v>0.25</v>
      </c>
      <c r="AY18" s="33">
        <v>0</v>
      </c>
      <c r="AZ18" s="33">
        <v>1</v>
      </c>
      <c r="BA18" s="34">
        <v>1</v>
      </c>
      <c r="BC18" s="9">
        <v>13</v>
      </c>
      <c r="BD18" s="6">
        <v>186</v>
      </c>
      <c r="BE18" s="6">
        <v>50</v>
      </c>
      <c r="BF18" s="6">
        <v>99</v>
      </c>
      <c r="BG18" s="6">
        <v>18</v>
      </c>
      <c r="BH18" s="6">
        <v>140</v>
      </c>
      <c r="BI18" s="6">
        <v>17</v>
      </c>
      <c r="BJ18" s="6">
        <v>94</v>
      </c>
      <c r="BK18" s="7">
        <v>10</v>
      </c>
      <c r="BM18" s="2">
        <v>13</v>
      </c>
      <c r="BN18" s="3">
        <v>4</v>
      </c>
      <c r="BO18" s="3">
        <v>4</v>
      </c>
      <c r="BP18" s="3">
        <v>2</v>
      </c>
      <c r="BQ18" s="3">
        <v>5</v>
      </c>
      <c r="BR18" s="3">
        <v>4</v>
      </c>
      <c r="BS18" s="3">
        <v>5</v>
      </c>
      <c r="BT18" s="3">
        <v>3</v>
      </c>
      <c r="BU18" s="3">
        <v>5</v>
      </c>
      <c r="BW18" s="2">
        <v>13</v>
      </c>
      <c r="BX18" s="3">
        <v>4</v>
      </c>
      <c r="BY18" s="3">
        <v>2</v>
      </c>
      <c r="BZ18" s="3">
        <v>4</v>
      </c>
      <c r="CA18" s="3">
        <v>1</v>
      </c>
      <c r="CB18" s="3">
        <v>4</v>
      </c>
      <c r="CC18" s="3">
        <v>2</v>
      </c>
      <c r="CD18" s="3">
        <v>5</v>
      </c>
      <c r="CE18" s="3">
        <v>2</v>
      </c>
      <c r="CF18" s="3">
        <v>4</v>
      </c>
      <c r="CG18" s="3">
        <v>2</v>
      </c>
      <c r="CH18" s="3">
        <f t="shared" si="1"/>
        <v>80</v>
      </c>
      <c r="CJ18" s="9">
        <v>13</v>
      </c>
      <c r="CK18" s="33">
        <v>0.25</v>
      </c>
      <c r="CL18" s="33">
        <v>0.25</v>
      </c>
      <c r="CM18" s="33">
        <v>0.25</v>
      </c>
      <c r="CN18" s="33">
        <v>1</v>
      </c>
      <c r="CO18" s="33">
        <v>0.25</v>
      </c>
      <c r="CP18" s="33">
        <v>0</v>
      </c>
      <c r="CQ18" s="33">
        <v>1</v>
      </c>
      <c r="CR18" s="34">
        <v>0</v>
      </c>
      <c r="CT18" s="9">
        <v>13</v>
      </c>
      <c r="CU18" s="26">
        <v>214</v>
      </c>
      <c r="CV18" s="6">
        <v>40</v>
      </c>
      <c r="CW18" s="6">
        <v>140</v>
      </c>
      <c r="CX18" s="6">
        <v>19</v>
      </c>
      <c r="CY18" s="6">
        <v>69</v>
      </c>
      <c r="CZ18" s="6">
        <v>90</v>
      </c>
      <c r="DA18" s="6">
        <v>37</v>
      </c>
      <c r="DB18" s="7">
        <v>159</v>
      </c>
      <c r="DD18" s="2">
        <v>13</v>
      </c>
      <c r="DE18" s="3">
        <v>3</v>
      </c>
      <c r="DF18" s="3">
        <v>3</v>
      </c>
      <c r="DG18" s="3">
        <v>4</v>
      </c>
      <c r="DH18" s="3">
        <v>5</v>
      </c>
      <c r="DI18" s="3">
        <v>3</v>
      </c>
      <c r="DJ18" s="3">
        <v>1</v>
      </c>
      <c r="DK18" s="3">
        <v>5</v>
      </c>
      <c r="DL18" s="3">
        <v>1</v>
      </c>
      <c r="DN18" s="2">
        <v>13</v>
      </c>
      <c r="DO18" s="3">
        <v>3</v>
      </c>
      <c r="DP18" s="3">
        <v>4</v>
      </c>
      <c r="DQ18" s="3">
        <v>3</v>
      </c>
      <c r="DR18" s="3">
        <v>1</v>
      </c>
      <c r="DS18" s="3">
        <v>3</v>
      </c>
      <c r="DT18" s="3">
        <v>4</v>
      </c>
      <c r="DU18" s="3">
        <v>2</v>
      </c>
      <c r="DV18" s="3">
        <v>3</v>
      </c>
      <c r="DW18" s="3">
        <v>3</v>
      </c>
      <c r="DX18" s="3">
        <v>4</v>
      </c>
      <c r="DY18" s="3">
        <f t="shared" si="2"/>
        <v>45</v>
      </c>
    </row>
    <row r="19" spans="2:129">
      <c r="B19" s="9">
        <v>14</v>
      </c>
      <c r="C19" s="36">
        <v>0.25</v>
      </c>
      <c r="D19" s="34"/>
      <c r="E19" s="33">
        <v>1</v>
      </c>
      <c r="F19" s="33">
        <v>1</v>
      </c>
      <c r="G19" s="33">
        <v>1</v>
      </c>
      <c r="H19" s="33">
        <v>1</v>
      </c>
      <c r="I19" s="33">
        <v>1</v>
      </c>
      <c r="J19" s="34"/>
      <c r="K19" s="102"/>
      <c r="L19" s="9">
        <v>14</v>
      </c>
      <c r="M19" s="27">
        <v>109</v>
      </c>
      <c r="N19" s="6"/>
      <c r="O19" s="6">
        <v>47</v>
      </c>
      <c r="P19" s="6">
        <v>31</v>
      </c>
      <c r="Q19" s="6">
        <v>23</v>
      </c>
      <c r="R19" s="6">
        <v>27</v>
      </c>
      <c r="S19" s="6">
        <v>9</v>
      </c>
      <c r="T19" s="7"/>
      <c r="V19" s="2">
        <v>14</v>
      </c>
      <c r="W19" s="3">
        <v>5</v>
      </c>
      <c r="X19" s="3"/>
      <c r="Y19" s="3">
        <v>4</v>
      </c>
      <c r="Z19" s="3">
        <v>4</v>
      </c>
      <c r="AA19" s="3">
        <v>5</v>
      </c>
      <c r="AB19" s="3">
        <v>4</v>
      </c>
      <c r="AC19" s="3">
        <v>5</v>
      </c>
      <c r="AD19" s="3"/>
      <c r="AF19" s="2">
        <v>14</v>
      </c>
      <c r="AG19" s="3">
        <v>5</v>
      </c>
      <c r="AH19" s="3">
        <v>1</v>
      </c>
      <c r="AI19" s="3">
        <v>5</v>
      </c>
      <c r="AJ19" s="3">
        <v>1</v>
      </c>
      <c r="AK19" s="3">
        <v>4</v>
      </c>
      <c r="AL19" s="3">
        <v>1</v>
      </c>
      <c r="AM19" s="3">
        <v>4</v>
      </c>
      <c r="AN19" s="3">
        <v>1</v>
      </c>
      <c r="AO19" s="3">
        <v>5</v>
      </c>
      <c r="AP19" s="3">
        <v>1</v>
      </c>
      <c r="AQ19" s="3">
        <f t="shared" si="0"/>
        <v>95</v>
      </c>
      <c r="AS19" s="9">
        <v>14</v>
      </c>
      <c r="AT19" s="36">
        <v>0.25</v>
      </c>
      <c r="AU19" s="33">
        <v>1</v>
      </c>
      <c r="AV19" s="33">
        <v>1</v>
      </c>
      <c r="AW19" s="33">
        <v>1</v>
      </c>
      <c r="AX19" s="33">
        <v>0.25</v>
      </c>
      <c r="AY19" s="33">
        <v>0</v>
      </c>
      <c r="AZ19" s="33">
        <v>0</v>
      </c>
      <c r="BA19" s="34">
        <v>1</v>
      </c>
      <c r="BC19" s="9">
        <v>14</v>
      </c>
      <c r="BD19" s="27">
        <v>221</v>
      </c>
      <c r="BE19" s="6">
        <v>74</v>
      </c>
      <c r="BF19" s="6">
        <v>108</v>
      </c>
      <c r="BG19" s="6">
        <v>32</v>
      </c>
      <c r="BH19" s="6">
        <v>83</v>
      </c>
      <c r="BI19" s="6">
        <v>20</v>
      </c>
      <c r="BJ19" s="6">
        <v>36</v>
      </c>
      <c r="BK19" s="7">
        <v>67</v>
      </c>
      <c r="BM19" s="2">
        <v>14</v>
      </c>
      <c r="BN19" s="3">
        <v>3</v>
      </c>
      <c r="BO19" s="3">
        <v>4</v>
      </c>
      <c r="BP19" s="3">
        <v>4</v>
      </c>
      <c r="BQ19" s="3">
        <v>2</v>
      </c>
      <c r="BR19" s="3">
        <v>1</v>
      </c>
      <c r="BS19" s="3">
        <v>4</v>
      </c>
      <c r="BT19" s="3">
        <v>4</v>
      </c>
      <c r="BU19" s="3">
        <v>1</v>
      </c>
      <c r="BW19" s="2">
        <v>14</v>
      </c>
      <c r="BX19" s="3">
        <v>3</v>
      </c>
      <c r="BY19" s="3">
        <v>4</v>
      </c>
      <c r="BZ19" s="3">
        <v>2</v>
      </c>
      <c r="CA19" s="3">
        <v>1</v>
      </c>
      <c r="CB19" s="3">
        <v>2</v>
      </c>
      <c r="CC19" s="3">
        <v>5</v>
      </c>
      <c r="CD19" s="3">
        <v>3</v>
      </c>
      <c r="CE19" s="3">
        <v>4</v>
      </c>
      <c r="CF19" s="3">
        <v>2</v>
      </c>
      <c r="CG19" s="3">
        <v>4</v>
      </c>
      <c r="CH19" s="3">
        <f t="shared" si="1"/>
        <v>35</v>
      </c>
      <c r="CJ19" s="9">
        <v>14</v>
      </c>
      <c r="CK19" s="33">
        <v>0.25</v>
      </c>
      <c r="CL19" s="33">
        <v>0.25</v>
      </c>
      <c r="CM19" s="33">
        <v>0.25</v>
      </c>
      <c r="CN19" s="33">
        <v>0.25</v>
      </c>
      <c r="CO19" s="33">
        <v>0.25</v>
      </c>
      <c r="CP19" s="33">
        <v>0</v>
      </c>
      <c r="CQ19" s="33">
        <v>0</v>
      </c>
      <c r="CR19" s="34">
        <v>1</v>
      </c>
      <c r="CT19" s="9">
        <v>14</v>
      </c>
      <c r="CU19" s="6">
        <v>300</v>
      </c>
      <c r="CV19" s="6">
        <v>104</v>
      </c>
      <c r="CW19" s="6">
        <v>62</v>
      </c>
      <c r="CX19" s="6">
        <v>108</v>
      </c>
      <c r="CY19" s="6">
        <v>109</v>
      </c>
      <c r="CZ19" s="6">
        <v>109</v>
      </c>
      <c r="DA19" s="6">
        <v>46</v>
      </c>
      <c r="DB19" s="7">
        <v>112</v>
      </c>
      <c r="DD19" s="2">
        <v>14</v>
      </c>
      <c r="DE19" s="3">
        <v>4</v>
      </c>
      <c r="DF19" s="3">
        <v>4</v>
      </c>
      <c r="DG19" s="3">
        <v>4</v>
      </c>
      <c r="DH19" s="3">
        <v>3</v>
      </c>
      <c r="DI19" s="3">
        <v>4</v>
      </c>
      <c r="DJ19" s="3">
        <v>4</v>
      </c>
      <c r="DK19" s="3">
        <v>3</v>
      </c>
      <c r="DL19" s="3">
        <v>2</v>
      </c>
      <c r="DN19" s="2">
        <v>14</v>
      </c>
      <c r="DO19" s="3">
        <v>5</v>
      </c>
      <c r="DP19" s="3">
        <v>2</v>
      </c>
      <c r="DQ19" s="3">
        <v>4</v>
      </c>
      <c r="DR19" s="3">
        <v>1</v>
      </c>
      <c r="DS19" s="3">
        <v>4</v>
      </c>
      <c r="DT19" s="3">
        <v>2</v>
      </c>
      <c r="DU19" s="3">
        <v>4</v>
      </c>
      <c r="DV19" s="3">
        <v>1</v>
      </c>
      <c r="DW19" s="3">
        <v>5</v>
      </c>
      <c r="DX19" s="3">
        <v>1</v>
      </c>
      <c r="DY19" s="3">
        <f t="shared" si="2"/>
        <v>87.5</v>
      </c>
    </row>
    <row r="20" spans="2:129">
      <c r="B20" s="9">
        <v>15</v>
      </c>
      <c r="C20" s="33">
        <v>0.25</v>
      </c>
      <c r="D20" s="34"/>
      <c r="E20" s="33">
        <v>0.25</v>
      </c>
      <c r="F20" s="33">
        <v>0</v>
      </c>
      <c r="G20" s="33">
        <v>1</v>
      </c>
      <c r="H20" s="33">
        <v>1</v>
      </c>
      <c r="I20" s="33">
        <v>0</v>
      </c>
      <c r="J20" s="34"/>
      <c r="K20" s="102"/>
      <c r="L20" s="9">
        <v>15</v>
      </c>
      <c r="M20" s="6">
        <v>76</v>
      </c>
      <c r="N20" s="6"/>
      <c r="O20" s="6">
        <v>93</v>
      </c>
      <c r="P20" s="6">
        <v>99</v>
      </c>
      <c r="Q20" s="6">
        <v>52</v>
      </c>
      <c r="R20" s="6">
        <v>28</v>
      </c>
      <c r="S20" s="6">
        <v>50</v>
      </c>
      <c r="T20" s="7"/>
      <c r="V20" s="2">
        <v>15</v>
      </c>
      <c r="W20" s="3">
        <v>4</v>
      </c>
      <c r="X20" s="3"/>
      <c r="Y20" s="3">
        <v>4</v>
      </c>
      <c r="Z20" s="3">
        <v>3</v>
      </c>
      <c r="AA20" s="3">
        <v>5</v>
      </c>
      <c r="AB20" s="3">
        <v>5</v>
      </c>
      <c r="AC20" s="3">
        <v>4</v>
      </c>
      <c r="AD20" s="3"/>
      <c r="AF20" s="2">
        <v>15</v>
      </c>
      <c r="AG20" s="3">
        <v>4</v>
      </c>
      <c r="AH20" s="3">
        <v>1</v>
      </c>
      <c r="AI20" s="3">
        <v>5</v>
      </c>
      <c r="AJ20" s="3">
        <v>1</v>
      </c>
      <c r="AK20" s="3">
        <v>4</v>
      </c>
      <c r="AL20" s="3">
        <v>2</v>
      </c>
      <c r="AM20" s="3">
        <v>5</v>
      </c>
      <c r="AN20" s="3">
        <v>2</v>
      </c>
      <c r="AO20" s="3">
        <v>5</v>
      </c>
      <c r="AP20" s="3">
        <v>1</v>
      </c>
      <c r="AQ20" s="3">
        <f t="shared" si="0"/>
        <v>90</v>
      </c>
      <c r="AS20" s="9">
        <v>15</v>
      </c>
      <c r="AT20" s="33">
        <v>0.25</v>
      </c>
      <c r="AU20" s="33">
        <v>0.25</v>
      </c>
      <c r="AV20" s="33">
        <v>0.25</v>
      </c>
      <c r="AW20" s="33">
        <v>1</v>
      </c>
      <c r="AX20" s="33">
        <v>0.25</v>
      </c>
      <c r="AY20" s="33">
        <v>1</v>
      </c>
      <c r="AZ20" s="33">
        <v>0</v>
      </c>
      <c r="BA20" s="34">
        <v>1</v>
      </c>
      <c r="BC20" s="9">
        <v>15</v>
      </c>
      <c r="BD20" s="6">
        <v>91</v>
      </c>
      <c r="BE20" s="6">
        <v>54</v>
      </c>
      <c r="BF20" s="6">
        <v>73</v>
      </c>
      <c r="BG20" s="6">
        <v>25</v>
      </c>
      <c r="BH20" s="6">
        <v>149</v>
      </c>
      <c r="BI20" s="6">
        <v>10</v>
      </c>
      <c r="BJ20" s="6">
        <v>27</v>
      </c>
      <c r="BK20" s="7">
        <v>13</v>
      </c>
      <c r="BM20" s="2">
        <v>15</v>
      </c>
      <c r="BN20" s="3">
        <v>5</v>
      </c>
      <c r="BO20" s="3">
        <v>5</v>
      </c>
      <c r="BP20" s="3">
        <v>5</v>
      </c>
      <c r="BQ20" s="3">
        <v>3</v>
      </c>
      <c r="BR20" s="3">
        <v>2</v>
      </c>
      <c r="BS20" s="3">
        <v>4</v>
      </c>
      <c r="BT20" s="3">
        <v>4</v>
      </c>
      <c r="BU20" s="3">
        <v>5</v>
      </c>
      <c r="BW20" s="2">
        <v>15</v>
      </c>
      <c r="BX20" s="3">
        <v>5</v>
      </c>
      <c r="BY20" s="3">
        <v>1</v>
      </c>
      <c r="BZ20" s="3">
        <v>5</v>
      </c>
      <c r="CA20" s="3">
        <v>1</v>
      </c>
      <c r="CB20" s="3">
        <v>4</v>
      </c>
      <c r="CC20" s="3">
        <v>2</v>
      </c>
      <c r="CD20" s="3">
        <v>5</v>
      </c>
      <c r="CE20" s="3">
        <v>2</v>
      </c>
      <c r="CF20" s="3">
        <v>5</v>
      </c>
      <c r="CG20" s="3">
        <v>1</v>
      </c>
      <c r="CH20" s="3">
        <f t="shared" si="1"/>
        <v>92.5</v>
      </c>
      <c r="CJ20" s="9">
        <v>15</v>
      </c>
      <c r="CK20" s="33">
        <v>0</v>
      </c>
      <c r="CL20" s="33">
        <v>0</v>
      </c>
      <c r="CM20" s="33">
        <v>0</v>
      </c>
      <c r="CN20" s="33">
        <v>0</v>
      </c>
      <c r="CO20" s="33">
        <v>0</v>
      </c>
      <c r="CP20" s="33">
        <v>1</v>
      </c>
      <c r="CQ20" s="33">
        <v>1</v>
      </c>
      <c r="CR20" s="34">
        <v>1</v>
      </c>
      <c r="CT20" s="9">
        <v>15</v>
      </c>
      <c r="CU20" s="6">
        <v>137</v>
      </c>
      <c r="CV20" s="6">
        <v>40</v>
      </c>
      <c r="CW20" s="6">
        <v>31</v>
      </c>
      <c r="CX20" s="6">
        <v>34</v>
      </c>
      <c r="CY20" s="6">
        <v>158</v>
      </c>
      <c r="CZ20" s="6">
        <v>79</v>
      </c>
      <c r="DA20" s="6">
        <v>36</v>
      </c>
      <c r="DB20" s="7">
        <v>104</v>
      </c>
      <c r="DD20" s="2">
        <v>15</v>
      </c>
      <c r="DE20" s="3">
        <v>3</v>
      </c>
      <c r="DF20" s="3">
        <v>3</v>
      </c>
      <c r="DG20" s="3">
        <v>4</v>
      </c>
      <c r="DH20" s="3">
        <v>4</v>
      </c>
      <c r="DI20" s="3">
        <v>2</v>
      </c>
      <c r="DJ20" s="3">
        <v>3</v>
      </c>
      <c r="DK20" s="3">
        <v>4</v>
      </c>
      <c r="DL20" s="3">
        <v>3</v>
      </c>
      <c r="DN20" s="2">
        <v>15</v>
      </c>
      <c r="DO20" s="3">
        <v>3</v>
      </c>
      <c r="DP20" s="3">
        <v>2</v>
      </c>
      <c r="DQ20" s="3">
        <v>3</v>
      </c>
      <c r="DR20" s="3">
        <v>1</v>
      </c>
      <c r="DS20" s="3">
        <v>4</v>
      </c>
      <c r="DT20" s="3">
        <v>2</v>
      </c>
      <c r="DU20" s="3">
        <v>5</v>
      </c>
      <c r="DV20" s="3">
        <v>3</v>
      </c>
      <c r="DW20" s="3">
        <v>3</v>
      </c>
      <c r="DX20" s="3">
        <v>1</v>
      </c>
      <c r="DY20" s="3">
        <f t="shared" si="2"/>
        <v>72.5</v>
      </c>
    </row>
    <row r="21" spans="2:129">
      <c r="B21" s="9">
        <v>16</v>
      </c>
      <c r="C21" s="33">
        <v>0.25</v>
      </c>
      <c r="D21" s="34"/>
      <c r="E21" s="33">
        <v>1</v>
      </c>
      <c r="F21" s="33">
        <v>0</v>
      </c>
      <c r="G21" s="33">
        <v>0</v>
      </c>
      <c r="H21" s="33">
        <v>1</v>
      </c>
      <c r="I21" s="33">
        <v>0.25</v>
      </c>
      <c r="J21" s="34"/>
      <c r="K21" s="102"/>
      <c r="L21" s="9">
        <v>16</v>
      </c>
      <c r="M21" s="6">
        <v>274</v>
      </c>
      <c r="N21" s="6"/>
      <c r="O21" s="6">
        <v>180</v>
      </c>
      <c r="P21" s="6">
        <v>180</v>
      </c>
      <c r="Q21" s="6">
        <v>180</v>
      </c>
      <c r="R21" s="6">
        <v>76</v>
      </c>
      <c r="S21" s="6">
        <v>60</v>
      </c>
      <c r="T21" s="7"/>
      <c r="V21" s="2">
        <v>16</v>
      </c>
      <c r="W21" s="3">
        <v>4</v>
      </c>
      <c r="X21" s="3"/>
      <c r="Y21" s="3">
        <v>3</v>
      </c>
      <c r="Z21" s="3">
        <v>1</v>
      </c>
      <c r="AA21" s="3">
        <v>3</v>
      </c>
      <c r="AB21" s="3">
        <v>3</v>
      </c>
      <c r="AC21" s="3">
        <v>3</v>
      </c>
      <c r="AD21" s="3"/>
      <c r="AF21" s="2">
        <v>16</v>
      </c>
      <c r="AG21" s="3">
        <v>2</v>
      </c>
      <c r="AH21" s="3">
        <v>4</v>
      </c>
      <c r="AI21" s="3">
        <v>2</v>
      </c>
      <c r="AJ21" s="3">
        <v>5</v>
      </c>
      <c r="AK21" s="3">
        <v>2</v>
      </c>
      <c r="AL21" s="3">
        <v>2</v>
      </c>
      <c r="AM21" s="3">
        <v>3</v>
      </c>
      <c r="AN21" s="3">
        <v>2</v>
      </c>
      <c r="AO21" s="3">
        <v>1</v>
      </c>
      <c r="AP21" s="3">
        <v>5</v>
      </c>
      <c r="AQ21" s="3">
        <f t="shared" si="0"/>
        <v>30</v>
      </c>
      <c r="AS21" s="9">
        <v>16</v>
      </c>
      <c r="AT21" s="33">
        <v>0.25</v>
      </c>
      <c r="AU21" s="33">
        <v>0.25</v>
      </c>
      <c r="AV21" s="33">
        <v>0</v>
      </c>
      <c r="AW21" s="33">
        <v>1</v>
      </c>
      <c r="AX21" s="33">
        <v>0.25</v>
      </c>
      <c r="AY21" s="33">
        <v>1</v>
      </c>
      <c r="AZ21" s="33">
        <v>0</v>
      </c>
      <c r="BA21" s="34">
        <v>1</v>
      </c>
      <c r="BC21" s="9">
        <v>16</v>
      </c>
      <c r="BD21" s="6">
        <v>300</v>
      </c>
      <c r="BE21" s="6">
        <v>180</v>
      </c>
      <c r="BF21" s="6">
        <v>180</v>
      </c>
      <c r="BG21" s="6">
        <v>96</v>
      </c>
      <c r="BH21" s="6">
        <v>180</v>
      </c>
      <c r="BI21" s="6">
        <v>10</v>
      </c>
      <c r="BJ21" s="6">
        <v>180</v>
      </c>
      <c r="BK21" s="7">
        <v>107</v>
      </c>
      <c r="BM21" s="2">
        <v>16</v>
      </c>
      <c r="BN21" s="3">
        <v>1</v>
      </c>
      <c r="BO21" s="3">
        <v>1</v>
      </c>
      <c r="BP21" s="3">
        <v>1</v>
      </c>
      <c r="BQ21" s="3">
        <v>4</v>
      </c>
      <c r="BR21" s="3">
        <v>2</v>
      </c>
      <c r="BS21" s="3">
        <v>5</v>
      </c>
      <c r="BT21" s="3">
        <v>1</v>
      </c>
      <c r="BU21" s="3">
        <v>5</v>
      </c>
      <c r="BW21" s="2">
        <v>16</v>
      </c>
      <c r="BX21" s="3">
        <v>1</v>
      </c>
      <c r="BY21" s="3">
        <v>5</v>
      </c>
      <c r="BZ21" s="3">
        <v>1</v>
      </c>
      <c r="CA21" s="3">
        <v>5</v>
      </c>
      <c r="CB21" s="3">
        <v>1</v>
      </c>
      <c r="CC21" s="3">
        <v>5</v>
      </c>
      <c r="CD21" s="3">
        <v>1</v>
      </c>
      <c r="CE21" s="3">
        <v>5</v>
      </c>
      <c r="CF21" s="3">
        <v>1</v>
      </c>
      <c r="CG21" s="3">
        <v>5</v>
      </c>
      <c r="CH21" s="3">
        <f t="shared" si="1"/>
        <v>0</v>
      </c>
      <c r="CJ21" s="9">
        <v>16</v>
      </c>
      <c r="CK21" s="33">
        <v>0</v>
      </c>
      <c r="CL21" s="33">
        <v>0</v>
      </c>
      <c r="CM21" s="33">
        <v>0.25</v>
      </c>
      <c r="CN21" s="33">
        <v>0</v>
      </c>
      <c r="CO21" s="33">
        <v>0</v>
      </c>
      <c r="CP21" s="33">
        <v>0</v>
      </c>
      <c r="CQ21" s="33">
        <v>0</v>
      </c>
      <c r="CR21" s="34">
        <v>1</v>
      </c>
      <c r="CT21" s="9">
        <v>16</v>
      </c>
      <c r="CU21" s="6">
        <v>300</v>
      </c>
      <c r="CV21" s="6">
        <v>300</v>
      </c>
      <c r="CW21" s="6">
        <v>178</v>
      </c>
      <c r="CX21" s="6">
        <v>180</v>
      </c>
      <c r="CY21" s="6">
        <v>180</v>
      </c>
      <c r="CZ21" s="6">
        <v>180</v>
      </c>
      <c r="DA21" s="6">
        <v>180</v>
      </c>
      <c r="DB21" s="7">
        <v>96</v>
      </c>
      <c r="DD21" s="2">
        <v>16</v>
      </c>
      <c r="DE21" s="3">
        <v>1</v>
      </c>
      <c r="DF21" s="3">
        <v>2</v>
      </c>
      <c r="DG21" s="3">
        <v>3</v>
      </c>
      <c r="DH21" s="3">
        <v>4</v>
      </c>
      <c r="DI21" s="3">
        <v>3</v>
      </c>
      <c r="DJ21" s="3">
        <v>4</v>
      </c>
      <c r="DK21" s="3">
        <v>3</v>
      </c>
      <c r="DL21" s="3">
        <v>5</v>
      </c>
      <c r="DN21" s="2">
        <v>16</v>
      </c>
      <c r="DO21" s="3">
        <v>4</v>
      </c>
      <c r="DP21" s="3">
        <v>3</v>
      </c>
      <c r="DQ21" s="3">
        <v>3</v>
      </c>
      <c r="DR21" s="3">
        <v>2</v>
      </c>
      <c r="DS21" s="3">
        <v>5</v>
      </c>
      <c r="DT21" s="3">
        <v>1</v>
      </c>
      <c r="DU21" s="3">
        <v>4</v>
      </c>
      <c r="DV21" s="3">
        <v>2</v>
      </c>
      <c r="DW21" s="3">
        <v>3</v>
      </c>
      <c r="DX21" s="3">
        <v>4</v>
      </c>
      <c r="DY21" s="3">
        <f t="shared" si="2"/>
        <v>67.5</v>
      </c>
    </row>
    <row r="22" spans="2:129">
      <c r="B22" s="9">
        <v>17</v>
      </c>
      <c r="C22" s="33">
        <v>1</v>
      </c>
      <c r="D22" s="34"/>
      <c r="E22" s="33">
        <v>0</v>
      </c>
      <c r="F22" s="33">
        <v>0.25</v>
      </c>
      <c r="G22" s="33">
        <v>0</v>
      </c>
      <c r="H22" s="33">
        <v>1</v>
      </c>
      <c r="I22" s="33">
        <v>0</v>
      </c>
      <c r="J22" s="34"/>
      <c r="K22" s="102"/>
      <c r="L22" s="9">
        <v>17</v>
      </c>
      <c r="M22" s="6">
        <v>264</v>
      </c>
      <c r="N22" s="6"/>
      <c r="O22" s="6">
        <v>180</v>
      </c>
      <c r="P22" s="6">
        <v>100</v>
      </c>
      <c r="Q22" s="6">
        <v>176</v>
      </c>
      <c r="R22" s="6">
        <v>60</v>
      </c>
      <c r="S22" s="6">
        <v>18</v>
      </c>
      <c r="T22" s="7"/>
      <c r="V22" s="2">
        <v>17</v>
      </c>
      <c r="W22" s="3">
        <v>4</v>
      </c>
      <c r="X22" s="3"/>
      <c r="Y22" s="3">
        <v>1</v>
      </c>
      <c r="Z22" s="3">
        <v>4</v>
      </c>
      <c r="AA22" s="3">
        <v>1</v>
      </c>
      <c r="AB22" s="3">
        <v>5</v>
      </c>
      <c r="AC22" s="3">
        <v>5</v>
      </c>
      <c r="AD22" s="3"/>
      <c r="AF22" s="2">
        <v>17</v>
      </c>
      <c r="AG22" s="3">
        <v>3</v>
      </c>
      <c r="AH22" s="3">
        <v>4</v>
      </c>
      <c r="AI22" s="3">
        <v>1</v>
      </c>
      <c r="AJ22" s="3">
        <v>4</v>
      </c>
      <c r="AK22" s="3">
        <v>2</v>
      </c>
      <c r="AL22" s="3">
        <v>3</v>
      </c>
      <c r="AM22" s="3">
        <v>1</v>
      </c>
      <c r="AN22" s="3">
        <v>4</v>
      </c>
      <c r="AO22" s="3">
        <v>2</v>
      </c>
      <c r="AP22" s="3">
        <v>4</v>
      </c>
      <c r="AQ22" s="3">
        <f t="shared" si="0"/>
        <v>25</v>
      </c>
      <c r="AS22" s="9">
        <v>17</v>
      </c>
      <c r="AT22" s="33">
        <v>0.25</v>
      </c>
      <c r="AU22" s="33">
        <v>0.25</v>
      </c>
      <c r="AV22" s="33">
        <v>0</v>
      </c>
      <c r="AW22" s="33">
        <v>1</v>
      </c>
      <c r="AX22" s="33">
        <v>0</v>
      </c>
      <c r="AY22" s="33">
        <v>1</v>
      </c>
      <c r="AZ22" s="33">
        <v>0</v>
      </c>
      <c r="BA22" s="34">
        <v>1</v>
      </c>
      <c r="BC22" s="9">
        <v>17</v>
      </c>
      <c r="BD22" s="6">
        <v>165</v>
      </c>
      <c r="BE22" s="6">
        <v>161</v>
      </c>
      <c r="BF22" s="6">
        <v>180</v>
      </c>
      <c r="BG22" s="6">
        <v>24</v>
      </c>
      <c r="BH22" s="6">
        <v>73</v>
      </c>
      <c r="BI22" s="6">
        <v>35</v>
      </c>
      <c r="BJ22" s="6">
        <v>180</v>
      </c>
      <c r="BK22" s="7">
        <v>20</v>
      </c>
      <c r="BM22" s="2">
        <v>17</v>
      </c>
      <c r="BN22" s="3">
        <v>4</v>
      </c>
      <c r="BO22" s="3">
        <v>4</v>
      </c>
      <c r="BP22" s="3">
        <v>2</v>
      </c>
      <c r="BQ22" s="3">
        <v>3</v>
      </c>
      <c r="BR22" s="3">
        <v>4</v>
      </c>
      <c r="BS22" s="3">
        <v>5</v>
      </c>
      <c r="BT22" s="3">
        <v>2</v>
      </c>
      <c r="BU22" s="3">
        <v>5</v>
      </c>
      <c r="BW22" s="2">
        <v>17</v>
      </c>
      <c r="BX22" s="3">
        <v>3</v>
      </c>
      <c r="BY22" s="3">
        <v>4</v>
      </c>
      <c r="BZ22" s="3">
        <v>4</v>
      </c>
      <c r="CA22" s="3">
        <v>1</v>
      </c>
      <c r="CB22" s="3">
        <v>3</v>
      </c>
      <c r="CC22" s="3">
        <v>4</v>
      </c>
      <c r="CD22" s="3">
        <v>1</v>
      </c>
      <c r="CE22" s="3">
        <v>4</v>
      </c>
      <c r="CF22" s="3">
        <v>2</v>
      </c>
      <c r="CG22" s="3">
        <v>5</v>
      </c>
      <c r="CH22" s="3">
        <f t="shared" si="1"/>
        <v>37.5</v>
      </c>
      <c r="CJ22" s="9">
        <v>17</v>
      </c>
      <c r="CK22" s="33">
        <v>0</v>
      </c>
      <c r="CL22" s="33">
        <v>0</v>
      </c>
      <c r="CM22" s="33">
        <v>1</v>
      </c>
      <c r="CN22" s="33">
        <v>0</v>
      </c>
      <c r="CO22" s="33">
        <v>0.25</v>
      </c>
      <c r="CP22" s="33">
        <v>0</v>
      </c>
      <c r="CQ22" s="33">
        <v>1</v>
      </c>
      <c r="CR22" s="34">
        <v>1</v>
      </c>
      <c r="CT22" s="9">
        <v>17</v>
      </c>
      <c r="CU22" s="6">
        <v>259</v>
      </c>
      <c r="CV22" s="6">
        <v>109</v>
      </c>
      <c r="CW22" s="6">
        <v>111</v>
      </c>
      <c r="CX22" s="6">
        <v>180</v>
      </c>
      <c r="CY22" s="6">
        <v>39</v>
      </c>
      <c r="CZ22" s="6">
        <v>159</v>
      </c>
      <c r="DA22" s="6">
        <v>179</v>
      </c>
      <c r="DB22" s="7">
        <v>43</v>
      </c>
      <c r="DD22" s="2">
        <v>17</v>
      </c>
      <c r="DE22" s="3">
        <v>4</v>
      </c>
      <c r="DF22" s="3">
        <v>4</v>
      </c>
      <c r="DG22" s="3">
        <v>4</v>
      </c>
      <c r="DH22" s="3">
        <v>3</v>
      </c>
      <c r="DI22" s="3">
        <v>4</v>
      </c>
      <c r="DJ22" s="3">
        <v>1</v>
      </c>
      <c r="DK22" s="3">
        <v>4</v>
      </c>
      <c r="DL22" s="3">
        <v>4</v>
      </c>
      <c r="DN22" s="2">
        <v>17</v>
      </c>
      <c r="DO22" s="3">
        <v>3</v>
      </c>
      <c r="DP22" s="3">
        <v>2</v>
      </c>
      <c r="DQ22" s="3">
        <v>3</v>
      </c>
      <c r="DR22" s="3">
        <v>3</v>
      </c>
      <c r="DS22" s="3">
        <v>3</v>
      </c>
      <c r="DT22" s="3">
        <v>3</v>
      </c>
      <c r="DU22" s="3">
        <v>4</v>
      </c>
      <c r="DV22" s="3">
        <v>1</v>
      </c>
      <c r="DW22" s="3">
        <v>4</v>
      </c>
      <c r="DX22" s="3">
        <v>3</v>
      </c>
      <c r="DY22" s="3">
        <f t="shared" si="2"/>
        <v>62.5</v>
      </c>
    </row>
    <row r="23" spans="2:129">
      <c r="B23" s="9">
        <v>18</v>
      </c>
      <c r="C23" s="33">
        <v>1</v>
      </c>
      <c r="D23" s="34"/>
      <c r="E23" s="33">
        <v>1</v>
      </c>
      <c r="F23" s="33">
        <v>0</v>
      </c>
      <c r="G23" s="33">
        <v>0</v>
      </c>
      <c r="H23" s="33">
        <v>1</v>
      </c>
      <c r="I23" s="33">
        <v>0</v>
      </c>
      <c r="J23" s="34"/>
      <c r="K23" s="102"/>
      <c r="L23" s="9">
        <v>18</v>
      </c>
      <c r="M23" s="6">
        <v>176</v>
      </c>
      <c r="N23" s="6"/>
      <c r="O23" s="6">
        <v>179</v>
      </c>
      <c r="P23" s="6">
        <v>180</v>
      </c>
      <c r="Q23" s="6">
        <v>130</v>
      </c>
      <c r="R23" s="6">
        <v>80</v>
      </c>
      <c r="S23" s="6">
        <v>27</v>
      </c>
      <c r="T23" s="7"/>
      <c r="V23" s="2">
        <v>18</v>
      </c>
      <c r="W23" s="3">
        <v>4</v>
      </c>
      <c r="X23" s="3"/>
      <c r="Y23" s="3">
        <v>3</v>
      </c>
      <c r="Z23" s="3">
        <v>1</v>
      </c>
      <c r="AA23" s="3">
        <v>4</v>
      </c>
      <c r="AB23" s="3">
        <v>5</v>
      </c>
      <c r="AC23" s="3">
        <v>5</v>
      </c>
      <c r="AD23" s="3"/>
      <c r="AF23" s="2">
        <v>18</v>
      </c>
      <c r="AG23" s="3">
        <v>5</v>
      </c>
      <c r="AH23" s="3">
        <v>2</v>
      </c>
      <c r="AI23" s="3">
        <v>4</v>
      </c>
      <c r="AJ23" s="3">
        <v>1</v>
      </c>
      <c r="AK23" s="3">
        <v>4</v>
      </c>
      <c r="AL23" s="3">
        <v>1</v>
      </c>
      <c r="AM23" s="3">
        <v>5</v>
      </c>
      <c r="AN23" s="3">
        <v>1</v>
      </c>
      <c r="AO23" s="3">
        <v>4</v>
      </c>
      <c r="AP23" s="3">
        <v>2</v>
      </c>
      <c r="AQ23" s="3">
        <f t="shared" si="0"/>
        <v>87.5</v>
      </c>
      <c r="AS23" s="9">
        <v>18</v>
      </c>
      <c r="AT23" s="33">
        <v>0.25</v>
      </c>
      <c r="AU23" s="33">
        <v>0</v>
      </c>
      <c r="AV23" s="33">
        <v>0.25</v>
      </c>
      <c r="AW23" s="33">
        <v>1</v>
      </c>
      <c r="AX23" s="33">
        <v>0.25</v>
      </c>
      <c r="AY23" s="33">
        <v>1</v>
      </c>
      <c r="AZ23" s="33">
        <v>0</v>
      </c>
      <c r="BA23" s="34">
        <v>1</v>
      </c>
      <c r="BC23" s="9">
        <v>18</v>
      </c>
      <c r="BD23" s="6">
        <v>179</v>
      </c>
      <c r="BE23" s="6">
        <v>180</v>
      </c>
      <c r="BF23" s="6">
        <v>179</v>
      </c>
      <c r="BG23" s="6">
        <v>39</v>
      </c>
      <c r="BH23" s="6">
        <v>125</v>
      </c>
      <c r="BI23" s="6">
        <v>7</v>
      </c>
      <c r="BJ23" s="6">
        <v>45</v>
      </c>
      <c r="BK23" s="7">
        <v>17</v>
      </c>
      <c r="BM23" s="2">
        <v>18</v>
      </c>
      <c r="BN23" s="3">
        <v>3</v>
      </c>
      <c r="BO23" s="3">
        <v>1</v>
      </c>
      <c r="BP23" s="3">
        <v>4</v>
      </c>
      <c r="BQ23" s="3">
        <v>5</v>
      </c>
      <c r="BR23" s="3">
        <v>4</v>
      </c>
      <c r="BS23" s="3">
        <v>5</v>
      </c>
      <c r="BT23" s="3">
        <v>5</v>
      </c>
      <c r="BU23" s="3">
        <v>5</v>
      </c>
      <c r="BW23" s="2">
        <v>18</v>
      </c>
      <c r="BX23" s="3">
        <v>4</v>
      </c>
      <c r="BY23" s="3">
        <v>2</v>
      </c>
      <c r="BZ23" s="3">
        <v>4</v>
      </c>
      <c r="CA23" s="3">
        <v>1</v>
      </c>
      <c r="CB23" s="3">
        <v>4</v>
      </c>
      <c r="CC23" s="3">
        <v>2</v>
      </c>
      <c r="CD23" s="3">
        <v>4</v>
      </c>
      <c r="CE23" s="3">
        <v>2</v>
      </c>
      <c r="CF23" s="3">
        <v>4</v>
      </c>
      <c r="CG23" s="3">
        <v>2</v>
      </c>
      <c r="CH23" s="3">
        <f t="shared" si="1"/>
        <v>77.5</v>
      </c>
      <c r="CJ23" s="9">
        <v>18</v>
      </c>
      <c r="CK23" s="33">
        <v>0</v>
      </c>
      <c r="CL23" s="33">
        <v>0</v>
      </c>
      <c r="CM23" s="33">
        <v>0</v>
      </c>
      <c r="CN23" s="33">
        <v>0</v>
      </c>
      <c r="CO23" s="33">
        <v>0</v>
      </c>
      <c r="CP23" s="33">
        <v>0</v>
      </c>
      <c r="CQ23" s="33">
        <v>0</v>
      </c>
      <c r="CR23" s="34">
        <v>0</v>
      </c>
      <c r="CT23" s="9">
        <v>18</v>
      </c>
      <c r="CU23" s="6">
        <v>300</v>
      </c>
      <c r="CV23" s="6">
        <v>180</v>
      </c>
      <c r="CW23" s="6">
        <v>180</v>
      </c>
      <c r="CX23" s="6">
        <v>104</v>
      </c>
      <c r="CY23" s="6">
        <v>159</v>
      </c>
      <c r="CZ23" s="6">
        <v>180</v>
      </c>
      <c r="DA23" s="6">
        <v>180</v>
      </c>
      <c r="DB23" s="7">
        <v>180</v>
      </c>
      <c r="DD23" s="2">
        <v>18</v>
      </c>
      <c r="DE23" s="3">
        <v>1</v>
      </c>
      <c r="DF23" s="3">
        <v>1</v>
      </c>
      <c r="DG23" s="3">
        <v>1</v>
      </c>
      <c r="DH23" s="3">
        <v>2</v>
      </c>
      <c r="DI23" s="3">
        <v>2</v>
      </c>
      <c r="DJ23" s="3">
        <v>1</v>
      </c>
      <c r="DK23" s="3">
        <v>1</v>
      </c>
      <c r="DL23" s="3">
        <v>1</v>
      </c>
      <c r="DN23" s="2">
        <v>18</v>
      </c>
      <c r="DO23" s="3">
        <v>4</v>
      </c>
      <c r="DP23" s="3">
        <v>5</v>
      </c>
      <c r="DQ23" s="3">
        <v>2</v>
      </c>
      <c r="DR23" s="3">
        <v>2</v>
      </c>
      <c r="DS23" s="3">
        <v>3</v>
      </c>
      <c r="DT23" s="3">
        <v>3</v>
      </c>
      <c r="DU23" s="3">
        <v>4</v>
      </c>
      <c r="DV23" s="3">
        <v>3</v>
      </c>
      <c r="DW23" s="3">
        <v>1</v>
      </c>
      <c r="DX23" s="3">
        <v>4</v>
      </c>
      <c r="DY23" s="3">
        <f t="shared" si="2"/>
        <v>42.5</v>
      </c>
    </row>
    <row r="24" spans="2:129">
      <c r="B24" s="9">
        <v>19</v>
      </c>
      <c r="C24" s="33">
        <v>0.25</v>
      </c>
      <c r="D24" s="34"/>
      <c r="E24" s="33">
        <v>0.25</v>
      </c>
      <c r="F24" s="33">
        <v>0</v>
      </c>
      <c r="G24" s="33">
        <v>0</v>
      </c>
      <c r="H24" s="33">
        <v>0</v>
      </c>
      <c r="I24" s="33">
        <v>0</v>
      </c>
      <c r="J24" s="34"/>
      <c r="K24" s="102"/>
      <c r="L24" s="9">
        <v>19</v>
      </c>
      <c r="M24" s="6">
        <v>214</v>
      </c>
      <c r="N24" s="6"/>
      <c r="O24" s="6">
        <v>137</v>
      </c>
      <c r="P24" s="6">
        <v>180</v>
      </c>
      <c r="Q24" s="6">
        <v>140</v>
      </c>
      <c r="R24" s="6">
        <v>137</v>
      </c>
      <c r="S24" s="6">
        <v>59</v>
      </c>
      <c r="T24" s="7"/>
      <c r="V24" s="2">
        <v>19</v>
      </c>
      <c r="W24" s="3">
        <v>4</v>
      </c>
      <c r="X24" s="3"/>
      <c r="Y24" s="3">
        <v>3</v>
      </c>
      <c r="Z24" s="3">
        <v>1</v>
      </c>
      <c r="AA24" s="3">
        <v>2</v>
      </c>
      <c r="AB24" s="3">
        <v>1</v>
      </c>
      <c r="AC24" s="3">
        <v>2</v>
      </c>
      <c r="AD24" s="3"/>
      <c r="AF24" s="2">
        <v>19</v>
      </c>
      <c r="AG24" s="3">
        <v>3</v>
      </c>
      <c r="AH24" s="3">
        <v>4</v>
      </c>
      <c r="AI24" s="3">
        <v>2</v>
      </c>
      <c r="AJ24" s="3">
        <v>3</v>
      </c>
      <c r="AK24" s="3">
        <v>3</v>
      </c>
      <c r="AL24" s="3">
        <v>4</v>
      </c>
      <c r="AM24" s="3">
        <v>2</v>
      </c>
      <c r="AN24" s="3">
        <v>4</v>
      </c>
      <c r="AO24" s="3">
        <v>2</v>
      </c>
      <c r="AP24" s="3">
        <v>4</v>
      </c>
      <c r="AQ24" s="3">
        <f t="shared" si="0"/>
        <v>32.5</v>
      </c>
      <c r="AS24" s="9">
        <v>19</v>
      </c>
      <c r="AT24" s="33">
        <v>0</v>
      </c>
      <c r="AU24" s="33">
        <v>1</v>
      </c>
      <c r="AV24" s="33">
        <v>1</v>
      </c>
      <c r="AW24" s="33">
        <v>1</v>
      </c>
      <c r="AX24" s="33">
        <v>0</v>
      </c>
      <c r="AY24" s="33">
        <v>1</v>
      </c>
      <c r="AZ24" s="33">
        <v>0</v>
      </c>
      <c r="BA24" s="34">
        <v>1</v>
      </c>
      <c r="BC24" s="9">
        <v>19</v>
      </c>
      <c r="BD24" s="6">
        <v>162</v>
      </c>
      <c r="BE24" s="6">
        <v>101</v>
      </c>
      <c r="BF24" s="6">
        <v>179</v>
      </c>
      <c r="BG24" s="6">
        <v>141</v>
      </c>
      <c r="BH24" s="6">
        <v>180</v>
      </c>
      <c r="BI24" s="6">
        <v>69</v>
      </c>
      <c r="BJ24" s="6">
        <v>110</v>
      </c>
      <c r="BK24" s="7">
        <v>31</v>
      </c>
      <c r="BM24" s="2">
        <v>19</v>
      </c>
      <c r="BN24" s="3">
        <v>1</v>
      </c>
      <c r="BO24" s="3">
        <v>3</v>
      </c>
      <c r="BP24" s="3">
        <v>2</v>
      </c>
      <c r="BQ24" s="3">
        <v>2</v>
      </c>
      <c r="BR24" s="3">
        <v>1</v>
      </c>
      <c r="BS24" s="3">
        <v>2</v>
      </c>
      <c r="BT24" s="3">
        <v>1</v>
      </c>
      <c r="BU24" s="3">
        <v>4</v>
      </c>
      <c r="BW24" s="2">
        <v>19</v>
      </c>
      <c r="BX24" s="3">
        <v>3</v>
      </c>
      <c r="BY24" s="3">
        <v>4</v>
      </c>
      <c r="BZ24" s="3">
        <v>2</v>
      </c>
      <c r="CA24" s="3">
        <v>3</v>
      </c>
      <c r="CB24" s="3">
        <v>3</v>
      </c>
      <c r="CC24" s="3">
        <v>4</v>
      </c>
      <c r="CD24" s="3">
        <v>3</v>
      </c>
      <c r="CE24" s="3">
        <v>4</v>
      </c>
      <c r="CF24" s="3">
        <v>2</v>
      </c>
      <c r="CG24" s="3">
        <v>4</v>
      </c>
      <c r="CH24" s="3">
        <f t="shared" si="1"/>
        <v>35</v>
      </c>
      <c r="CJ24" s="9">
        <v>19</v>
      </c>
      <c r="CK24" s="33">
        <v>0.25</v>
      </c>
      <c r="CL24" s="33">
        <v>0.25</v>
      </c>
      <c r="CM24" s="33">
        <v>0.25</v>
      </c>
      <c r="CN24" s="33">
        <v>1</v>
      </c>
      <c r="CO24" s="33">
        <v>0.25</v>
      </c>
      <c r="CP24" s="33">
        <v>1</v>
      </c>
      <c r="CQ24" s="33">
        <v>1</v>
      </c>
      <c r="CR24" s="34">
        <v>1</v>
      </c>
      <c r="CT24" s="9">
        <v>19</v>
      </c>
      <c r="CU24" s="6">
        <v>194</v>
      </c>
      <c r="CV24" s="6">
        <v>122</v>
      </c>
      <c r="CW24" s="6">
        <v>174</v>
      </c>
      <c r="CX24" s="6">
        <v>65</v>
      </c>
      <c r="CY24" s="6">
        <v>127</v>
      </c>
      <c r="CZ24" s="6">
        <v>63</v>
      </c>
      <c r="DA24" s="6">
        <v>61</v>
      </c>
      <c r="DB24" s="7">
        <v>180</v>
      </c>
      <c r="DD24" s="2">
        <v>19</v>
      </c>
      <c r="DE24" s="3">
        <v>3</v>
      </c>
      <c r="DF24" s="3">
        <v>2</v>
      </c>
      <c r="DG24" s="3">
        <v>3</v>
      </c>
      <c r="DH24" s="3">
        <v>4</v>
      </c>
      <c r="DI24" s="3">
        <v>1</v>
      </c>
      <c r="DJ24" s="3">
        <v>4</v>
      </c>
      <c r="DK24" s="3">
        <v>3</v>
      </c>
      <c r="DL24" s="3">
        <v>1</v>
      </c>
      <c r="DN24" s="2">
        <v>19</v>
      </c>
      <c r="DO24" s="3">
        <v>4</v>
      </c>
      <c r="DP24" s="3">
        <v>3</v>
      </c>
      <c r="DQ24" s="3">
        <v>3</v>
      </c>
      <c r="DR24" s="3">
        <v>2</v>
      </c>
      <c r="DS24" s="3">
        <v>2</v>
      </c>
      <c r="DT24" s="3">
        <v>3</v>
      </c>
      <c r="DU24" s="3">
        <v>4</v>
      </c>
      <c r="DV24" s="3">
        <v>2</v>
      </c>
      <c r="DW24" s="3">
        <v>4</v>
      </c>
      <c r="DX24" s="3">
        <v>3</v>
      </c>
      <c r="DY24" s="3">
        <f t="shared" si="2"/>
        <v>60</v>
      </c>
    </row>
    <row r="25" spans="2:129">
      <c r="B25" s="9">
        <v>20</v>
      </c>
      <c r="C25" s="33">
        <v>0.25</v>
      </c>
      <c r="D25" s="34"/>
      <c r="E25" s="33">
        <v>0.25</v>
      </c>
      <c r="F25" s="33">
        <v>0</v>
      </c>
      <c r="G25" s="33">
        <v>0</v>
      </c>
      <c r="H25" s="33">
        <v>0</v>
      </c>
      <c r="I25" s="33">
        <v>1</v>
      </c>
      <c r="J25" s="34"/>
      <c r="K25" s="102"/>
      <c r="L25" s="9">
        <v>20</v>
      </c>
      <c r="M25" s="6">
        <v>47</v>
      </c>
      <c r="N25" s="6"/>
      <c r="O25" s="6">
        <v>159</v>
      </c>
      <c r="P25" s="6">
        <v>61</v>
      </c>
      <c r="Q25" s="6">
        <v>103</v>
      </c>
      <c r="R25" s="6">
        <v>56</v>
      </c>
      <c r="S25" s="6">
        <v>21</v>
      </c>
      <c r="T25" s="7"/>
      <c r="V25" s="2">
        <v>20</v>
      </c>
      <c r="W25" s="3">
        <v>4</v>
      </c>
      <c r="X25" s="3"/>
      <c r="Y25" s="3">
        <v>3</v>
      </c>
      <c r="Z25" s="3">
        <v>3</v>
      </c>
      <c r="AA25" s="3">
        <v>1</v>
      </c>
      <c r="AB25" s="3">
        <v>4</v>
      </c>
      <c r="AC25" s="3">
        <v>5</v>
      </c>
      <c r="AD25" s="3"/>
      <c r="AF25" s="2">
        <v>20</v>
      </c>
      <c r="AG25" s="3">
        <v>4</v>
      </c>
      <c r="AH25" s="3">
        <v>3</v>
      </c>
      <c r="AI25" s="3">
        <v>4</v>
      </c>
      <c r="AJ25" s="3">
        <v>2</v>
      </c>
      <c r="AK25" s="3">
        <v>4</v>
      </c>
      <c r="AL25" s="3">
        <v>4</v>
      </c>
      <c r="AM25" s="3">
        <v>4</v>
      </c>
      <c r="AN25" s="3">
        <v>2</v>
      </c>
      <c r="AO25" s="3">
        <v>3</v>
      </c>
      <c r="AP25" s="3">
        <v>3</v>
      </c>
      <c r="AQ25" s="3">
        <f t="shared" si="0"/>
        <v>62.5</v>
      </c>
      <c r="AS25" s="9">
        <v>20</v>
      </c>
      <c r="AT25" s="33">
        <v>0.25</v>
      </c>
      <c r="AU25" s="33">
        <v>1</v>
      </c>
      <c r="AV25" s="33">
        <v>1</v>
      </c>
      <c r="AW25" s="33">
        <v>1</v>
      </c>
      <c r="AX25" s="33">
        <v>0.25</v>
      </c>
      <c r="AY25" s="33">
        <v>1</v>
      </c>
      <c r="AZ25" s="33">
        <v>0</v>
      </c>
      <c r="BA25" s="34">
        <v>1</v>
      </c>
      <c r="BC25" s="9">
        <v>20</v>
      </c>
      <c r="BD25" s="6">
        <v>127</v>
      </c>
      <c r="BE25" s="6">
        <v>31</v>
      </c>
      <c r="BF25" s="6">
        <v>45</v>
      </c>
      <c r="BG25" s="6">
        <v>10</v>
      </c>
      <c r="BH25" s="6">
        <v>28</v>
      </c>
      <c r="BI25" s="6">
        <v>24</v>
      </c>
      <c r="BJ25" s="6">
        <v>11</v>
      </c>
      <c r="BK25" s="7">
        <v>16</v>
      </c>
      <c r="BM25" s="2">
        <v>20</v>
      </c>
      <c r="BN25" s="3">
        <v>4</v>
      </c>
      <c r="BO25" s="3">
        <v>5</v>
      </c>
      <c r="BP25" s="3">
        <v>5</v>
      </c>
      <c r="BQ25" s="3">
        <v>4</v>
      </c>
      <c r="BR25" s="3">
        <v>5</v>
      </c>
      <c r="BS25" s="3">
        <v>3</v>
      </c>
      <c r="BT25" s="3">
        <v>5</v>
      </c>
      <c r="BU25" s="3">
        <v>5</v>
      </c>
      <c r="BW25" s="2">
        <v>20</v>
      </c>
      <c r="BX25" s="3">
        <v>4</v>
      </c>
      <c r="BY25" s="3">
        <v>2</v>
      </c>
      <c r="BZ25" s="3">
        <v>4</v>
      </c>
      <c r="CA25" s="3">
        <v>2</v>
      </c>
      <c r="CB25" s="3">
        <v>3</v>
      </c>
      <c r="CC25" s="3">
        <v>2</v>
      </c>
      <c r="CD25" s="3">
        <v>3</v>
      </c>
      <c r="CE25" s="3">
        <v>2</v>
      </c>
      <c r="CF25" s="3">
        <v>4</v>
      </c>
      <c r="CG25" s="3">
        <v>3</v>
      </c>
      <c r="CH25" s="3">
        <f t="shared" si="1"/>
        <v>67.5</v>
      </c>
      <c r="CJ25" s="9">
        <v>20</v>
      </c>
      <c r="CK25" s="33">
        <v>0.25</v>
      </c>
      <c r="CL25" s="33">
        <v>0.25</v>
      </c>
      <c r="CM25" s="33">
        <v>0.25</v>
      </c>
      <c r="CN25" s="33">
        <v>1</v>
      </c>
      <c r="CO25" s="33">
        <v>0.25</v>
      </c>
      <c r="CP25" s="33">
        <v>0</v>
      </c>
      <c r="CQ25" s="33">
        <v>1</v>
      </c>
      <c r="CR25" s="34">
        <v>1</v>
      </c>
      <c r="CT25" s="9">
        <v>20</v>
      </c>
      <c r="CU25" s="6">
        <v>153</v>
      </c>
      <c r="CV25" s="6">
        <v>43</v>
      </c>
      <c r="CW25" s="6">
        <v>96</v>
      </c>
      <c r="CX25" s="6">
        <v>39</v>
      </c>
      <c r="CY25" s="6">
        <v>62</v>
      </c>
      <c r="CZ25" s="6">
        <v>82</v>
      </c>
      <c r="DA25" s="6">
        <v>54</v>
      </c>
      <c r="DB25" s="7">
        <v>19</v>
      </c>
      <c r="DD25" s="2">
        <v>20</v>
      </c>
      <c r="DE25" s="3">
        <v>3</v>
      </c>
      <c r="DF25" s="3">
        <v>4</v>
      </c>
      <c r="DG25" s="3">
        <v>3</v>
      </c>
      <c r="DH25" s="3">
        <v>4</v>
      </c>
      <c r="DI25" s="3">
        <v>4</v>
      </c>
      <c r="DJ25" s="3">
        <v>4</v>
      </c>
      <c r="DK25" s="3">
        <v>5</v>
      </c>
      <c r="DL25" s="3">
        <v>5</v>
      </c>
      <c r="DN25" s="2">
        <v>20</v>
      </c>
      <c r="DO25" s="3">
        <v>3</v>
      </c>
      <c r="DP25" s="3">
        <v>3</v>
      </c>
      <c r="DQ25" s="3">
        <v>3</v>
      </c>
      <c r="DR25" s="3">
        <v>2</v>
      </c>
      <c r="DS25" s="3">
        <v>4</v>
      </c>
      <c r="DT25" s="3">
        <v>2</v>
      </c>
      <c r="DU25" s="3">
        <v>3</v>
      </c>
      <c r="DV25" s="3">
        <v>4</v>
      </c>
      <c r="DW25" s="3">
        <v>3</v>
      </c>
      <c r="DX25" s="3">
        <v>3</v>
      </c>
      <c r="DY25" s="3">
        <f t="shared" si="2"/>
        <v>55</v>
      </c>
    </row>
    <row r="26" spans="2:129">
      <c r="B26" s="9">
        <v>21</v>
      </c>
      <c r="C26" s="33">
        <v>1</v>
      </c>
      <c r="D26" s="34"/>
      <c r="E26" s="33">
        <v>0</v>
      </c>
      <c r="F26" s="33">
        <v>1</v>
      </c>
      <c r="G26" s="33">
        <v>1</v>
      </c>
      <c r="H26" s="33">
        <v>1</v>
      </c>
      <c r="I26" s="33">
        <v>0</v>
      </c>
      <c r="J26" s="34"/>
      <c r="K26" s="102"/>
      <c r="L26" s="9">
        <v>21</v>
      </c>
      <c r="M26" s="6">
        <v>164</v>
      </c>
      <c r="N26" s="6"/>
      <c r="O26" s="6">
        <v>84</v>
      </c>
      <c r="P26" s="6">
        <v>82</v>
      </c>
      <c r="Q26" s="6">
        <v>93</v>
      </c>
      <c r="R26" s="6">
        <v>10</v>
      </c>
      <c r="S26" s="6">
        <v>11</v>
      </c>
      <c r="T26" s="7"/>
      <c r="V26" s="2">
        <v>21</v>
      </c>
      <c r="W26" s="3">
        <v>5</v>
      </c>
      <c r="X26" s="3"/>
      <c r="Y26" s="3">
        <v>3</v>
      </c>
      <c r="Z26" s="3">
        <v>3</v>
      </c>
      <c r="AA26" s="3">
        <v>3</v>
      </c>
      <c r="AB26" s="3">
        <v>5</v>
      </c>
      <c r="AC26" s="3">
        <v>5</v>
      </c>
      <c r="AD26" s="3"/>
      <c r="AF26" s="2">
        <v>21</v>
      </c>
      <c r="AG26" s="3">
        <v>4</v>
      </c>
      <c r="AH26" s="3">
        <v>2</v>
      </c>
      <c r="AI26" s="3">
        <v>4</v>
      </c>
      <c r="AJ26" s="3">
        <v>2</v>
      </c>
      <c r="AK26" s="3">
        <v>4</v>
      </c>
      <c r="AL26" s="3">
        <v>2</v>
      </c>
      <c r="AM26" s="3">
        <v>3</v>
      </c>
      <c r="AN26" s="3">
        <v>2</v>
      </c>
      <c r="AO26" s="3">
        <v>4</v>
      </c>
      <c r="AP26" s="3">
        <v>2</v>
      </c>
      <c r="AQ26" s="3">
        <f t="shared" si="0"/>
        <v>72.5</v>
      </c>
      <c r="AS26" s="9">
        <v>21</v>
      </c>
      <c r="AT26" s="33">
        <v>0.25</v>
      </c>
      <c r="AU26" s="33">
        <v>1</v>
      </c>
      <c r="AV26" s="33">
        <v>0.25</v>
      </c>
      <c r="AW26" s="33">
        <v>0</v>
      </c>
      <c r="AX26" s="33">
        <v>0</v>
      </c>
      <c r="AY26" s="33">
        <v>0</v>
      </c>
      <c r="AZ26" s="33">
        <v>0</v>
      </c>
      <c r="BA26" s="34">
        <v>1</v>
      </c>
      <c r="BC26" s="9">
        <v>21</v>
      </c>
      <c r="BD26" s="6">
        <v>257</v>
      </c>
      <c r="BE26" s="6">
        <v>95</v>
      </c>
      <c r="BF26" s="6">
        <v>179</v>
      </c>
      <c r="BG26" s="6">
        <v>107</v>
      </c>
      <c r="BH26" s="6">
        <v>102</v>
      </c>
      <c r="BI26" s="6">
        <v>45</v>
      </c>
      <c r="BJ26" s="6">
        <v>121</v>
      </c>
      <c r="BK26" s="7">
        <v>143</v>
      </c>
      <c r="BM26" s="2">
        <v>21</v>
      </c>
      <c r="BN26" s="3">
        <v>4</v>
      </c>
      <c r="BO26" s="3">
        <v>5</v>
      </c>
      <c r="BP26" s="3">
        <v>3</v>
      </c>
      <c r="BQ26" s="3">
        <v>2</v>
      </c>
      <c r="BR26" s="3">
        <v>3</v>
      </c>
      <c r="BS26" s="3">
        <v>3</v>
      </c>
      <c r="BT26" s="3">
        <v>3</v>
      </c>
      <c r="BU26" s="3">
        <v>2</v>
      </c>
      <c r="BW26" s="2">
        <v>21</v>
      </c>
      <c r="BX26" s="3">
        <v>3</v>
      </c>
      <c r="BY26" s="3">
        <v>2</v>
      </c>
      <c r="BZ26" s="3">
        <v>4</v>
      </c>
      <c r="CA26" s="3">
        <v>3</v>
      </c>
      <c r="CB26" s="3">
        <v>3</v>
      </c>
      <c r="CC26" s="3">
        <v>2</v>
      </c>
      <c r="CD26" s="3">
        <v>3</v>
      </c>
      <c r="CE26" s="3">
        <v>2</v>
      </c>
      <c r="CF26" s="3">
        <v>3</v>
      </c>
      <c r="CG26" s="3">
        <v>2</v>
      </c>
      <c r="CH26" s="3">
        <f t="shared" si="1"/>
        <v>62.5</v>
      </c>
      <c r="CJ26" s="9">
        <v>21</v>
      </c>
      <c r="CK26" s="33">
        <v>0</v>
      </c>
      <c r="CL26" s="33">
        <v>0</v>
      </c>
      <c r="CM26" s="33">
        <v>0</v>
      </c>
      <c r="CN26" s="33">
        <v>0</v>
      </c>
      <c r="CO26" s="33">
        <v>0</v>
      </c>
      <c r="CP26" s="33">
        <v>0</v>
      </c>
      <c r="CQ26" s="33">
        <v>0</v>
      </c>
      <c r="CR26" s="34">
        <v>1</v>
      </c>
      <c r="CT26" s="9">
        <v>21</v>
      </c>
      <c r="CU26" s="6">
        <v>240</v>
      </c>
      <c r="CV26" s="6">
        <v>106</v>
      </c>
      <c r="CW26" s="6">
        <v>74</v>
      </c>
      <c r="CX26" s="6">
        <v>122</v>
      </c>
      <c r="CY26" s="6">
        <v>41</v>
      </c>
      <c r="CZ26" s="6">
        <v>180</v>
      </c>
      <c r="DA26" s="6">
        <v>123</v>
      </c>
      <c r="DB26" s="7">
        <v>57</v>
      </c>
      <c r="DD26" s="2">
        <v>21</v>
      </c>
      <c r="DE26" s="3">
        <v>4</v>
      </c>
      <c r="DF26" s="3">
        <v>3</v>
      </c>
      <c r="DG26" s="3">
        <v>3</v>
      </c>
      <c r="DH26" s="3">
        <v>3</v>
      </c>
      <c r="DI26" s="3">
        <v>4</v>
      </c>
      <c r="DJ26" s="3">
        <v>1</v>
      </c>
      <c r="DK26" s="3">
        <v>2</v>
      </c>
      <c r="DL26" s="3">
        <v>4</v>
      </c>
      <c r="DN26" s="2">
        <v>21</v>
      </c>
      <c r="DO26" s="3">
        <v>3</v>
      </c>
      <c r="DP26" s="3">
        <v>4</v>
      </c>
      <c r="DQ26" s="3">
        <v>3</v>
      </c>
      <c r="DR26" s="3">
        <v>3</v>
      </c>
      <c r="DS26" s="3">
        <v>3</v>
      </c>
      <c r="DT26" s="3">
        <v>4</v>
      </c>
      <c r="DU26" s="3">
        <v>2</v>
      </c>
      <c r="DV26" s="3">
        <v>4</v>
      </c>
      <c r="DW26" s="3">
        <v>3</v>
      </c>
      <c r="DX26" s="3">
        <v>3</v>
      </c>
      <c r="DY26" s="3">
        <f t="shared" si="2"/>
        <v>40</v>
      </c>
    </row>
    <row r="27" spans="2:129">
      <c r="B27" s="9">
        <v>22</v>
      </c>
      <c r="C27" s="33">
        <v>0</v>
      </c>
      <c r="D27" s="34"/>
      <c r="E27" s="33">
        <v>0</v>
      </c>
      <c r="F27" s="33">
        <v>0</v>
      </c>
      <c r="G27" s="33">
        <v>0</v>
      </c>
      <c r="H27" s="33">
        <v>0</v>
      </c>
      <c r="I27" s="33">
        <v>0</v>
      </c>
      <c r="J27" s="34"/>
      <c r="K27" s="102"/>
      <c r="L27" s="9">
        <v>22</v>
      </c>
      <c r="M27" s="6">
        <v>90</v>
      </c>
      <c r="N27" s="6"/>
      <c r="O27" s="6">
        <v>180</v>
      </c>
      <c r="P27" s="6">
        <v>51</v>
      </c>
      <c r="Q27" s="6">
        <v>84</v>
      </c>
      <c r="R27" s="6">
        <v>86</v>
      </c>
      <c r="S27" s="6">
        <v>35</v>
      </c>
      <c r="T27" s="7"/>
      <c r="V27" s="2">
        <v>22</v>
      </c>
      <c r="W27" s="3">
        <v>4</v>
      </c>
      <c r="X27" s="3"/>
      <c r="Y27" s="3">
        <v>4</v>
      </c>
      <c r="Z27" s="3">
        <v>3</v>
      </c>
      <c r="AA27" s="3">
        <v>4</v>
      </c>
      <c r="AB27" s="3">
        <v>4</v>
      </c>
      <c r="AC27" s="3">
        <v>4</v>
      </c>
      <c r="AD27" s="3"/>
      <c r="AF27" s="2">
        <v>22</v>
      </c>
      <c r="AG27" s="3">
        <v>2</v>
      </c>
      <c r="AH27" s="3">
        <v>3</v>
      </c>
      <c r="AI27" s="3">
        <v>4</v>
      </c>
      <c r="AJ27" s="3">
        <v>2</v>
      </c>
      <c r="AK27" s="3">
        <v>3</v>
      </c>
      <c r="AL27" s="3">
        <v>4</v>
      </c>
      <c r="AM27" s="3">
        <v>4</v>
      </c>
      <c r="AN27" s="3">
        <v>3</v>
      </c>
      <c r="AO27" s="3">
        <v>3</v>
      </c>
      <c r="AP27" s="3">
        <v>4</v>
      </c>
      <c r="AQ27" s="3">
        <f t="shared" si="0"/>
        <v>50</v>
      </c>
      <c r="AS27" s="9">
        <v>22</v>
      </c>
      <c r="AT27" s="33">
        <v>0</v>
      </c>
      <c r="AU27" s="33">
        <v>0.3</v>
      </c>
      <c r="AV27" s="33">
        <v>0</v>
      </c>
      <c r="AW27" s="33">
        <v>1</v>
      </c>
      <c r="AX27" s="33">
        <v>1</v>
      </c>
      <c r="AY27" s="33">
        <v>1</v>
      </c>
      <c r="AZ27" s="33">
        <v>0</v>
      </c>
      <c r="BA27" s="34">
        <v>1</v>
      </c>
      <c r="BC27" s="9">
        <v>22</v>
      </c>
      <c r="BD27" s="6">
        <v>300</v>
      </c>
      <c r="BE27" s="6">
        <v>180</v>
      </c>
      <c r="BF27" s="6">
        <v>180</v>
      </c>
      <c r="BG27" s="6">
        <v>39</v>
      </c>
      <c r="BH27" s="6">
        <v>170</v>
      </c>
      <c r="BI27" s="6">
        <v>39</v>
      </c>
      <c r="BJ27" s="6">
        <v>50</v>
      </c>
      <c r="BK27" s="7">
        <v>49</v>
      </c>
      <c r="BM27" s="2">
        <v>22</v>
      </c>
      <c r="BN27" s="3">
        <v>3</v>
      </c>
      <c r="BO27" s="3">
        <v>4</v>
      </c>
      <c r="BP27" s="3">
        <v>3</v>
      </c>
      <c r="BQ27" s="3">
        <v>4</v>
      </c>
      <c r="BR27" s="3">
        <v>5</v>
      </c>
      <c r="BS27" s="3">
        <v>4</v>
      </c>
      <c r="BT27" s="3">
        <v>5</v>
      </c>
      <c r="BU27" s="3">
        <v>5</v>
      </c>
      <c r="BW27" s="2">
        <v>22</v>
      </c>
      <c r="BX27" s="3">
        <v>2</v>
      </c>
      <c r="BY27" s="3">
        <v>3</v>
      </c>
      <c r="BZ27" s="3">
        <v>3</v>
      </c>
      <c r="CA27" s="3">
        <v>2</v>
      </c>
      <c r="CB27" s="3">
        <v>3</v>
      </c>
      <c r="CC27" s="3">
        <v>3</v>
      </c>
      <c r="CD27" s="3">
        <v>4</v>
      </c>
      <c r="CE27" s="3">
        <v>2</v>
      </c>
      <c r="CF27" s="3">
        <v>4</v>
      </c>
      <c r="CG27" s="3">
        <v>4</v>
      </c>
      <c r="CH27" s="3">
        <f t="shared" si="1"/>
        <v>55</v>
      </c>
      <c r="CJ27" s="9">
        <v>22</v>
      </c>
      <c r="CK27" s="33">
        <v>0</v>
      </c>
      <c r="CL27" s="33">
        <v>0</v>
      </c>
      <c r="CM27" s="33">
        <v>0</v>
      </c>
      <c r="CN27" s="33">
        <v>0</v>
      </c>
      <c r="CO27" s="33">
        <v>0.25</v>
      </c>
      <c r="CP27" s="33">
        <v>0</v>
      </c>
      <c r="CQ27" s="33">
        <v>0.25</v>
      </c>
      <c r="CR27" s="34">
        <v>0</v>
      </c>
      <c r="CT27" s="9">
        <v>22</v>
      </c>
      <c r="CU27" s="6">
        <v>80</v>
      </c>
      <c r="CV27" s="6">
        <v>67</v>
      </c>
      <c r="CW27" s="6">
        <v>67</v>
      </c>
      <c r="CX27" s="6">
        <v>59</v>
      </c>
      <c r="CY27" s="6">
        <v>53</v>
      </c>
      <c r="CZ27" s="6">
        <v>66</v>
      </c>
      <c r="DA27" s="6">
        <v>47</v>
      </c>
      <c r="DB27" s="7">
        <v>47</v>
      </c>
      <c r="DD27" s="2">
        <v>22</v>
      </c>
      <c r="DE27" s="3">
        <v>2</v>
      </c>
      <c r="DF27" s="3">
        <v>4</v>
      </c>
      <c r="DG27" s="3">
        <v>4</v>
      </c>
      <c r="DH27" s="3">
        <v>2</v>
      </c>
      <c r="DI27" s="3">
        <v>3</v>
      </c>
      <c r="DJ27" s="3">
        <v>4</v>
      </c>
      <c r="DK27" s="3">
        <v>4</v>
      </c>
      <c r="DL27" s="3">
        <v>2</v>
      </c>
      <c r="DN27" s="2">
        <v>22</v>
      </c>
      <c r="DO27" s="3">
        <v>4</v>
      </c>
      <c r="DP27" s="3">
        <v>3</v>
      </c>
      <c r="DQ27" s="3">
        <v>3</v>
      </c>
      <c r="DR27" s="3">
        <v>4</v>
      </c>
      <c r="DS27" s="3">
        <v>2</v>
      </c>
      <c r="DT27" s="3">
        <v>4</v>
      </c>
      <c r="DU27" s="3">
        <v>3</v>
      </c>
      <c r="DV27" s="3">
        <v>4</v>
      </c>
      <c r="DW27" s="3">
        <v>3</v>
      </c>
      <c r="DX27" s="3">
        <v>4</v>
      </c>
      <c r="DY27" s="3">
        <f t="shared" si="2"/>
        <v>40</v>
      </c>
    </row>
    <row r="28" spans="2:129">
      <c r="B28" s="9">
        <v>23</v>
      </c>
      <c r="C28" s="33">
        <v>0</v>
      </c>
      <c r="D28" s="34"/>
      <c r="E28" s="33">
        <v>0</v>
      </c>
      <c r="F28" s="33">
        <v>0</v>
      </c>
      <c r="G28" s="33">
        <v>0</v>
      </c>
      <c r="H28" s="33">
        <v>0</v>
      </c>
      <c r="I28" s="33">
        <v>0</v>
      </c>
      <c r="J28" s="34"/>
      <c r="K28" s="102"/>
      <c r="L28" s="9">
        <v>23</v>
      </c>
      <c r="M28" s="26">
        <v>124</v>
      </c>
      <c r="N28" s="6"/>
      <c r="O28" s="6">
        <v>86</v>
      </c>
      <c r="P28" s="6">
        <v>147</v>
      </c>
      <c r="Q28" s="6">
        <v>21</v>
      </c>
      <c r="R28" s="6">
        <v>69</v>
      </c>
      <c r="S28" s="6">
        <v>64</v>
      </c>
      <c r="T28" s="7"/>
      <c r="V28" s="2">
        <v>23</v>
      </c>
      <c r="W28" s="3">
        <v>4</v>
      </c>
      <c r="X28" s="3"/>
      <c r="Y28" s="3">
        <v>3</v>
      </c>
      <c r="Z28" s="3">
        <v>3</v>
      </c>
      <c r="AA28" s="3">
        <v>4</v>
      </c>
      <c r="AB28" s="3">
        <v>2</v>
      </c>
      <c r="AC28" s="3">
        <v>3</v>
      </c>
      <c r="AD28" s="3"/>
      <c r="AF28" s="2">
        <v>23</v>
      </c>
      <c r="AG28" s="3">
        <v>5</v>
      </c>
      <c r="AH28" s="3">
        <v>3</v>
      </c>
      <c r="AI28" s="3">
        <v>3</v>
      </c>
      <c r="AJ28" s="3">
        <v>3</v>
      </c>
      <c r="AK28" s="3">
        <v>4</v>
      </c>
      <c r="AL28" s="3">
        <v>2</v>
      </c>
      <c r="AM28" s="3">
        <v>4</v>
      </c>
      <c r="AN28" s="3">
        <v>2</v>
      </c>
      <c r="AO28" s="3">
        <v>4</v>
      </c>
      <c r="AP28" s="3">
        <v>3</v>
      </c>
      <c r="AQ28" s="3">
        <f t="shared" si="0"/>
        <v>67.5</v>
      </c>
      <c r="AS28" s="9">
        <v>23</v>
      </c>
      <c r="AT28" s="33">
        <v>0</v>
      </c>
      <c r="AU28" s="33">
        <v>0</v>
      </c>
      <c r="AV28" s="33">
        <v>0</v>
      </c>
      <c r="AW28" s="33">
        <v>1</v>
      </c>
      <c r="AX28" s="33">
        <v>1</v>
      </c>
      <c r="AY28" s="33">
        <v>0</v>
      </c>
      <c r="AZ28" s="33">
        <v>0</v>
      </c>
      <c r="BA28" s="34">
        <v>1</v>
      </c>
      <c r="BC28" s="9">
        <v>23</v>
      </c>
      <c r="BD28" s="6">
        <v>165</v>
      </c>
      <c r="BE28" s="6">
        <v>105</v>
      </c>
      <c r="BF28" s="6">
        <v>93</v>
      </c>
      <c r="BG28" s="6">
        <v>35</v>
      </c>
      <c r="BH28" s="6">
        <v>27</v>
      </c>
      <c r="BI28" s="6">
        <v>17</v>
      </c>
      <c r="BJ28" s="6">
        <v>33</v>
      </c>
      <c r="BK28" s="7">
        <v>30</v>
      </c>
      <c r="BM28" s="2">
        <v>23</v>
      </c>
      <c r="BN28" s="3">
        <v>3</v>
      </c>
      <c r="BO28" s="3">
        <v>3</v>
      </c>
      <c r="BP28" s="3">
        <v>3</v>
      </c>
      <c r="BQ28" s="3">
        <v>5</v>
      </c>
      <c r="BR28" s="3">
        <v>5</v>
      </c>
      <c r="BS28" s="3">
        <v>4</v>
      </c>
      <c r="BT28" s="3">
        <v>4</v>
      </c>
      <c r="BU28" s="3">
        <v>4</v>
      </c>
      <c r="BW28" s="2">
        <v>23</v>
      </c>
      <c r="BX28" s="3">
        <v>4</v>
      </c>
      <c r="BY28" s="3">
        <v>3</v>
      </c>
      <c r="BZ28" s="3">
        <v>3</v>
      </c>
      <c r="CA28" s="3">
        <v>3</v>
      </c>
      <c r="CB28" s="3">
        <v>4</v>
      </c>
      <c r="CC28" s="3">
        <v>3</v>
      </c>
      <c r="CD28" s="3">
        <v>4</v>
      </c>
      <c r="CE28" s="3">
        <v>2</v>
      </c>
      <c r="CF28" s="3">
        <v>4</v>
      </c>
      <c r="CG28" s="3">
        <v>3</v>
      </c>
      <c r="CH28" s="3">
        <f t="shared" si="1"/>
        <v>62.5</v>
      </c>
      <c r="CJ28" s="9">
        <v>23</v>
      </c>
      <c r="CK28" s="33">
        <v>0</v>
      </c>
      <c r="CL28" s="33">
        <v>0</v>
      </c>
      <c r="CM28" s="33">
        <v>0</v>
      </c>
      <c r="CN28" s="33">
        <v>0</v>
      </c>
      <c r="CO28" s="33">
        <v>0</v>
      </c>
      <c r="CP28" s="33">
        <v>0</v>
      </c>
      <c r="CQ28" s="33">
        <v>0</v>
      </c>
      <c r="CR28" s="34">
        <v>1</v>
      </c>
      <c r="CT28" s="9">
        <v>23</v>
      </c>
      <c r="CU28" s="6">
        <v>300</v>
      </c>
      <c r="CV28" s="6">
        <v>103</v>
      </c>
      <c r="CW28" s="6">
        <v>158</v>
      </c>
      <c r="CX28" s="6">
        <v>97</v>
      </c>
      <c r="CY28" s="6">
        <v>124</v>
      </c>
      <c r="CZ28" s="6">
        <v>149</v>
      </c>
      <c r="DA28" s="6">
        <v>81</v>
      </c>
      <c r="DB28" s="7">
        <v>134</v>
      </c>
      <c r="DD28" s="2">
        <v>23</v>
      </c>
      <c r="DE28" s="3">
        <v>4</v>
      </c>
      <c r="DF28" s="3">
        <v>2</v>
      </c>
      <c r="DG28" s="3">
        <v>4</v>
      </c>
      <c r="DH28" s="3">
        <v>2</v>
      </c>
      <c r="DI28" s="3">
        <v>2</v>
      </c>
      <c r="DJ28" s="3">
        <v>1</v>
      </c>
      <c r="DK28" s="3">
        <v>1</v>
      </c>
      <c r="DL28" s="3">
        <v>3</v>
      </c>
      <c r="DN28" s="2">
        <v>23</v>
      </c>
      <c r="DO28" s="3">
        <v>3</v>
      </c>
      <c r="DP28" s="3">
        <v>2</v>
      </c>
      <c r="DQ28" s="3">
        <v>2</v>
      </c>
      <c r="DR28" s="3">
        <v>3</v>
      </c>
      <c r="DS28" s="3">
        <v>2</v>
      </c>
      <c r="DT28" s="3">
        <v>3</v>
      </c>
      <c r="DU28" s="3">
        <v>2</v>
      </c>
      <c r="DV28" s="3">
        <v>3</v>
      </c>
      <c r="DW28" s="3">
        <v>3</v>
      </c>
      <c r="DX28" s="3">
        <v>3</v>
      </c>
      <c r="DY28" s="3">
        <f t="shared" si="2"/>
        <v>45</v>
      </c>
    </row>
    <row r="29" spans="2:129">
      <c r="B29" s="9">
        <v>24</v>
      </c>
      <c r="C29" s="33">
        <v>1</v>
      </c>
      <c r="D29" s="34"/>
      <c r="E29" s="33">
        <v>1</v>
      </c>
      <c r="F29" s="33">
        <v>0</v>
      </c>
      <c r="G29" s="33">
        <v>1</v>
      </c>
      <c r="H29" s="33">
        <v>1</v>
      </c>
      <c r="I29" s="33">
        <v>0</v>
      </c>
      <c r="J29" s="34"/>
      <c r="K29" s="102"/>
      <c r="L29" s="9">
        <v>24</v>
      </c>
      <c r="M29" s="6">
        <v>115</v>
      </c>
      <c r="N29" s="6"/>
      <c r="O29" s="6">
        <v>108</v>
      </c>
      <c r="P29" s="6">
        <v>180</v>
      </c>
      <c r="Q29" s="6">
        <v>89</v>
      </c>
      <c r="R29" s="6">
        <v>52</v>
      </c>
      <c r="S29" s="6">
        <v>46</v>
      </c>
      <c r="T29" s="7"/>
      <c r="V29" s="2">
        <v>24</v>
      </c>
      <c r="W29" s="3">
        <v>5</v>
      </c>
      <c r="X29" s="3"/>
      <c r="Y29" s="3">
        <v>5</v>
      </c>
      <c r="Z29" s="3">
        <v>4</v>
      </c>
      <c r="AA29" s="3">
        <v>4</v>
      </c>
      <c r="AB29" s="3">
        <v>4</v>
      </c>
      <c r="AC29" s="3">
        <v>4</v>
      </c>
      <c r="AD29" s="3"/>
      <c r="AF29" s="2">
        <v>24</v>
      </c>
      <c r="AG29" s="3">
        <v>5</v>
      </c>
      <c r="AH29" s="3">
        <v>1</v>
      </c>
      <c r="AI29" s="3">
        <v>5</v>
      </c>
      <c r="AJ29" s="3">
        <v>1</v>
      </c>
      <c r="AK29" s="3">
        <v>5</v>
      </c>
      <c r="AL29" s="3">
        <v>1</v>
      </c>
      <c r="AM29" s="3">
        <v>4</v>
      </c>
      <c r="AN29" s="3">
        <v>1</v>
      </c>
      <c r="AO29" s="3">
        <v>5</v>
      </c>
      <c r="AP29" s="3">
        <v>1</v>
      </c>
      <c r="AQ29" s="3">
        <f t="shared" si="0"/>
        <v>97.5</v>
      </c>
      <c r="AS29" s="9">
        <v>24</v>
      </c>
      <c r="AT29" s="33">
        <v>1</v>
      </c>
      <c r="AU29" s="33">
        <v>1</v>
      </c>
      <c r="AV29" s="33">
        <v>1</v>
      </c>
      <c r="AW29" s="33">
        <v>0</v>
      </c>
      <c r="AX29" s="33">
        <v>0.25</v>
      </c>
      <c r="AY29" s="33">
        <v>0.25</v>
      </c>
      <c r="AZ29" s="33">
        <v>0</v>
      </c>
      <c r="BA29" s="34">
        <v>1</v>
      </c>
      <c r="BC29" s="9">
        <v>24</v>
      </c>
      <c r="BD29" s="6">
        <v>300</v>
      </c>
      <c r="BE29" s="6">
        <v>49</v>
      </c>
      <c r="BF29" s="6">
        <v>83</v>
      </c>
      <c r="BG29" s="6">
        <v>180</v>
      </c>
      <c r="BH29" s="6">
        <v>93</v>
      </c>
      <c r="BI29" s="6">
        <v>118</v>
      </c>
      <c r="BJ29" s="6">
        <v>62</v>
      </c>
      <c r="BK29" s="7">
        <v>63</v>
      </c>
      <c r="BM29" s="2">
        <v>24</v>
      </c>
      <c r="BN29" s="3">
        <v>4</v>
      </c>
      <c r="BO29" s="3">
        <v>5</v>
      </c>
      <c r="BP29" s="3">
        <v>5</v>
      </c>
      <c r="BQ29" s="3">
        <v>4</v>
      </c>
      <c r="BR29" s="3">
        <v>4</v>
      </c>
      <c r="BS29" s="3">
        <v>4</v>
      </c>
      <c r="BT29" s="3">
        <v>4</v>
      </c>
      <c r="BU29" s="3">
        <v>5</v>
      </c>
      <c r="BW29" s="2">
        <v>24</v>
      </c>
      <c r="BX29" s="3">
        <v>4</v>
      </c>
      <c r="BY29" s="3">
        <v>2</v>
      </c>
      <c r="BZ29" s="3">
        <v>5</v>
      </c>
      <c r="CA29" s="3">
        <v>1</v>
      </c>
      <c r="CB29" s="3">
        <v>4</v>
      </c>
      <c r="CC29" s="3">
        <v>2</v>
      </c>
      <c r="CD29" s="3">
        <v>3</v>
      </c>
      <c r="CE29" s="3">
        <v>2</v>
      </c>
      <c r="CF29" s="3">
        <v>5</v>
      </c>
      <c r="CG29" s="3">
        <v>1</v>
      </c>
      <c r="CH29" s="3">
        <f t="shared" si="1"/>
        <v>82.5</v>
      </c>
      <c r="CJ29" s="9">
        <v>24</v>
      </c>
      <c r="CK29" s="33">
        <v>0</v>
      </c>
      <c r="CL29" s="33">
        <v>1</v>
      </c>
      <c r="CM29" s="33">
        <v>1</v>
      </c>
      <c r="CN29" s="33">
        <v>1</v>
      </c>
      <c r="CO29" s="33">
        <v>0.25</v>
      </c>
      <c r="CP29" s="33">
        <v>1</v>
      </c>
      <c r="CQ29" s="33">
        <v>1</v>
      </c>
      <c r="CR29" s="34">
        <v>1</v>
      </c>
      <c r="CT29" s="9">
        <v>24</v>
      </c>
      <c r="CU29" s="6">
        <v>300</v>
      </c>
      <c r="CV29" s="6">
        <v>180</v>
      </c>
      <c r="CW29" s="6">
        <v>180</v>
      </c>
      <c r="CX29" s="6">
        <v>90</v>
      </c>
      <c r="CY29" s="6">
        <v>180</v>
      </c>
      <c r="CZ29" s="6">
        <v>93</v>
      </c>
      <c r="DA29" s="6">
        <v>57</v>
      </c>
      <c r="DB29" s="7">
        <v>300</v>
      </c>
      <c r="DD29" s="2">
        <v>24</v>
      </c>
      <c r="DE29" s="3">
        <v>2</v>
      </c>
      <c r="DF29" s="3">
        <v>3</v>
      </c>
      <c r="DG29" s="3">
        <v>4</v>
      </c>
      <c r="DH29" s="3">
        <v>5</v>
      </c>
      <c r="DI29" s="3">
        <v>3</v>
      </c>
      <c r="DJ29" s="3">
        <v>4</v>
      </c>
      <c r="DK29" s="3">
        <v>4</v>
      </c>
      <c r="DL29" s="3">
        <v>4</v>
      </c>
      <c r="DN29" s="2">
        <v>24</v>
      </c>
      <c r="DO29" s="3">
        <v>4</v>
      </c>
      <c r="DP29" s="3">
        <v>2</v>
      </c>
      <c r="DQ29" s="3">
        <v>4</v>
      </c>
      <c r="DR29" s="3">
        <v>1</v>
      </c>
      <c r="DS29" s="3">
        <v>4</v>
      </c>
      <c r="DT29" s="3">
        <v>2</v>
      </c>
      <c r="DU29" s="3">
        <v>3</v>
      </c>
      <c r="DV29" s="3">
        <v>2</v>
      </c>
      <c r="DW29" s="3">
        <v>4</v>
      </c>
      <c r="DX29" s="3">
        <v>3</v>
      </c>
      <c r="DY29" s="3">
        <f t="shared" si="2"/>
        <v>72.5</v>
      </c>
    </row>
    <row r="30" spans="2:129">
      <c r="B30" s="9">
        <v>25</v>
      </c>
      <c r="C30" s="33">
        <v>1</v>
      </c>
      <c r="D30" s="34"/>
      <c r="E30" s="33">
        <v>0</v>
      </c>
      <c r="F30" s="33">
        <v>0</v>
      </c>
      <c r="G30" s="33">
        <v>0</v>
      </c>
      <c r="H30" s="33">
        <v>0</v>
      </c>
      <c r="I30" s="33">
        <v>0</v>
      </c>
      <c r="J30" s="34"/>
      <c r="K30" s="102"/>
      <c r="L30" s="9">
        <v>25</v>
      </c>
      <c r="M30" s="6">
        <v>191</v>
      </c>
      <c r="N30" s="6"/>
      <c r="O30" s="6">
        <v>102</v>
      </c>
      <c r="P30" s="6">
        <v>98</v>
      </c>
      <c r="Q30" s="6">
        <v>180</v>
      </c>
      <c r="R30" s="6">
        <v>180</v>
      </c>
      <c r="S30" s="6">
        <v>180</v>
      </c>
      <c r="T30" s="7"/>
      <c r="V30" s="2">
        <v>25</v>
      </c>
      <c r="W30" s="3">
        <v>3</v>
      </c>
      <c r="X30" s="3"/>
      <c r="Y30" s="3">
        <v>1</v>
      </c>
      <c r="Z30" s="3">
        <v>3</v>
      </c>
      <c r="AA30" s="3">
        <v>1</v>
      </c>
      <c r="AB30" s="3">
        <v>1</v>
      </c>
      <c r="AC30" s="3">
        <v>1</v>
      </c>
      <c r="AD30" s="3"/>
      <c r="AF30" s="2">
        <v>25</v>
      </c>
      <c r="AG30" s="3">
        <v>2</v>
      </c>
      <c r="AH30" s="3">
        <v>3</v>
      </c>
      <c r="AI30" s="3">
        <v>1</v>
      </c>
      <c r="AJ30" s="3">
        <v>4</v>
      </c>
      <c r="AK30" s="3">
        <v>2</v>
      </c>
      <c r="AL30" s="3">
        <v>3</v>
      </c>
      <c r="AM30" s="3">
        <v>1</v>
      </c>
      <c r="AN30" s="3">
        <v>4</v>
      </c>
      <c r="AO30" s="3">
        <v>2</v>
      </c>
      <c r="AP30" s="3">
        <v>5</v>
      </c>
      <c r="AQ30" s="3">
        <f t="shared" si="0"/>
        <v>22.5</v>
      </c>
      <c r="AS30" s="9">
        <v>25</v>
      </c>
      <c r="AT30" s="33">
        <v>0</v>
      </c>
      <c r="AU30" s="33">
        <v>0</v>
      </c>
      <c r="AV30" s="33">
        <v>0.25</v>
      </c>
      <c r="AW30" s="33">
        <v>0</v>
      </c>
      <c r="AX30" s="33">
        <v>0</v>
      </c>
      <c r="AY30" s="33">
        <v>0</v>
      </c>
      <c r="AZ30" s="33">
        <v>0</v>
      </c>
      <c r="BA30" s="34">
        <v>1</v>
      </c>
      <c r="BC30" s="9">
        <v>25</v>
      </c>
      <c r="BD30" s="6">
        <v>300</v>
      </c>
      <c r="BE30" s="6">
        <v>180</v>
      </c>
      <c r="BF30" s="6">
        <v>59</v>
      </c>
      <c r="BG30" s="6">
        <v>96</v>
      </c>
      <c r="BH30" s="6">
        <v>180</v>
      </c>
      <c r="BI30" s="6">
        <v>29</v>
      </c>
      <c r="BJ30" s="6">
        <v>180</v>
      </c>
      <c r="BK30" s="7">
        <v>71</v>
      </c>
      <c r="BM30" s="2">
        <v>25</v>
      </c>
      <c r="BN30" s="3">
        <v>1</v>
      </c>
      <c r="BO30" s="3">
        <v>1</v>
      </c>
      <c r="BP30" s="3">
        <v>3</v>
      </c>
      <c r="BQ30" s="3">
        <v>1</v>
      </c>
      <c r="BR30" s="3">
        <v>1</v>
      </c>
      <c r="BS30" s="3">
        <v>1</v>
      </c>
      <c r="BT30" s="3">
        <v>1</v>
      </c>
      <c r="BU30" s="3">
        <v>4</v>
      </c>
      <c r="BW30" s="2">
        <v>25</v>
      </c>
      <c r="BX30" s="3">
        <v>1</v>
      </c>
      <c r="BY30" s="3">
        <v>5</v>
      </c>
      <c r="BZ30" s="3">
        <v>1</v>
      </c>
      <c r="CA30" s="3">
        <v>5</v>
      </c>
      <c r="CB30" s="3">
        <v>2</v>
      </c>
      <c r="CC30" s="3">
        <v>3</v>
      </c>
      <c r="CD30" s="3">
        <v>2</v>
      </c>
      <c r="CE30" s="3">
        <v>5</v>
      </c>
      <c r="CF30" s="3">
        <v>1</v>
      </c>
      <c r="CG30" s="3">
        <v>5</v>
      </c>
      <c r="CH30" s="3">
        <f t="shared" si="1"/>
        <v>10</v>
      </c>
      <c r="CJ30" s="9">
        <v>25</v>
      </c>
      <c r="CK30" s="33">
        <v>0</v>
      </c>
      <c r="CL30" s="33">
        <v>0.25</v>
      </c>
      <c r="CM30" s="33">
        <v>0.25</v>
      </c>
      <c r="CN30" s="33">
        <v>0</v>
      </c>
      <c r="CO30" s="33">
        <v>0.25</v>
      </c>
      <c r="CP30" s="33">
        <v>0</v>
      </c>
      <c r="CQ30" s="33">
        <v>0</v>
      </c>
      <c r="CR30" s="34">
        <v>0</v>
      </c>
      <c r="CT30" s="9">
        <v>25</v>
      </c>
      <c r="CU30" s="6">
        <v>300</v>
      </c>
      <c r="CV30" s="6">
        <v>113</v>
      </c>
      <c r="CW30" s="6">
        <v>83</v>
      </c>
      <c r="CX30" s="6">
        <v>159</v>
      </c>
      <c r="CY30" s="6">
        <v>115</v>
      </c>
      <c r="CZ30" s="6">
        <v>180</v>
      </c>
      <c r="DA30" s="6">
        <v>56</v>
      </c>
      <c r="DB30" s="7">
        <v>180</v>
      </c>
      <c r="DD30" s="2">
        <v>25</v>
      </c>
      <c r="DE30" s="3">
        <v>1</v>
      </c>
      <c r="DF30" s="3">
        <v>2</v>
      </c>
      <c r="DG30" s="3">
        <v>3</v>
      </c>
      <c r="DH30" s="3">
        <v>1</v>
      </c>
      <c r="DI30" s="3">
        <v>1</v>
      </c>
      <c r="DJ30" s="3">
        <v>1</v>
      </c>
      <c r="DK30" s="3">
        <v>3</v>
      </c>
      <c r="DL30" s="3">
        <v>1</v>
      </c>
      <c r="DN30" s="2">
        <v>25</v>
      </c>
      <c r="DO30" s="3">
        <v>1</v>
      </c>
      <c r="DP30" s="3">
        <v>5</v>
      </c>
      <c r="DQ30" s="3">
        <v>1</v>
      </c>
      <c r="DR30" s="3">
        <v>5</v>
      </c>
      <c r="DS30" s="3">
        <v>2</v>
      </c>
      <c r="DT30" s="3">
        <v>4</v>
      </c>
      <c r="DU30" s="3">
        <v>2</v>
      </c>
      <c r="DV30" s="3">
        <v>5</v>
      </c>
      <c r="DW30" s="3">
        <v>1</v>
      </c>
      <c r="DX30" s="3">
        <v>5</v>
      </c>
      <c r="DY30" s="3">
        <f t="shared" si="2"/>
        <v>7.5</v>
      </c>
    </row>
    <row r="31" spans="2:129">
      <c r="B31" s="9">
        <v>26</v>
      </c>
      <c r="C31" s="33">
        <v>1</v>
      </c>
      <c r="D31" s="34"/>
      <c r="E31" s="33">
        <v>0</v>
      </c>
      <c r="F31" s="33">
        <v>0</v>
      </c>
      <c r="G31" s="33">
        <v>1</v>
      </c>
      <c r="H31" s="33">
        <v>0</v>
      </c>
      <c r="I31" s="33">
        <v>0</v>
      </c>
      <c r="J31" s="34"/>
      <c r="K31" s="102"/>
      <c r="L31" s="9">
        <v>26</v>
      </c>
      <c r="M31" s="6">
        <v>200</v>
      </c>
      <c r="N31" s="6"/>
      <c r="O31" s="6">
        <v>150</v>
      </c>
      <c r="P31" s="6">
        <v>52</v>
      </c>
      <c r="Q31" s="6">
        <v>13</v>
      </c>
      <c r="R31" s="6">
        <v>59</v>
      </c>
      <c r="S31" s="6">
        <v>4</v>
      </c>
      <c r="T31" s="7"/>
      <c r="V31" s="2">
        <v>26</v>
      </c>
      <c r="W31" s="3">
        <v>3</v>
      </c>
      <c r="X31" s="3"/>
      <c r="Y31" s="3">
        <v>1</v>
      </c>
      <c r="Z31" s="3">
        <v>3</v>
      </c>
      <c r="AA31" s="3">
        <v>3</v>
      </c>
      <c r="AB31" s="3">
        <v>1</v>
      </c>
      <c r="AC31" s="3">
        <v>4</v>
      </c>
      <c r="AD31" s="3"/>
      <c r="AF31" s="2">
        <v>26</v>
      </c>
      <c r="AG31" s="3">
        <v>2</v>
      </c>
      <c r="AH31" s="3">
        <v>4</v>
      </c>
      <c r="AI31" s="3">
        <v>2</v>
      </c>
      <c r="AJ31" s="3">
        <v>4</v>
      </c>
      <c r="AK31" s="3">
        <v>3</v>
      </c>
      <c r="AL31" s="3">
        <v>5</v>
      </c>
      <c r="AM31" s="3">
        <v>1</v>
      </c>
      <c r="AN31" s="3">
        <v>4</v>
      </c>
      <c r="AO31" s="3">
        <v>1</v>
      </c>
      <c r="AP31" s="3">
        <v>5</v>
      </c>
      <c r="AQ31" s="3">
        <f t="shared" si="0"/>
        <v>17.5</v>
      </c>
      <c r="AS31" s="9">
        <v>26</v>
      </c>
      <c r="AT31" s="33">
        <v>0</v>
      </c>
      <c r="AU31" s="33">
        <v>0.25</v>
      </c>
      <c r="AV31" s="33">
        <v>0.25</v>
      </c>
      <c r="AW31" s="33">
        <v>1</v>
      </c>
      <c r="AX31" s="33">
        <v>0.25</v>
      </c>
      <c r="AY31" s="33">
        <v>1</v>
      </c>
      <c r="AZ31" s="33">
        <v>0</v>
      </c>
      <c r="BA31" s="34">
        <v>1</v>
      </c>
      <c r="BC31" s="9">
        <v>26</v>
      </c>
      <c r="BD31" s="6">
        <v>235</v>
      </c>
      <c r="BE31" s="6">
        <v>67</v>
      </c>
      <c r="BF31" s="6">
        <v>142</v>
      </c>
      <c r="BG31" s="6">
        <v>28</v>
      </c>
      <c r="BH31" s="6">
        <v>59</v>
      </c>
      <c r="BI31" s="6">
        <v>17</v>
      </c>
      <c r="BJ31" s="6">
        <v>23</v>
      </c>
      <c r="BK31" s="7">
        <v>23</v>
      </c>
      <c r="BM31" s="2">
        <v>26</v>
      </c>
      <c r="BN31" s="3">
        <v>1</v>
      </c>
      <c r="BO31" s="3">
        <v>3</v>
      </c>
      <c r="BP31" s="3">
        <v>3</v>
      </c>
      <c r="BQ31" s="3">
        <v>2</v>
      </c>
      <c r="BR31" s="3">
        <v>4</v>
      </c>
      <c r="BS31" s="3">
        <v>2</v>
      </c>
      <c r="BT31" s="3">
        <v>4</v>
      </c>
      <c r="BU31" s="3">
        <v>5</v>
      </c>
      <c r="BW31" s="2">
        <v>26</v>
      </c>
      <c r="BX31" s="3">
        <v>4</v>
      </c>
      <c r="BY31" s="3">
        <v>1</v>
      </c>
      <c r="BZ31" s="3">
        <v>5</v>
      </c>
      <c r="CA31" s="3">
        <v>2</v>
      </c>
      <c r="CB31" s="3">
        <v>4</v>
      </c>
      <c r="CC31" s="3">
        <v>2</v>
      </c>
      <c r="CD31" s="3">
        <v>5</v>
      </c>
      <c r="CE31" s="3">
        <v>1</v>
      </c>
      <c r="CF31" s="3">
        <v>4</v>
      </c>
      <c r="CG31" s="3">
        <v>1</v>
      </c>
      <c r="CH31" s="3">
        <f t="shared" si="1"/>
        <v>87.5</v>
      </c>
      <c r="CJ31" s="9">
        <v>26</v>
      </c>
      <c r="CK31" s="33">
        <v>0</v>
      </c>
      <c r="CL31" s="33">
        <v>0</v>
      </c>
      <c r="CM31" s="33">
        <v>0</v>
      </c>
      <c r="CN31" s="33">
        <v>1</v>
      </c>
      <c r="CO31" s="33">
        <v>0</v>
      </c>
      <c r="CP31" s="33">
        <v>0</v>
      </c>
      <c r="CQ31" s="33">
        <v>0</v>
      </c>
      <c r="CR31" s="34">
        <v>1</v>
      </c>
      <c r="CT31" s="9">
        <v>26</v>
      </c>
      <c r="CU31" s="6">
        <v>147</v>
      </c>
      <c r="CV31" s="6">
        <v>109</v>
      </c>
      <c r="CW31" s="6">
        <v>47</v>
      </c>
      <c r="CX31" s="6">
        <v>90</v>
      </c>
      <c r="CY31" s="6">
        <v>70</v>
      </c>
      <c r="CZ31" s="6">
        <v>79</v>
      </c>
      <c r="DA31" s="6">
        <v>23</v>
      </c>
      <c r="DB31" s="7">
        <v>37</v>
      </c>
      <c r="DD31" s="2">
        <v>26</v>
      </c>
      <c r="DE31" s="3">
        <v>5</v>
      </c>
      <c r="DF31" s="3">
        <v>4</v>
      </c>
      <c r="DG31" s="3">
        <v>5</v>
      </c>
      <c r="DH31" s="3">
        <v>3</v>
      </c>
      <c r="DI31" s="3">
        <v>3</v>
      </c>
      <c r="DJ31" s="3">
        <v>2</v>
      </c>
      <c r="DK31" s="3">
        <v>4</v>
      </c>
      <c r="DL31" s="3">
        <v>5</v>
      </c>
      <c r="DN31" s="2">
        <v>26</v>
      </c>
      <c r="DO31" s="3">
        <v>4</v>
      </c>
      <c r="DP31" s="3">
        <v>2</v>
      </c>
      <c r="DQ31" s="3">
        <v>4</v>
      </c>
      <c r="DR31" s="3">
        <v>1</v>
      </c>
      <c r="DS31" s="3">
        <v>4</v>
      </c>
      <c r="DT31" s="3">
        <v>1</v>
      </c>
      <c r="DU31" s="3">
        <v>5</v>
      </c>
      <c r="DV31" s="3">
        <v>1</v>
      </c>
      <c r="DW31" s="3">
        <v>5</v>
      </c>
      <c r="DX31" s="3">
        <v>1</v>
      </c>
      <c r="DY31" s="3">
        <f t="shared" si="2"/>
        <v>90</v>
      </c>
    </row>
    <row r="32" spans="2:129">
      <c r="B32" s="9">
        <v>27</v>
      </c>
      <c r="C32" s="33">
        <v>1</v>
      </c>
      <c r="D32" s="34"/>
      <c r="E32" s="33">
        <v>0.25</v>
      </c>
      <c r="F32" s="33">
        <v>0.25</v>
      </c>
      <c r="G32" s="33">
        <v>0</v>
      </c>
      <c r="H32" s="33">
        <v>1</v>
      </c>
      <c r="I32" s="33">
        <v>0</v>
      </c>
      <c r="J32" s="34"/>
      <c r="K32" s="102"/>
      <c r="L32" s="9">
        <v>27</v>
      </c>
      <c r="M32" s="6">
        <v>140</v>
      </c>
      <c r="N32" s="6"/>
      <c r="O32" s="6">
        <v>169</v>
      </c>
      <c r="P32" s="6">
        <v>107</v>
      </c>
      <c r="Q32" s="6">
        <v>180</v>
      </c>
      <c r="R32" s="6">
        <v>30</v>
      </c>
      <c r="S32" s="6">
        <v>90</v>
      </c>
      <c r="T32" s="7"/>
      <c r="V32" s="2">
        <v>27</v>
      </c>
      <c r="W32" s="3">
        <v>3</v>
      </c>
      <c r="X32" s="3"/>
      <c r="Y32" s="3">
        <v>2</v>
      </c>
      <c r="Z32" s="3">
        <v>3</v>
      </c>
      <c r="AA32" s="3">
        <v>1</v>
      </c>
      <c r="AB32" s="3">
        <v>5</v>
      </c>
      <c r="AC32" s="3">
        <v>3</v>
      </c>
      <c r="AD32" s="3"/>
      <c r="AF32" s="2">
        <v>27</v>
      </c>
      <c r="AG32" s="3">
        <v>3</v>
      </c>
      <c r="AH32" s="3">
        <v>4</v>
      </c>
      <c r="AI32" s="3">
        <v>3</v>
      </c>
      <c r="AJ32" s="3">
        <v>4</v>
      </c>
      <c r="AK32" s="3">
        <v>2</v>
      </c>
      <c r="AL32" s="3">
        <v>4</v>
      </c>
      <c r="AM32" s="3">
        <v>4</v>
      </c>
      <c r="AN32" s="3">
        <v>3</v>
      </c>
      <c r="AO32" s="3">
        <v>3</v>
      </c>
      <c r="AP32" s="3">
        <v>4</v>
      </c>
      <c r="AQ32" s="3">
        <f t="shared" si="0"/>
        <v>40</v>
      </c>
      <c r="AS32" s="9">
        <v>27</v>
      </c>
      <c r="AT32" s="33">
        <v>0</v>
      </c>
      <c r="AU32" s="33">
        <v>0.25</v>
      </c>
      <c r="AV32" s="33">
        <v>0</v>
      </c>
      <c r="AW32" s="33">
        <v>0</v>
      </c>
      <c r="AX32" s="33">
        <v>0.25</v>
      </c>
      <c r="AY32" s="33">
        <v>0</v>
      </c>
      <c r="AZ32" s="33">
        <v>0</v>
      </c>
      <c r="BA32" s="34">
        <v>1</v>
      </c>
      <c r="BC32" s="9">
        <v>27</v>
      </c>
      <c r="BD32" s="6">
        <v>300</v>
      </c>
      <c r="BE32" s="6">
        <v>89</v>
      </c>
      <c r="BF32" s="6">
        <v>170</v>
      </c>
      <c r="BG32" s="6">
        <v>70</v>
      </c>
      <c r="BH32" s="6">
        <v>59</v>
      </c>
      <c r="BI32" s="6">
        <v>20</v>
      </c>
      <c r="BJ32" s="6">
        <v>97</v>
      </c>
      <c r="BK32" s="7">
        <v>37</v>
      </c>
      <c r="BM32" s="2">
        <v>27</v>
      </c>
      <c r="BN32" s="3">
        <v>2</v>
      </c>
      <c r="BO32" s="3">
        <v>4</v>
      </c>
      <c r="BP32" s="3">
        <v>1</v>
      </c>
      <c r="BQ32" s="3">
        <v>1</v>
      </c>
      <c r="BR32" s="3">
        <v>5</v>
      </c>
      <c r="BS32" s="3">
        <v>3</v>
      </c>
      <c r="BT32" s="3">
        <v>3</v>
      </c>
      <c r="BU32" s="3">
        <v>5</v>
      </c>
      <c r="BW32" s="2">
        <v>27</v>
      </c>
      <c r="BX32" s="3">
        <v>3</v>
      </c>
      <c r="BY32" s="3">
        <v>4</v>
      </c>
      <c r="BZ32" s="3">
        <v>2</v>
      </c>
      <c r="CA32" s="3">
        <v>4</v>
      </c>
      <c r="CB32" s="3">
        <v>2</v>
      </c>
      <c r="CC32" s="3">
        <v>4</v>
      </c>
      <c r="CD32" s="3">
        <v>3</v>
      </c>
      <c r="CE32" s="3">
        <v>4</v>
      </c>
      <c r="CF32" s="3">
        <v>2</v>
      </c>
      <c r="CG32" s="3">
        <v>5</v>
      </c>
      <c r="CH32" s="3">
        <f t="shared" si="1"/>
        <v>27.5</v>
      </c>
      <c r="CJ32" s="9">
        <v>27</v>
      </c>
      <c r="CK32" s="33">
        <v>0</v>
      </c>
      <c r="CL32" s="33">
        <v>0</v>
      </c>
      <c r="CM32" s="33">
        <v>0</v>
      </c>
      <c r="CN32" s="33">
        <v>0</v>
      </c>
      <c r="CO32" s="33">
        <v>0.25</v>
      </c>
      <c r="CP32" s="33">
        <v>0</v>
      </c>
      <c r="CQ32" s="33">
        <v>0</v>
      </c>
      <c r="CR32" s="34">
        <v>1</v>
      </c>
      <c r="CT32" s="9">
        <v>27</v>
      </c>
      <c r="CU32" s="6">
        <v>300</v>
      </c>
      <c r="CV32" s="6">
        <v>175</v>
      </c>
      <c r="CW32" s="6">
        <v>180</v>
      </c>
      <c r="CX32" s="6">
        <v>137</v>
      </c>
      <c r="CY32" s="6">
        <v>33</v>
      </c>
      <c r="CZ32" s="6">
        <v>170</v>
      </c>
      <c r="DA32" s="6">
        <v>128</v>
      </c>
      <c r="DB32" s="7">
        <v>69</v>
      </c>
      <c r="DD32" s="2">
        <v>27</v>
      </c>
      <c r="DE32" s="3">
        <v>1</v>
      </c>
      <c r="DF32" s="3">
        <v>3</v>
      </c>
      <c r="DG32" s="3">
        <v>2</v>
      </c>
      <c r="DH32" s="3">
        <v>3</v>
      </c>
      <c r="DI32" s="3">
        <v>4</v>
      </c>
      <c r="DJ32" s="3">
        <v>1</v>
      </c>
      <c r="DK32" s="3">
        <v>4</v>
      </c>
      <c r="DL32" s="3">
        <v>4</v>
      </c>
      <c r="DN32" s="2">
        <v>27</v>
      </c>
      <c r="DO32" s="3">
        <v>2</v>
      </c>
      <c r="DP32" s="3">
        <v>5</v>
      </c>
      <c r="DQ32" s="3">
        <v>1</v>
      </c>
      <c r="DR32" s="3">
        <v>5</v>
      </c>
      <c r="DS32" s="3">
        <v>2</v>
      </c>
      <c r="DT32" s="3">
        <v>4</v>
      </c>
      <c r="DU32" s="3">
        <v>2</v>
      </c>
      <c r="DV32" s="3">
        <v>4</v>
      </c>
      <c r="DW32" s="3">
        <v>1</v>
      </c>
      <c r="DX32" s="3">
        <v>4</v>
      </c>
      <c r="DY32" s="3">
        <f t="shared" si="2"/>
        <v>15</v>
      </c>
    </row>
    <row r="33" spans="2:129">
      <c r="B33" s="9">
        <v>28</v>
      </c>
      <c r="C33" s="33">
        <v>0.25</v>
      </c>
      <c r="D33" s="34"/>
      <c r="E33" s="33">
        <v>0.25</v>
      </c>
      <c r="F33" s="33">
        <v>0</v>
      </c>
      <c r="G33" s="33">
        <v>0</v>
      </c>
      <c r="H33" s="33">
        <v>1</v>
      </c>
      <c r="I33" s="33">
        <v>1</v>
      </c>
      <c r="J33" s="34"/>
      <c r="K33" s="102"/>
      <c r="L33" s="9">
        <v>28</v>
      </c>
      <c r="M33" s="6">
        <v>276</v>
      </c>
      <c r="N33" s="6"/>
      <c r="O33" s="6">
        <v>156</v>
      </c>
      <c r="P33" s="6">
        <v>114</v>
      </c>
      <c r="Q33" s="6">
        <v>113</v>
      </c>
      <c r="R33" s="6">
        <v>23</v>
      </c>
      <c r="S33" s="6">
        <v>14</v>
      </c>
      <c r="T33" s="7"/>
      <c r="V33" s="2">
        <v>28</v>
      </c>
      <c r="W33" s="3">
        <v>4</v>
      </c>
      <c r="X33" s="3"/>
      <c r="Y33" s="3">
        <v>3</v>
      </c>
      <c r="Z33" s="3">
        <v>1</v>
      </c>
      <c r="AA33" s="3">
        <v>4</v>
      </c>
      <c r="AB33" s="3">
        <v>5</v>
      </c>
      <c r="AC33" s="3">
        <v>5</v>
      </c>
      <c r="AD33" s="3"/>
      <c r="AF33" s="2">
        <v>28</v>
      </c>
      <c r="AG33" s="3">
        <v>3</v>
      </c>
      <c r="AH33" s="3">
        <v>3</v>
      </c>
      <c r="AI33" s="3">
        <v>1</v>
      </c>
      <c r="AJ33" s="3">
        <v>2</v>
      </c>
      <c r="AK33" s="3">
        <v>1</v>
      </c>
      <c r="AL33" s="3">
        <v>5</v>
      </c>
      <c r="AM33" s="3">
        <v>1</v>
      </c>
      <c r="AN33" s="3">
        <v>5</v>
      </c>
      <c r="AO33" s="3">
        <v>1</v>
      </c>
      <c r="AP33" s="3">
        <v>5</v>
      </c>
      <c r="AQ33" s="3">
        <f t="shared" si="0"/>
        <v>17.5</v>
      </c>
      <c r="AS33" s="9">
        <v>28</v>
      </c>
      <c r="AT33" s="33">
        <v>0.25</v>
      </c>
      <c r="AU33" s="33">
        <v>0</v>
      </c>
      <c r="AV33" s="33">
        <v>0.25</v>
      </c>
      <c r="AW33" s="33">
        <v>0</v>
      </c>
      <c r="AX33" s="33">
        <v>0</v>
      </c>
      <c r="AY33" s="33">
        <v>1</v>
      </c>
      <c r="AZ33" s="33">
        <v>0</v>
      </c>
      <c r="BA33" s="34">
        <v>1</v>
      </c>
      <c r="BC33" s="9">
        <v>28</v>
      </c>
      <c r="BD33" s="6">
        <v>300</v>
      </c>
      <c r="BE33" s="6">
        <v>120</v>
      </c>
      <c r="BF33" s="6">
        <v>73</v>
      </c>
      <c r="BG33" s="6">
        <v>38</v>
      </c>
      <c r="BH33" s="6">
        <v>99</v>
      </c>
      <c r="BI33" s="6">
        <v>11</v>
      </c>
      <c r="BJ33" s="6">
        <v>34</v>
      </c>
      <c r="BK33" s="7">
        <v>4</v>
      </c>
      <c r="BM33" s="2">
        <v>28</v>
      </c>
      <c r="BN33" s="3">
        <v>1</v>
      </c>
      <c r="BO33" s="3">
        <v>2</v>
      </c>
      <c r="BP33" s="3">
        <v>4</v>
      </c>
      <c r="BQ33" s="3">
        <v>1</v>
      </c>
      <c r="BR33" s="3">
        <v>2</v>
      </c>
      <c r="BS33" s="3">
        <v>5</v>
      </c>
      <c r="BT33" s="3">
        <v>1</v>
      </c>
      <c r="BU33" s="3">
        <v>5</v>
      </c>
      <c r="BW33" s="2">
        <v>28</v>
      </c>
      <c r="BX33" s="3">
        <v>1</v>
      </c>
      <c r="BY33" s="3">
        <v>5</v>
      </c>
      <c r="BZ33" s="3">
        <v>1</v>
      </c>
      <c r="CA33" s="3">
        <v>2</v>
      </c>
      <c r="CB33" s="3">
        <v>1</v>
      </c>
      <c r="CC33" s="3">
        <v>4</v>
      </c>
      <c r="CD33" s="3">
        <v>2</v>
      </c>
      <c r="CE33" s="3">
        <v>5</v>
      </c>
      <c r="CF33" s="3">
        <v>1</v>
      </c>
      <c r="CG33" s="3">
        <v>5</v>
      </c>
      <c r="CH33" s="3">
        <f t="shared" si="1"/>
        <v>12.5</v>
      </c>
      <c r="CJ33" s="9">
        <v>28</v>
      </c>
      <c r="CK33" s="33">
        <v>0</v>
      </c>
      <c r="CL33" s="33">
        <v>0</v>
      </c>
      <c r="CM33" s="33">
        <v>0</v>
      </c>
      <c r="CN33" s="33">
        <v>0</v>
      </c>
      <c r="CO33" s="33">
        <v>0</v>
      </c>
      <c r="CP33" s="33">
        <v>0</v>
      </c>
      <c r="CQ33" s="33">
        <v>0</v>
      </c>
      <c r="CR33" s="34">
        <v>0</v>
      </c>
      <c r="CT33" s="9">
        <v>28</v>
      </c>
      <c r="CU33" s="6">
        <v>143</v>
      </c>
      <c r="CV33" s="6">
        <v>67</v>
      </c>
      <c r="CW33" s="6">
        <v>83</v>
      </c>
      <c r="CX33" s="6">
        <v>63</v>
      </c>
      <c r="CY33" s="6">
        <v>25</v>
      </c>
      <c r="CZ33" s="6">
        <v>61</v>
      </c>
      <c r="DA33" s="6">
        <v>73</v>
      </c>
      <c r="DB33" s="7">
        <v>90</v>
      </c>
      <c r="DD33" s="2">
        <v>28</v>
      </c>
      <c r="DE33" s="3">
        <v>4</v>
      </c>
      <c r="DF33" s="3">
        <v>4</v>
      </c>
      <c r="DG33" s="3">
        <v>3</v>
      </c>
      <c r="DH33" s="3">
        <v>1</v>
      </c>
      <c r="DI33" s="3">
        <v>5</v>
      </c>
      <c r="DJ33" s="3">
        <v>1</v>
      </c>
      <c r="DK33" s="3">
        <v>1</v>
      </c>
      <c r="DL33" s="3">
        <v>1</v>
      </c>
      <c r="DN33" s="2">
        <v>28</v>
      </c>
      <c r="DO33" s="3">
        <v>1</v>
      </c>
      <c r="DP33" s="3">
        <v>5</v>
      </c>
      <c r="DQ33" s="3">
        <v>1</v>
      </c>
      <c r="DR33" s="3">
        <v>4</v>
      </c>
      <c r="DS33" s="3">
        <v>1</v>
      </c>
      <c r="DT33" s="3">
        <v>4</v>
      </c>
      <c r="DU33" s="3">
        <v>1</v>
      </c>
      <c r="DV33" s="3">
        <v>5</v>
      </c>
      <c r="DW33" s="3">
        <v>1</v>
      </c>
      <c r="DX33" s="3">
        <v>5</v>
      </c>
      <c r="DY33" s="3">
        <f t="shared" si="2"/>
        <v>5</v>
      </c>
    </row>
    <row r="34" spans="2:129">
      <c r="B34" s="9">
        <v>29</v>
      </c>
      <c r="C34" s="33">
        <v>0.25</v>
      </c>
      <c r="D34" s="34"/>
      <c r="E34" s="33">
        <v>0.25</v>
      </c>
      <c r="F34" s="33">
        <v>0</v>
      </c>
      <c r="G34" s="33">
        <v>0</v>
      </c>
      <c r="H34" s="33">
        <v>1</v>
      </c>
      <c r="I34" s="33">
        <v>0.25</v>
      </c>
      <c r="J34" s="34"/>
      <c r="K34" s="102"/>
      <c r="L34" s="9">
        <v>29</v>
      </c>
      <c r="M34" s="6">
        <v>76</v>
      </c>
      <c r="N34" s="6"/>
      <c r="O34" s="6">
        <v>180</v>
      </c>
      <c r="P34" s="6">
        <v>104</v>
      </c>
      <c r="Q34" s="6">
        <v>143</v>
      </c>
      <c r="R34" s="6">
        <v>100</v>
      </c>
      <c r="S34" s="6">
        <v>55</v>
      </c>
      <c r="T34" s="7"/>
      <c r="V34" s="2">
        <v>29</v>
      </c>
      <c r="W34" s="3">
        <v>4</v>
      </c>
      <c r="X34" s="3"/>
      <c r="Y34" s="3">
        <v>3</v>
      </c>
      <c r="Z34" s="3">
        <v>4</v>
      </c>
      <c r="AA34" s="3">
        <v>1</v>
      </c>
      <c r="AB34" s="3">
        <v>4</v>
      </c>
      <c r="AC34" s="3">
        <v>4</v>
      </c>
      <c r="AD34" s="3"/>
      <c r="AF34" s="2">
        <v>29</v>
      </c>
      <c r="AG34" s="3">
        <v>4</v>
      </c>
      <c r="AH34" s="3">
        <v>2</v>
      </c>
      <c r="AI34" s="3">
        <v>4</v>
      </c>
      <c r="AJ34" s="3">
        <v>2</v>
      </c>
      <c r="AK34" s="3">
        <v>3</v>
      </c>
      <c r="AL34" s="3">
        <v>2</v>
      </c>
      <c r="AM34" s="3">
        <v>4</v>
      </c>
      <c r="AN34" s="3">
        <v>3</v>
      </c>
      <c r="AO34" s="3">
        <v>3</v>
      </c>
      <c r="AP34" s="3">
        <v>2</v>
      </c>
      <c r="AQ34" s="3">
        <f t="shared" si="0"/>
        <v>67.5</v>
      </c>
      <c r="AS34" s="9">
        <v>29</v>
      </c>
      <c r="AT34" s="33">
        <v>0.25</v>
      </c>
      <c r="AU34" s="33">
        <v>0.25</v>
      </c>
      <c r="AV34" s="33">
        <v>0.25</v>
      </c>
      <c r="AW34" s="33">
        <v>1</v>
      </c>
      <c r="AX34" s="33">
        <v>0.25</v>
      </c>
      <c r="AY34" s="33">
        <v>1</v>
      </c>
      <c r="AZ34" s="33">
        <v>1</v>
      </c>
      <c r="BA34" s="34">
        <v>1</v>
      </c>
      <c r="BC34" s="9">
        <v>29</v>
      </c>
      <c r="BD34" s="6">
        <v>256</v>
      </c>
      <c r="BE34" s="6">
        <v>138</v>
      </c>
      <c r="BF34" s="6">
        <v>102</v>
      </c>
      <c r="BG34" s="6">
        <v>43</v>
      </c>
      <c r="BH34" s="6">
        <v>56</v>
      </c>
      <c r="BI34" s="6">
        <v>24</v>
      </c>
      <c r="BJ34" s="6">
        <v>84</v>
      </c>
      <c r="BK34" s="7">
        <v>12</v>
      </c>
      <c r="BM34" s="2">
        <v>29</v>
      </c>
      <c r="BN34" s="3">
        <v>3</v>
      </c>
      <c r="BO34" s="3">
        <v>4</v>
      </c>
      <c r="BP34" s="3">
        <v>4</v>
      </c>
      <c r="BQ34" s="3">
        <v>1</v>
      </c>
      <c r="BR34" s="3">
        <v>4</v>
      </c>
      <c r="BS34" s="3">
        <v>2</v>
      </c>
      <c r="BT34" s="3">
        <v>4</v>
      </c>
      <c r="BU34" s="3">
        <v>5</v>
      </c>
      <c r="BW34" s="2">
        <v>29</v>
      </c>
      <c r="BX34" s="3">
        <v>4</v>
      </c>
      <c r="BY34" s="3">
        <v>3</v>
      </c>
      <c r="BZ34" s="3">
        <v>4</v>
      </c>
      <c r="CA34" s="3">
        <v>2</v>
      </c>
      <c r="CB34" s="3">
        <v>2</v>
      </c>
      <c r="CC34" s="3">
        <v>2</v>
      </c>
      <c r="CD34" s="3">
        <v>4</v>
      </c>
      <c r="CE34" s="3">
        <v>3</v>
      </c>
      <c r="CF34" s="3">
        <v>3</v>
      </c>
      <c r="CG34" s="3">
        <v>2</v>
      </c>
      <c r="CH34" s="3">
        <f t="shared" si="1"/>
        <v>62.5</v>
      </c>
      <c r="CJ34" s="9">
        <v>29</v>
      </c>
      <c r="CK34" s="33">
        <v>0</v>
      </c>
      <c r="CL34" s="33">
        <v>0.25</v>
      </c>
      <c r="CM34" s="33">
        <v>0.25</v>
      </c>
      <c r="CN34" s="33">
        <v>0</v>
      </c>
      <c r="CO34" s="33">
        <v>0</v>
      </c>
      <c r="CP34" s="33">
        <v>0</v>
      </c>
      <c r="CQ34" s="33">
        <v>0</v>
      </c>
      <c r="CR34" s="34">
        <v>1</v>
      </c>
      <c r="CT34" s="9">
        <v>29</v>
      </c>
      <c r="CU34" s="6">
        <v>300</v>
      </c>
      <c r="CV34" s="6">
        <v>180</v>
      </c>
      <c r="CW34" s="6">
        <v>180</v>
      </c>
      <c r="CX34" s="6">
        <v>120</v>
      </c>
      <c r="CY34" s="6">
        <v>180</v>
      </c>
      <c r="CZ34" s="6">
        <v>180</v>
      </c>
      <c r="DA34" s="6">
        <v>132</v>
      </c>
      <c r="DB34" s="7">
        <v>65</v>
      </c>
      <c r="DD34" s="2">
        <v>29</v>
      </c>
      <c r="DE34" s="3">
        <v>2</v>
      </c>
      <c r="DF34" s="3">
        <v>2</v>
      </c>
      <c r="DG34" s="3">
        <v>2</v>
      </c>
      <c r="DH34" s="3">
        <v>3</v>
      </c>
      <c r="DI34" s="3">
        <v>1</v>
      </c>
      <c r="DJ34" s="3">
        <v>2</v>
      </c>
      <c r="DK34" s="3">
        <v>4</v>
      </c>
      <c r="DL34" s="3">
        <v>5</v>
      </c>
      <c r="DN34" s="2">
        <v>29</v>
      </c>
      <c r="DO34" s="3">
        <v>4</v>
      </c>
      <c r="DP34" s="3">
        <v>3</v>
      </c>
      <c r="DQ34" s="3">
        <v>2</v>
      </c>
      <c r="DR34" s="3">
        <v>1</v>
      </c>
      <c r="DS34" s="3">
        <v>2</v>
      </c>
      <c r="DT34" s="3">
        <v>3</v>
      </c>
      <c r="DU34" s="3">
        <v>4</v>
      </c>
      <c r="DV34" s="3">
        <v>3</v>
      </c>
      <c r="DW34" s="3">
        <v>2</v>
      </c>
      <c r="DX34" s="3">
        <v>3</v>
      </c>
      <c r="DY34" s="3">
        <f t="shared" si="2"/>
        <v>52.5</v>
      </c>
    </row>
    <row r="35" spans="2:129">
      <c r="B35" s="9">
        <v>30</v>
      </c>
      <c r="C35" s="33">
        <v>1</v>
      </c>
      <c r="D35" s="34"/>
      <c r="E35" s="33">
        <v>1</v>
      </c>
      <c r="F35" s="33">
        <v>1</v>
      </c>
      <c r="G35" s="33">
        <v>0</v>
      </c>
      <c r="H35" s="33">
        <v>0</v>
      </c>
      <c r="I35" s="33">
        <v>1</v>
      </c>
      <c r="J35" s="34"/>
      <c r="K35" s="102"/>
      <c r="L35" s="9">
        <v>30</v>
      </c>
      <c r="M35" s="6">
        <v>79</v>
      </c>
      <c r="N35" s="6"/>
      <c r="O35" s="6">
        <v>65</v>
      </c>
      <c r="P35" s="6">
        <v>59</v>
      </c>
      <c r="Q35" s="6">
        <v>180</v>
      </c>
      <c r="R35" s="6">
        <v>34</v>
      </c>
      <c r="S35" s="6">
        <v>20</v>
      </c>
      <c r="T35" s="7"/>
      <c r="V35" s="2">
        <v>30</v>
      </c>
      <c r="W35" s="3">
        <v>4</v>
      </c>
      <c r="X35" s="3"/>
      <c r="Y35" s="3">
        <v>5</v>
      </c>
      <c r="Z35" s="3">
        <v>5</v>
      </c>
      <c r="AA35" s="3">
        <v>2</v>
      </c>
      <c r="AB35" s="3">
        <v>5</v>
      </c>
      <c r="AC35" s="3">
        <v>5</v>
      </c>
      <c r="AD35" s="3"/>
      <c r="AF35" s="2">
        <v>30</v>
      </c>
      <c r="AG35" s="3">
        <v>3</v>
      </c>
      <c r="AH35" s="3">
        <v>3</v>
      </c>
      <c r="AI35" s="3">
        <v>3</v>
      </c>
      <c r="AJ35" s="3">
        <v>2</v>
      </c>
      <c r="AK35" s="3">
        <v>2</v>
      </c>
      <c r="AL35" s="3">
        <v>4</v>
      </c>
      <c r="AM35" s="3">
        <v>2</v>
      </c>
      <c r="AN35" s="3">
        <v>4</v>
      </c>
      <c r="AO35" s="3">
        <v>2</v>
      </c>
      <c r="AP35" s="3">
        <v>4</v>
      </c>
      <c r="AQ35" s="3">
        <f t="shared" si="0"/>
        <v>37.5</v>
      </c>
      <c r="AS35" s="9">
        <v>30</v>
      </c>
      <c r="AT35" s="33">
        <v>0.25</v>
      </c>
      <c r="AU35" s="33">
        <v>0.25</v>
      </c>
      <c r="AV35" s="33">
        <v>0.25</v>
      </c>
      <c r="AW35" s="33">
        <v>1</v>
      </c>
      <c r="AX35" s="33">
        <v>1</v>
      </c>
      <c r="AY35" s="33">
        <v>1</v>
      </c>
      <c r="AZ35" s="33">
        <v>0</v>
      </c>
      <c r="BA35" s="34">
        <v>1</v>
      </c>
      <c r="BC35" s="9">
        <v>30</v>
      </c>
      <c r="BD35" s="6">
        <v>240</v>
      </c>
      <c r="BE35" s="6">
        <v>129</v>
      </c>
      <c r="BF35" s="6">
        <v>75</v>
      </c>
      <c r="BG35" s="6">
        <v>13</v>
      </c>
      <c r="BH35" s="6">
        <v>84</v>
      </c>
      <c r="BI35" s="6">
        <v>21</v>
      </c>
      <c r="BJ35" s="6">
        <v>71</v>
      </c>
      <c r="BK35" s="7">
        <v>69</v>
      </c>
      <c r="BM35" s="2">
        <v>30</v>
      </c>
      <c r="BN35" s="3">
        <v>4</v>
      </c>
      <c r="BO35" s="3">
        <v>4</v>
      </c>
      <c r="BP35" s="3">
        <v>4</v>
      </c>
      <c r="BQ35" s="3">
        <v>5</v>
      </c>
      <c r="BR35" s="3">
        <v>5</v>
      </c>
      <c r="BS35" s="3">
        <v>3</v>
      </c>
      <c r="BT35" s="3">
        <v>3</v>
      </c>
      <c r="BU35" s="3">
        <v>5</v>
      </c>
      <c r="BW35" s="2">
        <v>30</v>
      </c>
      <c r="BX35" s="3">
        <v>4</v>
      </c>
      <c r="BY35" s="3">
        <v>1</v>
      </c>
      <c r="BZ35" s="3">
        <v>4</v>
      </c>
      <c r="CA35" s="3">
        <v>1</v>
      </c>
      <c r="CB35" s="3">
        <v>4</v>
      </c>
      <c r="CC35" s="3">
        <v>1</v>
      </c>
      <c r="CD35" s="3">
        <v>3</v>
      </c>
      <c r="CE35" s="3">
        <v>2</v>
      </c>
      <c r="CF35" s="3">
        <v>4</v>
      </c>
      <c r="CG35" s="3">
        <v>2</v>
      </c>
      <c r="CH35" s="3">
        <f t="shared" si="1"/>
        <v>80</v>
      </c>
      <c r="CJ35" s="9">
        <v>30</v>
      </c>
      <c r="CK35" s="33">
        <v>0</v>
      </c>
      <c r="CL35" s="33">
        <v>0</v>
      </c>
      <c r="CM35" s="33">
        <v>0</v>
      </c>
      <c r="CN35" s="33">
        <v>1</v>
      </c>
      <c r="CO35" s="33">
        <v>0.25</v>
      </c>
      <c r="CP35" s="33">
        <v>1</v>
      </c>
      <c r="CQ35" s="33">
        <v>1</v>
      </c>
      <c r="CR35" s="34">
        <v>1</v>
      </c>
      <c r="CT35" s="9">
        <v>30</v>
      </c>
      <c r="CU35" s="6">
        <v>300</v>
      </c>
      <c r="CV35" s="6">
        <v>67</v>
      </c>
      <c r="CW35" s="6">
        <v>178</v>
      </c>
      <c r="CX35" s="6">
        <v>29</v>
      </c>
      <c r="CY35" s="6">
        <v>40</v>
      </c>
      <c r="CZ35" s="6">
        <v>82</v>
      </c>
      <c r="DA35" s="6">
        <v>34</v>
      </c>
      <c r="DB35" s="7">
        <v>33</v>
      </c>
      <c r="DD35" s="2">
        <v>30</v>
      </c>
      <c r="DE35" s="3">
        <v>1</v>
      </c>
      <c r="DF35" s="3">
        <v>2</v>
      </c>
      <c r="DG35" s="3">
        <v>3</v>
      </c>
      <c r="DH35" s="3">
        <v>5</v>
      </c>
      <c r="DI35" s="3">
        <v>5</v>
      </c>
      <c r="DJ35" s="3">
        <v>5</v>
      </c>
      <c r="DK35" s="3">
        <v>5</v>
      </c>
      <c r="DL35" s="3">
        <v>5</v>
      </c>
      <c r="DN35" s="2">
        <v>30</v>
      </c>
      <c r="DO35" s="3">
        <v>5</v>
      </c>
      <c r="DP35" s="3">
        <v>2</v>
      </c>
      <c r="DQ35" s="3">
        <v>3</v>
      </c>
      <c r="DR35" s="3">
        <v>5</v>
      </c>
      <c r="DS35" s="3">
        <v>2</v>
      </c>
      <c r="DT35" s="3">
        <v>4</v>
      </c>
      <c r="DU35" s="3">
        <v>4</v>
      </c>
      <c r="DV35" s="3">
        <v>2</v>
      </c>
      <c r="DW35" s="3">
        <v>3</v>
      </c>
      <c r="DX35" s="3">
        <v>3</v>
      </c>
      <c r="DY35" s="3">
        <f t="shared" si="2"/>
        <v>52.5</v>
      </c>
    </row>
    <row r="36" spans="2:129">
      <c r="B36" s="9">
        <v>31</v>
      </c>
      <c r="C36" s="33">
        <v>0.25</v>
      </c>
      <c r="D36" s="34"/>
      <c r="E36" s="33">
        <v>1</v>
      </c>
      <c r="F36" s="33">
        <v>0</v>
      </c>
      <c r="G36" s="33">
        <v>0</v>
      </c>
      <c r="H36" s="33">
        <v>1</v>
      </c>
      <c r="I36" s="33">
        <v>0</v>
      </c>
      <c r="J36" s="34"/>
      <c r="K36" s="102"/>
      <c r="L36" s="9">
        <v>31</v>
      </c>
      <c r="M36" s="6">
        <v>120</v>
      </c>
      <c r="N36" s="6"/>
      <c r="O36" s="6">
        <v>172</v>
      </c>
      <c r="P36" s="6">
        <v>300</v>
      </c>
      <c r="Q36" s="6">
        <v>134</v>
      </c>
      <c r="R36" s="6">
        <v>115</v>
      </c>
      <c r="S36" s="6">
        <v>110</v>
      </c>
      <c r="T36" s="7"/>
      <c r="V36" s="2">
        <v>31</v>
      </c>
      <c r="W36" s="3">
        <v>4</v>
      </c>
      <c r="X36" s="3"/>
      <c r="Y36" s="3">
        <v>3</v>
      </c>
      <c r="Z36" s="3">
        <v>1</v>
      </c>
      <c r="AA36" s="3">
        <v>3</v>
      </c>
      <c r="AB36" s="3">
        <v>4</v>
      </c>
      <c r="AC36" s="3">
        <v>3</v>
      </c>
      <c r="AD36" s="3"/>
      <c r="AF36" s="2">
        <v>31</v>
      </c>
      <c r="AG36" s="3">
        <v>3</v>
      </c>
      <c r="AH36" s="3">
        <v>3</v>
      </c>
      <c r="AI36" s="3">
        <v>3</v>
      </c>
      <c r="AJ36" s="3">
        <v>2</v>
      </c>
      <c r="AK36" s="3">
        <v>4</v>
      </c>
      <c r="AL36" s="3">
        <v>3</v>
      </c>
      <c r="AM36" s="3">
        <v>3</v>
      </c>
      <c r="AN36" s="3">
        <v>3</v>
      </c>
      <c r="AO36" s="3">
        <v>2</v>
      </c>
      <c r="AP36" s="3">
        <v>3</v>
      </c>
      <c r="AQ36" s="3">
        <f t="shared" si="0"/>
        <v>52.5</v>
      </c>
      <c r="AS36" s="9">
        <v>31</v>
      </c>
      <c r="AT36" s="33">
        <v>0</v>
      </c>
      <c r="AU36" s="33">
        <v>0</v>
      </c>
      <c r="AV36" s="33">
        <v>0</v>
      </c>
      <c r="AW36" s="33">
        <v>0</v>
      </c>
      <c r="AX36" s="33">
        <v>1</v>
      </c>
      <c r="AY36" s="33">
        <v>1</v>
      </c>
      <c r="AZ36" s="33">
        <v>0</v>
      </c>
      <c r="BA36" s="34">
        <v>1</v>
      </c>
      <c r="BC36" s="9">
        <v>31</v>
      </c>
      <c r="BD36" s="6">
        <v>300</v>
      </c>
      <c r="BE36" s="6">
        <v>180</v>
      </c>
      <c r="BF36" s="6">
        <v>180</v>
      </c>
      <c r="BG36" s="6">
        <v>139</v>
      </c>
      <c r="BH36" s="6">
        <v>300</v>
      </c>
      <c r="BI36" s="6">
        <v>300</v>
      </c>
      <c r="BJ36" s="6">
        <v>162</v>
      </c>
      <c r="BK36" s="7">
        <v>24</v>
      </c>
      <c r="BM36" s="2">
        <v>31</v>
      </c>
      <c r="BN36" s="3">
        <v>1</v>
      </c>
      <c r="BO36" s="3">
        <v>1</v>
      </c>
      <c r="BP36" s="3">
        <v>1</v>
      </c>
      <c r="BQ36" s="3">
        <v>1</v>
      </c>
      <c r="BR36" s="3">
        <v>2</v>
      </c>
      <c r="BS36" s="3">
        <v>1</v>
      </c>
      <c r="BT36" s="3">
        <v>1</v>
      </c>
      <c r="BU36" s="3">
        <v>3</v>
      </c>
      <c r="BW36" s="2">
        <v>31</v>
      </c>
      <c r="BX36" s="3">
        <v>1</v>
      </c>
      <c r="BY36" s="3">
        <v>1</v>
      </c>
      <c r="BZ36" s="3">
        <v>1</v>
      </c>
      <c r="CA36" s="3">
        <v>4</v>
      </c>
      <c r="CB36" s="3">
        <v>1</v>
      </c>
      <c r="CC36" s="3">
        <v>4</v>
      </c>
      <c r="CD36" s="3">
        <v>2</v>
      </c>
      <c r="CE36" s="3">
        <v>4</v>
      </c>
      <c r="CF36" s="3">
        <v>1</v>
      </c>
      <c r="CG36" s="3">
        <v>4</v>
      </c>
      <c r="CH36" s="3">
        <f t="shared" si="1"/>
        <v>22.5</v>
      </c>
      <c r="CJ36" s="9">
        <v>31</v>
      </c>
      <c r="CK36" s="33">
        <v>0</v>
      </c>
      <c r="CL36" s="33">
        <v>0</v>
      </c>
      <c r="CM36" s="33">
        <v>0</v>
      </c>
      <c r="CN36" s="33">
        <v>0</v>
      </c>
      <c r="CO36" s="33">
        <v>0.25</v>
      </c>
      <c r="CP36" s="33">
        <v>0</v>
      </c>
      <c r="CQ36" s="33">
        <v>0</v>
      </c>
      <c r="CR36" s="34">
        <v>1</v>
      </c>
      <c r="CT36" s="9">
        <v>31</v>
      </c>
      <c r="CU36" s="6">
        <v>300</v>
      </c>
      <c r="CV36" s="6">
        <v>110</v>
      </c>
      <c r="CW36" s="6">
        <v>84</v>
      </c>
      <c r="CX36" s="6">
        <v>180</v>
      </c>
      <c r="CY36" s="6">
        <v>61</v>
      </c>
      <c r="CZ36" s="6">
        <v>180</v>
      </c>
      <c r="DA36" s="6">
        <v>180</v>
      </c>
      <c r="DB36" s="7">
        <v>50</v>
      </c>
      <c r="DD36" s="2">
        <v>31</v>
      </c>
      <c r="DE36" s="3">
        <v>3</v>
      </c>
      <c r="DF36" s="3">
        <v>3</v>
      </c>
      <c r="DG36" s="3">
        <v>4</v>
      </c>
      <c r="DH36" s="3">
        <v>1</v>
      </c>
      <c r="DI36" s="3">
        <v>3</v>
      </c>
      <c r="DJ36" s="3">
        <v>2</v>
      </c>
      <c r="DK36" s="3">
        <v>1</v>
      </c>
      <c r="DL36" s="3">
        <v>4</v>
      </c>
      <c r="DN36" s="2">
        <v>31</v>
      </c>
      <c r="DO36" s="3">
        <v>4</v>
      </c>
      <c r="DP36" s="3">
        <v>3</v>
      </c>
      <c r="DQ36" s="3">
        <v>3</v>
      </c>
      <c r="DR36" s="3">
        <v>3</v>
      </c>
      <c r="DS36" s="3">
        <v>4</v>
      </c>
      <c r="DT36" s="3">
        <v>3</v>
      </c>
      <c r="DU36" s="3">
        <v>4</v>
      </c>
      <c r="DV36" s="3">
        <v>3</v>
      </c>
      <c r="DW36" s="3">
        <v>3</v>
      </c>
      <c r="DX36" s="3">
        <v>3</v>
      </c>
      <c r="DY36" s="3">
        <f t="shared" si="2"/>
        <v>57.5</v>
      </c>
    </row>
    <row r="37" spans="2:129">
      <c r="B37" s="9">
        <v>32</v>
      </c>
      <c r="C37" s="33">
        <v>0</v>
      </c>
      <c r="D37" s="34"/>
      <c r="E37" s="33">
        <v>0</v>
      </c>
      <c r="F37" s="33">
        <v>0</v>
      </c>
      <c r="G37" s="33">
        <v>1</v>
      </c>
      <c r="H37" s="33">
        <v>1</v>
      </c>
      <c r="I37" s="33">
        <v>0</v>
      </c>
      <c r="J37" s="34"/>
      <c r="K37" s="102"/>
      <c r="L37" s="9">
        <v>32</v>
      </c>
      <c r="M37" s="6">
        <v>300</v>
      </c>
      <c r="N37" s="6"/>
      <c r="O37" s="6">
        <v>180</v>
      </c>
      <c r="P37" s="6">
        <v>180</v>
      </c>
      <c r="Q37" s="6">
        <v>110</v>
      </c>
      <c r="R37" s="6">
        <v>129</v>
      </c>
      <c r="S37" s="6">
        <v>63</v>
      </c>
      <c r="T37" s="7"/>
      <c r="V37" s="2">
        <v>32</v>
      </c>
      <c r="W37" s="3">
        <v>1</v>
      </c>
      <c r="X37" s="3"/>
      <c r="Y37" s="3">
        <v>2</v>
      </c>
      <c r="Z37" s="3">
        <v>1</v>
      </c>
      <c r="AA37" s="3">
        <v>4</v>
      </c>
      <c r="AB37" s="3">
        <v>4</v>
      </c>
      <c r="AC37" s="3">
        <v>4</v>
      </c>
      <c r="AD37" s="3"/>
      <c r="AF37" s="2">
        <v>32</v>
      </c>
      <c r="AG37" s="3">
        <v>2</v>
      </c>
      <c r="AH37" s="3">
        <v>4</v>
      </c>
      <c r="AI37" s="3">
        <v>2</v>
      </c>
      <c r="AJ37" s="3">
        <v>4</v>
      </c>
      <c r="AK37" s="3">
        <v>2</v>
      </c>
      <c r="AL37" s="3">
        <v>4</v>
      </c>
      <c r="AM37" s="3">
        <v>4</v>
      </c>
      <c r="AN37" s="3">
        <v>3</v>
      </c>
      <c r="AO37" s="3">
        <v>2</v>
      </c>
      <c r="AP37" s="3">
        <v>5</v>
      </c>
      <c r="AQ37" s="3">
        <f t="shared" si="0"/>
        <v>30</v>
      </c>
      <c r="AS37" s="9">
        <v>32</v>
      </c>
      <c r="AT37" s="33">
        <v>0</v>
      </c>
      <c r="AU37" s="33">
        <v>0</v>
      </c>
      <c r="AV37" s="33">
        <v>0</v>
      </c>
      <c r="AW37" s="33">
        <v>1</v>
      </c>
      <c r="AX37" s="36">
        <v>0.25</v>
      </c>
      <c r="AY37" s="33">
        <v>0</v>
      </c>
      <c r="AZ37" s="33">
        <v>0</v>
      </c>
      <c r="BA37" s="34">
        <v>1</v>
      </c>
      <c r="BC37" s="9">
        <v>32</v>
      </c>
      <c r="BD37" s="6">
        <v>185</v>
      </c>
      <c r="BE37" s="6">
        <v>152</v>
      </c>
      <c r="BF37" s="6">
        <v>120</v>
      </c>
      <c r="BG37" s="6">
        <v>46</v>
      </c>
      <c r="BH37" s="6">
        <v>251</v>
      </c>
      <c r="BI37" s="6">
        <v>22</v>
      </c>
      <c r="BJ37" s="6">
        <v>180</v>
      </c>
      <c r="BK37" s="7">
        <v>31</v>
      </c>
      <c r="BM37" s="2">
        <v>32</v>
      </c>
      <c r="BN37" s="3">
        <v>1</v>
      </c>
      <c r="BO37" s="3">
        <v>5</v>
      </c>
      <c r="BP37" s="3">
        <v>1</v>
      </c>
      <c r="BQ37" s="3">
        <v>4</v>
      </c>
      <c r="BR37" s="3">
        <v>3</v>
      </c>
      <c r="BS37" s="3">
        <v>4</v>
      </c>
      <c r="BT37" s="3">
        <v>3</v>
      </c>
      <c r="BU37" s="3">
        <v>5</v>
      </c>
      <c r="BW37" s="2">
        <v>32</v>
      </c>
      <c r="BX37" s="3">
        <v>4</v>
      </c>
      <c r="BY37" s="3">
        <v>3</v>
      </c>
      <c r="BZ37" s="3">
        <v>4</v>
      </c>
      <c r="CA37" s="3">
        <v>5</v>
      </c>
      <c r="CB37" s="3">
        <v>4</v>
      </c>
      <c r="CC37" s="3">
        <v>3</v>
      </c>
      <c r="CD37" s="3">
        <v>5</v>
      </c>
      <c r="CE37" s="3">
        <v>3</v>
      </c>
      <c r="CF37" s="3">
        <v>3</v>
      </c>
      <c r="CG37" s="3">
        <v>5</v>
      </c>
      <c r="CH37" s="3">
        <f t="shared" si="1"/>
        <v>52.5</v>
      </c>
      <c r="CJ37" s="9">
        <v>32</v>
      </c>
      <c r="CK37" s="33">
        <v>0</v>
      </c>
      <c r="CL37" s="33">
        <v>0</v>
      </c>
      <c r="CM37" s="33">
        <v>0</v>
      </c>
      <c r="CN37" s="33">
        <v>0</v>
      </c>
      <c r="CO37" s="33">
        <v>0.25</v>
      </c>
      <c r="CP37" s="33">
        <v>0</v>
      </c>
      <c r="CQ37" s="33">
        <v>0</v>
      </c>
      <c r="CR37" s="34">
        <v>1</v>
      </c>
      <c r="CT37" s="9">
        <v>32</v>
      </c>
      <c r="CU37" s="6">
        <v>282</v>
      </c>
      <c r="CV37" s="6">
        <v>180</v>
      </c>
      <c r="CW37" s="6">
        <v>150</v>
      </c>
      <c r="CX37" s="6">
        <v>106</v>
      </c>
      <c r="CY37" s="6">
        <v>167</v>
      </c>
      <c r="CZ37" s="6">
        <v>180</v>
      </c>
      <c r="DA37" s="6">
        <v>80</v>
      </c>
      <c r="DB37" s="7">
        <v>32</v>
      </c>
      <c r="DD37" s="2">
        <v>32</v>
      </c>
      <c r="DE37" s="3">
        <v>4</v>
      </c>
      <c r="DF37" s="3">
        <v>4</v>
      </c>
      <c r="DG37" s="3">
        <v>4</v>
      </c>
      <c r="DH37" s="3">
        <v>3</v>
      </c>
      <c r="DI37" s="3">
        <v>5</v>
      </c>
      <c r="DJ37" s="3">
        <v>3</v>
      </c>
      <c r="DK37" s="3">
        <v>4</v>
      </c>
      <c r="DL37" s="3">
        <v>5</v>
      </c>
      <c r="DN37" s="2">
        <v>32</v>
      </c>
      <c r="DO37" s="3">
        <v>4</v>
      </c>
      <c r="DP37" s="3">
        <v>2</v>
      </c>
      <c r="DQ37" s="3">
        <v>4</v>
      </c>
      <c r="DR37" s="3">
        <v>4</v>
      </c>
      <c r="DS37" s="3">
        <v>3</v>
      </c>
      <c r="DT37" s="3">
        <v>3</v>
      </c>
      <c r="DU37" s="3">
        <v>5</v>
      </c>
      <c r="DV37" s="3">
        <v>3</v>
      </c>
      <c r="DW37" s="3">
        <v>2</v>
      </c>
      <c r="DX37" s="3">
        <v>4</v>
      </c>
      <c r="DY37" s="3">
        <f t="shared" si="2"/>
        <v>55</v>
      </c>
    </row>
    <row r="38" spans="2:129">
      <c r="B38" s="9">
        <v>33</v>
      </c>
      <c r="C38" s="33">
        <v>0.25</v>
      </c>
      <c r="D38" s="34"/>
      <c r="E38" s="33">
        <v>0</v>
      </c>
      <c r="F38" s="33">
        <v>0</v>
      </c>
      <c r="G38" s="33">
        <v>0</v>
      </c>
      <c r="H38" s="33">
        <v>1</v>
      </c>
      <c r="I38" s="33">
        <v>0</v>
      </c>
      <c r="J38" s="34"/>
      <c r="K38" s="102"/>
      <c r="L38" s="9">
        <v>33</v>
      </c>
      <c r="M38" s="6">
        <v>300</v>
      </c>
      <c r="N38" s="6"/>
      <c r="O38" s="6">
        <v>73</v>
      </c>
      <c r="P38" s="6">
        <v>82</v>
      </c>
      <c r="Q38" s="6">
        <v>93</v>
      </c>
      <c r="R38" s="6">
        <v>6</v>
      </c>
      <c r="S38" s="6">
        <v>13</v>
      </c>
      <c r="T38" s="7"/>
      <c r="V38" s="2">
        <v>33</v>
      </c>
      <c r="W38" s="3">
        <v>4</v>
      </c>
      <c r="X38" s="3"/>
      <c r="Y38" s="3">
        <v>5</v>
      </c>
      <c r="Z38" s="3">
        <v>5</v>
      </c>
      <c r="AA38" s="3">
        <v>4</v>
      </c>
      <c r="AB38" s="3">
        <v>5</v>
      </c>
      <c r="AC38" s="3">
        <v>5</v>
      </c>
      <c r="AD38" s="3"/>
      <c r="AF38" s="2">
        <v>33</v>
      </c>
      <c r="AG38" s="3">
        <v>5</v>
      </c>
      <c r="AH38" s="3">
        <v>2</v>
      </c>
      <c r="AI38" s="3">
        <v>5</v>
      </c>
      <c r="AJ38" s="3">
        <v>3</v>
      </c>
      <c r="AK38" s="3">
        <v>4</v>
      </c>
      <c r="AL38" s="3">
        <v>2</v>
      </c>
      <c r="AM38" s="3">
        <v>5</v>
      </c>
      <c r="AN38" s="3">
        <v>2</v>
      </c>
      <c r="AO38" s="3">
        <v>4</v>
      </c>
      <c r="AP38" s="3">
        <v>2</v>
      </c>
      <c r="AQ38" s="3">
        <f t="shared" si="0"/>
        <v>80</v>
      </c>
      <c r="AS38" s="9">
        <v>33</v>
      </c>
      <c r="AT38" s="33">
        <v>0</v>
      </c>
      <c r="AU38" s="33">
        <v>0</v>
      </c>
      <c r="AV38" s="33">
        <v>0</v>
      </c>
      <c r="AW38" s="33">
        <v>1</v>
      </c>
      <c r="AX38" s="33">
        <v>0.25</v>
      </c>
      <c r="AY38" s="33">
        <v>0</v>
      </c>
      <c r="AZ38" s="33">
        <v>0</v>
      </c>
      <c r="BA38" s="34">
        <v>1</v>
      </c>
      <c r="BC38" s="9">
        <v>33</v>
      </c>
      <c r="BD38" s="6">
        <v>161</v>
      </c>
      <c r="BE38" s="6">
        <v>180</v>
      </c>
      <c r="BF38" s="6">
        <v>180</v>
      </c>
      <c r="BG38" s="6">
        <v>67</v>
      </c>
      <c r="BH38" s="6">
        <v>180</v>
      </c>
      <c r="BI38" s="6">
        <v>5</v>
      </c>
      <c r="BJ38" s="6">
        <v>13</v>
      </c>
      <c r="BK38" s="7">
        <v>10</v>
      </c>
      <c r="BM38" s="2">
        <v>33</v>
      </c>
      <c r="BN38" s="3">
        <v>1</v>
      </c>
      <c r="BO38" s="3">
        <v>3</v>
      </c>
      <c r="BP38" s="3">
        <v>3</v>
      </c>
      <c r="BQ38" s="3">
        <v>2</v>
      </c>
      <c r="BR38" s="3">
        <v>3</v>
      </c>
      <c r="BS38" s="3">
        <v>5</v>
      </c>
      <c r="BT38" s="3">
        <v>5</v>
      </c>
      <c r="BU38" s="3">
        <v>5</v>
      </c>
      <c r="BW38" s="2">
        <v>33</v>
      </c>
      <c r="BX38" s="3">
        <v>2</v>
      </c>
      <c r="BY38" s="3">
        <v>4</v>
      </c>
      <c r="BZ38" s="3">
        <v>3</v>
      </c>
      <c r="CA38" s="3">
        <v>5</v>
      </c>
      <c r="CB38" s="3">
        <v>3</v>
      </c>
      <c r="CC38" s="3">
        <v>4</v>
      </c>
      <c r="CD38" s="3">
        <v>3</v>
      </c>
      <c r="CE38" s="3">
        <v>3</v>
      </c>
      <c r="CF38" s="3">
        <v>2</v>
      </c>
      <c r="CG38" s="3">
        <v>5</v>
      </c>
      <c r="CH38" s="3">
        <f t="shared" si="1"/>
        <v>30</v>
      </c>
      <c r="CJ38" s="9">
        <v>33</v>
      </c>
      <c r="CK38" s="33">
        <v>0</v>
      </c>
      <c r="CL38" s="33">
        <v>0</v>
      </c>
      <c r="CM38" s="33">
        <v>0</v>
      </c>
      <c r="CN38" s="33">
        <v>0</v>
      </c>
      <c r="CO38" s="33">
        <v>0.25</v>
      </c>
      <c r="CP38" s="33">
        <v>0</v>
      </c>
      <c r="CQ38" s="33">
        <v>0</v>
      </c>
      <c r="CR38" s="34">
        <v>1</v>
      </c>
      <c r="CT38" s="9">
        <v>33</v>
      </c>
      <c r="CU38" s="6">
        <v>300</v>
      </c>
      <c r="CV38" s="6">
        <v>117</v>
      </c>
      <c r="CW38" s="6">
        <v>145</v>
      </c>
      <c r="CX38" s="6">
        <v>144</v>
      </c>
      <c r="CY38" s="6">
        <v>96</v>
      </c>
      <c r="CZ38" s="6">
        <v>98</v>
      </c>
      <c r="DA38" s="6">
        <v>74</v>
      </c>
      <c r="DB38" s="7">
        <v>71</v>
      </c>
      <c r="DD38" s="2">
        <v>33</v>
      </c>
      <c r="DE38" s="3">
        <v>3</v>
      </c>
      <c r="DF38" s="3">
        <v>4</v>
      </c>
      <c r="DG38" s="3">
        <v>4</v>
      </c>
      <c r="DH38" s="3">
        <v>2</v>
      </c>
      <c r="DI38" s="3">
        <v>4</v>
      </c>
      <c r="DJ38" s="3">
        <v>3</v>
      </c>
      <c r="DK38" s="3">
        <v>1</v>
      </c>
      <c r="DL38" s="3">
        <v>3</v>
      </c>
      <c r="DN38" s="2">
        <v>33</v>
      </c>
      <c r="DO38" s="3">
        <v>2</v>
      </c>
      <c r="DP38" s="3">
        <v>3</v>
      </c>
      <c r="DQ38" s="3">
        <v>3</v>
      </c>
      <c r="DR38" s="3">
        <v>5</v>
      </c>
      <c r="DS38" s="3">
        <v>3</v>
      </c>
      <c r="DT38" s="3">
        <v>3</v>
      </c>
      <c r="DU38" s="3">
        <v>2</v>
      </c>
      <c r="DV38" s="3">
        <v>3</v>
      </c>
      <c r="DW38" s="3">
        <v>2</v>
      </c>
      <c r="DX38" s="3">
        <v>5</v>
      </c>
      <c r="DY38" s="3">
        <f t="shared" si="2"/>
        <v>32.5</v>
      </c>
    </row>
    <row r="39" spans="2:129">
      <c r="B39" s="9">
        <v>34</v>
      </c>
      <c r="C39" s="33">
        <v>1</v>
      </c>
      <c r="D39" s="34"/>
      <c r="E39" s="33">
        <v>1</v>
      </c>
      <c r="F39" s="33">
        <v>0</v>
      </c>
      <c r="G39" s="33">
        <v>0</v>
      </c>
      <c r="H39" s="33">
        <v>1</v>
      </c>
      <c r="I39" s="33">
        <v>0.25</v>
      </c>
      <c r="J39" s="34"/>
      <c r="K39" s="102"/>
      <c r="L39" s="9">
        <v>34</v>
      </c>
      <c r="M39" s="6">
        <v>79</v>
      </c>
      <c r="N39" s="6"/>
      <c r="O39" s="6">
        <v>64</v>
      </c>
      <c r="P39" s="6">
        <v>16</v>
      </c>
      <c r="Q39" s="6">
        <v>180</v>
      </c>
      <c r="R39" s="6">
        <v>9</v>
      </c>
      <c r="S39" s="6">
        <v>16</v>
      </c>
      <c r="T39" s="7"/>
      <c r="V39" s="2">
        <v>34</v>
      </c>
      <c r="W39" s="3">
        <v>5</v>
      </c>
      <c r="X39" s="3"/>
      <c r="Y39" s="3">
        <v>4</v>
      </c>
      <c r="Z39" s="3">
        <v>4</v>
      </c>
      <c r="AA39" s="3">
        <v>1</v>
      </c>
      <c r="AB39" s="3">
        <v>4</v>
      </c>
      <c r="AC39" s="3">
        <v>4</v>
      </c>
      <c r="AD39" s="3"/>
      <c r="AF39" s="2">
        <v>34</v>
      </c>
      <c r="AG39" s="3">
        <v>5</v>
      </c>
      <c r="AH39" s="3">
        <v>1</v>
      </c>
      <c r="AI39" s="3">
        <v>5</v>
      </c>
      <c r="AJ39" s="3">
        <v>2</v>
      </c>
      <c r="AK39" s="3">
        <v>5</v>
      </c>
      <c r="AL39" s="3">
        <v>1</v>
      </c>
      <c r="AM39" s="3">
        <v>5</v>
      </c>
      <c r="AN39" s="3">
        <v>1</v>
      </c>
      <c r="AO39" s="3">
        <v>5</v>
      </c>
      <c r="AP39" s="3">
        <v>2</v>
      </c>
      <c r="AQ39" s="3">
        <f t="shared" si="0"/>
        <v>95</v>
      </c>
      <c r="AS39" s="9">
        <v>34</v>
      </c>
      <c r="AT39" s="33">
        <v>0.25</v>
      </c>
      <c r="AU39" s="33">
        <v>0.25</v>
      </c>
      <c r="AV39" s="33">
        <v>1</v>
      </c>
      <c r="AW39" s="33">
        <v>1</v>
      </c>
      <c r="AX39" s="33">
        <v>1</v>
      </c>
      <c r="AY39" s="33">
        <v>1</v>
      </c>
      <c r="AZ39" s="33">
        <v>1</v>
      </c>
      <c r="BA39" s="34">
        <v>1</v>
      </c>
      <c r="BC39" s="9">
        <v>34</v>
      </c>
      <c r="BD39" s="6">
        <v>300</v>
      </c>
      <c r="BE39" s="6">
        <v>146</v>
      </c>
      <c r="BF39" s="6">
        <v>180</v>
      </c>
      <c r="BG39" s="6">
        <v>88</v>
      </c>
      <c r="BH39" s="6">
        <v>178</v>
      </c>
      <c r="BI39" s="6">
        <v>36</v>
      </c>
      <c r="BJ39" s="6">
        <v>113</v>
      </c>
      <c r="BK39" s="7">
        <v>11</v>
      </c>
      <c r="BM39" s="2">
        <v>34</v>
      </c>
      <c r="BN39" s="3">
        <v>2</v>
      </c>
      <c r="BO39" s="3">
        <v>4</v>
      </c>
      <c r="BP39" s="3">
        <v>3</v>
      </c>
      <c r="BQ39" s="3">
        <v>1</v>
      </c>
      <c r="BR39" s="3">
        <v>4</v>
      </c>
      <c r="BS39" s="3">
        <v>4</v>
      </c>
      <c r="BT39" s="3">
        <v>4</v>
      </c>
      <c r="BU39" s="3">
        <v>5</v>
      </c>
      <c r="BW39" s="2">
        <v>34</v>
      </c>
      <c r="BX39" s="3">
        <v>3</v>
      </c>
      <c r="BY39" s="3">
        <v>4</v>
      </c>
      <c r="BZ39" s="3">
        <v>2</v>
      </c>
      <c r="CA39">
        <v>2</v>
      </c>
      <c r="CB39" s="3">
        <v>2</v>
      </c>
      <c r="CC39" s="3">
        <v>3</v>
      </c>
      <c r="CD39" s="3">
        <v>2</v>
      </c>
      <c r="CE39" s="3">
        <v>3</v>
      </c>
      <c r="CF39" s="3">
        <v>3</v>
      </c>
      <c r="CG39" s="3">
        <v>4</v>
      </c>
      <c r="CH39" s="3">
        <f t="shared" si="1"/>
        <v>40</v>
      </c>
      <c r="CJ39" s="9">
        <v>34</v>
      </c>
      <c r="CK39" s="33">
        <v>0.25</v>
      </c>
      <c r="CL39" s="33">
        <v>0</v>
      </c>
      <c r="CM39" s="33">
        <v>0</v>
      </c>
      <c r="CN39" s="33">
        <v>1</v>
      </c>
      <c r="CO39" s="33">
        <v>0</v>
      </c>
      <c r="CP39" s="33">
        <v>0</v>
      </c>
      <c r="CQ39" s="33">
        <v>1</v>
      </c>
      <c r="CR39" s="34">
        <v>0.25</v>
      </c>
      <c r="CT39" s="9">
        <v>34</v>
      </c>
      <c r="CU39" s="6">
        <v>300</v>
      </c>
      <c r="CV39" s="6">
        <v>180</v>
      </c>
      <c r="CW39" s="6">
        <v>180</v>
      </c>
      <c r="CX39" s="6">
        <v>180</v>
      </c>
      <c r="CY39" s="6">
        <v>180</v>
      </c>
      <c r="CZ39" s="6">
        <v>180</v>
      </c>
      <c r="DA39" s="6">
        <v>64</v>
      </c>
      <c r="DB39" s="7">
        <v>180</v>
      </c>
      <c r="DD39" s="2">
        <v>34</v>
      </c>
      <c r="DE39" s="3">
        <v>2</v>
      </c>
      <c r="DF39" s="3">
        <v>1</v>
      </c>
      <c r="DG39" s="3">
        <v>1</v>
      </c>
      <c r="DH39" s="3">
        <v>2</v>
      </c>
      <c r="DI39" s="3">
        <v>1</v>
      </c>
      <c r="DJ39" s="3">
        <v>1</v>
      </c>
      <c r="DK39" s="3">
        <v>4</v>
      </c>
      <c r="DL39" s="3">
        <v>1</v>
      </c>
      <c r="DN39" s="2">
        <v>34</v>
      </c>
      <c r="DO39" s="3">
        <v>1</v>
      </c>
      <c r="DP39" s="3">
        <v>5</v>
      </c>
      <c r="DQ39" s="3">
        <v>1</v>
      </c>
      <c r="DR39" s="3">
        <v>5</v>
      </c>
      <c r="DS39" s="3">
        <v>1</v>
      </c>
      <c r="DT39" s="3">
        <v>5</v>
      </c>
      <c r="DU39" s="3">
        <v>1</v>
      </c>
      <c r="DV39" s="3">
        <v>5</v>
      </c>
      <c r="DW39" s="3">
        <v>1</v>
      </c>
      <c r="DX39" s="3">
        <v>5</v>
      </c>
      <c r="DY39" s="3">
        <f t="shared" si="2"/>
        <v>0</v>
      </c>
    </row>
    <row r="40" spans="2:129">
      <c r="B40" s="9">
        <v>35</v>
      </c>
      <c r="C40" s="33">
        <v>0</v>
      </c>
      <c r="D40" s="34"/>
      <c r="E40" s="33">
        <v>0</v>
      </c>
      <c r="F40" s="33">
        <v>1</v>
      </c>
      <c r="G40" s="33">
        <v>1</v>
      </c>
      <c r="H40" s="33">
        <v>1</v>
      </c>
      <c r="I40" s="33">
        <v>1</v>
      </c>
      <c r="J40" s="34"/>
      <c r="K40" s="102"/>
      <c r="L40" s="9">
        <v>35</v>
      </c>
      <c r="M40" s="6">
        <v>300</v>
      </c>
      <c r="N40" s="6"/>
      <c r="O40" s="6">
        <v>180</v>
      </c>
      <c r="P40" s="6">
        <v>180</v>
      </c>
      <c r="Q40" s="6">
        <v>180</v>
      </c>
      <c r="R40" s="6">
        <v>180</v>
      </c>
      <c r="S40" s="6">
        <v>27</v>
      </c>
      <c r="T40" s="7"/>
      <c r="V40" s="2">
        <v>35</v>
      </c>
      <c r="W40" s="3">
        <v>4</v>
      </c>
      <c r="X40" s="3"/>
      <c r="Y40" s="3">
        <v>4</v>
      </c>
      <c r="Z40" s="3">
        <v>2</v>
      </c>
      <c r="AA40" s="3">
        <v>3</v>
      </c>
      <c r="AB40" s="3">
        <v>4</v>
      </c>
      <c r="AC40" s="3">
        <v>5</v>
      </c>
      <c r="AD40" s="3"/>
      <c r="AF40" s="2">
        <v>35</v>
      </c>
      <c r="AG40" s="3">
        <v>4</v>
      </c>
      <c r="AH40" s="3">
        <v>2</v>
      </c>
      <c r="AI40" s="3">
        <v>4</v>
      </c>
      <c r="AJ40" s="3">
        <v>2</v>
      </c>
      <c r="AK40" s="3">
        <v>4</v>
      </c>
      <c r="AL40" s="3">
        <v>1</v>
      </c>
      <c r="AM40" s="3">
        <v>3</v>
      </c>
      <c r="AN40" s="3">
        <v>4</v>
      </c>
      <c r="AO40" s="3">
        <v>4</v>
      </c>
      <c r="AP40" s="3">
        <v>4</v>
      </c>
      <c r="AQ40" s="3">
        <f t="shared" si="0"/>
        <v>65</v>
      </c>
      <c r="AS40" s="9">
        <v>35</v>
      </c>
      <c r="AT40" s="33">
        <v>0</v>
      </c>
      <c r="AU40" s="33">
        <v>0</v>
      </c>
      <c r="AV40" s="33">
        <v>0.25</v>
      </c>
      <c r="AW40" s="33">
        <v>0</v>
      </c>
      <c r="AX40" s="36">
        <v>0.25</v>
      </c>
      <c r="AY40" s="33">
        <v>0.25</v>
      </c>
      <c r="AZ40" s="33">
        <v>1</v>
      </c>
      <c r="BA40" s="34">
        <v>1</v>
      </c>
      <c r="BC40" s="9">
        <v>35</v>
      </c>
      <c r="BD40" s="6">
        <v>258</v>
      </c>
      <c r="BE40" s="6">
        <v>180</v>
      </c>
      <c r="BF40" s="6">
        <v>180</v>
      </c>
      <c r="BG40" s="6">
        <v>51</v>
      </c>
      <c r="BH40" s="6">
        <v>60</v>
      </c>
      <c r="BI40" s="6">
        <v>30</v>
      </c>
      <c r="BJ40" s="6">
        <v>96</v>
      </c>
      <c r="BK40" s="6">
        <v>151</v>
      </c>
      <c r="BM40" s="2">
        <v>35</v>
      </c>
      <c r="BN40" s="3">
        <v>4</v>
      </c>
      <c r="BO40" s="3">
        <v>4</v>
      </c>
      <c r="BP40" s="3">
        <v>4</v>
      </c>
      <c r="BQ40" s="3">
        <v>3</v>
      </c>
      <c r="BR40" s="3">
        <v>4</v>
      </c>
      <c r="BS40" s="3">
        <v>4</v>
      </c>
      <c r="BT40" s="3">
        <v>4</v>
      </c>
      <c r="BU40" s="3">
        <v>3</v>
      </c>
      <c r="BW40" s="2">
        <v>35</v>
      </c>
      <c r="BX40" s="3">
        <v>4</v>
      </c>
      <c r="BY40" s="3">
        <v>2</v>
      </c>
      <c r="BZ40" s="3">
        <v>4</v>
      </c>
      <c r="CA40" s="3">
        <v>2</v>
      </c>
      <c r="CB40" s="3">
        <v>2</v>
      </c>
      <c r="CC40" s="3">
        <v>2</v>
      </c>
      <c r="CD40" s="3">
        <v>4</v>
      </c>
      <c r="CE40" s="3">
        <v>4</v>
      </c>
      <c r="CF40" s="3">
        <v>4</v>
      </c>
      <c r="CG40" s="3">
        <v>2</v>
      </c>
      <c r="CH40" s="3">
        <f t="shared" si="1"/>
        <v>65</v>
      </c>
      <c r="CJ40" s="9">
        <v>35</v>
      </c>
      <c r="CK40" s="33">
        <v>0</v>
      </c>
      <c r="CL40" s="33">
        <v>0</v>
      </c>
      <c r="CM40" s="33">
        <v>0</v>
      </c>
      <c r="CN40" s="33">
        <v>0</v>
      </c>
      <c r="CO40" s="33">
        <v>0</v>
      </c>
      <c r="CP40" s="33">
        <v>0</v>
      </c>
      <c r="CQ40" s="33">
        <v>0</v>
      </c>
      <c r="CR40" s="34">
        <v>0</v>
      </c>
      <c r="CT40" s="9">
        <v>35</v>
      </c>
      <c r="CU40" s="6">
        <v>300</v>
      </c>
      <c r="CV40" s="6">
        <v>180</v>
      </c>
      <c r="CW40" s="6">
        <v>180</v>
      </c>
      <c r="CX40" s="6">
        <v>180</v>
      </c>
      <c r="CY40" s="6">
        <v>180</v>
      </c>
      <c r="CZ40" s="6">
        <v>180</v>
      </c>
      <c r="DA40" s="6">
        <v>180</v>
      </c>
      <c r="DB40" s="7">
        <v>69</v>
      </c>
      <c r="DD40" s="2">
        <v>35</v>
      </c>
      <c r="DE40" s="3">
        <v>2</v>
      </c>
      <c r="DF40" s="3">
        <v>4</v>
      </c>
      <c r="DG40" s="3">
        <v>3</v>
      </c>
      <c r="DH40" s="3">
        <v>3</v>
      </c>
      <c r="DI40" s="3">
        <v>3</v>
      </c>
      <c r="DJ40" s="3">
        <v>4</v>
      </c>
      <c r="DK40" s="3">
        <v>3</v>
      </c>
      <c r="DL40" s="3">
        <v>1</v>
      </c>
      <c r="DN40" s="2">
        <v>35</v>
      </c>
      <c r="DO40" s="3">
        <v>2</v>
      </c>
      <c r="DP40" s="3">
        <v>3</v>
      </c>
      <c r="DQ40" s="3">
        <v>2</v>
      </c>
      <c r="DR40" s="3">
        <v>4</v>
      </c>
      <c r="DS40" s="3">
        <v>2</v>
      </c>
      <c r="DT40" s="3">
        <v>3</v>
      </c>
      <c r="DU40" s="3">
        <v>2</v>
      </c>
      <c r="DV40" s="3">
        <v>4</v>
      </c>
      <c r="DW40" s="3">
        <v>3</v>
      </c>
      <c r="DX40" s="3">
        <v>3</v>
      </c>
      <c r="DY40" s="3">
        <f t="shared" si="2"/>
        <v>35</v>
      </c>
    </row>
    <row r="41" spans="2:129">
      <c r="B41" s="9">
        <v>36</v>
      </c>
      <c r="C41" s="33">
        <v>1</v>
      </c>
      <c r="D41" s="34"/>
      <c r="E41" s="33">
        <v>0</v>
      </c>
      <c r="F41" s="33">
        <v>0</v>
      </c>
      <c r="G41" s="33">
        <v>0</v>
      </c>
      <c r="H41" s="33">
        <v>1</v>
      </c>
      <c r="I41" s="33">
        <v>0</v>
      </c>
      <c r="J41" s="34"/>
      <c r="K41" s="102"/>
      <c r="L41" s="10">
        <v>36</v>
      </c>
      <c r="M41" s="8">
        <v>191</v>
      </c>
      <c r="N41" s="6"/>
      <c r="O41" s="6">
        <v>180</v>
      </c>
      <c r="P41" s="6">
        <v>180</v>
      </c>
      <c r="Q41" s="6">
        <v>180</v>
      </c>
      <c r="R41" s="6">
        <v>50</v>
      </c>
      <c r="S41" s="8">
        <v>10</v>
      </c>
      <c r="T41" s="4"/>
      <c r="V41" s="2">
        <v>36</v>
      </c>
      <c r="W41" s="3">
        <v>5</v>
      </c>
      <c r="X41" s="22"/>
      <c r="Y41" s="22">
        <v>2</v>
      </c>
      <c r="Z41" s="22">
        <v>4</v>
      </c>
      <c r="AA41" s="22">
        <v>1</v>
      </c>
      <c r="AB41" s="22">
        <v>5</v>
      </c>
      <c r="AC41" s="3">
        <v>5</v>
      </c>
      <c r="AD41" s="3"/>
      <c r="AF41" s="2">
        <v>36</v>
      </c>
      <c r="AG41" s="3">
        <v>2</v>
      </c>
      <c r="AH41" s="3">
        <v>2</v>
      </c>
      <c r="AI41" s="3">
        <v>3</v>
      </c>
      <c r="AJ41" s="3">
        <v>2</v>
      </c>
      <c r="AK41" s="3">
        <v>2</v>
      </c>
      <c r="AL41" s="3">
        <v>2</v>
      </c>
      <c r="AM41" s="3">
        <v>3</v>
      </c>
      <c r="AN41" s="3">
        <v>3</v>
      </c>
      <c r="AO41" s="22">
        <v>2</v>
      </c>
      <c r="AP41" s="22">
        <v>3</v>
      </c>
      <c r="AQ41" s="22">
        <f t="shared" si="0"/>
        <v>50</v>
      </c>
      <c r="AS41" s="9">
        <v>36</v>
      </c>
      <c r="AT41" s="33">
        <v>0.25</v>
      </c>
      <c r="AU41" s="33">
        <v>0.25</v>
      </c>
      <c r="AV41" s="33">
        <v>0.25</v>
      </c>
      <c r="AW41" s="33">
        <v>1</v>
      </c>
      <c r="AX41" s="33">
        <v>0.25</v>
      </c>
      <c r="AY41" s="33">
        <v>0.25</v>
      </c>
      <c r="AZ41" s="33">
        <v>1</v>
      </c>
      <c r="BA41" s="34">
        <v>1</v>
      </c>
      <c r="BC41" s="10">
        <v>36</v>
      </c>
      <c r="BD41" s="8">
        <v>300</v>
      </c>
      <c r="BE41" s="8">
        <v>180</v>
      </c>
      <c r="BF41" s="8">
        <v>180</v>
      </c>
      <c r="BG41" s="8">
        <v>180</v>
      </c>
      <c r="BH41" s="8">
        <v>180</v>
      </c>
      <c r="BI41" s="8">
        <v>180</v>
      </c>
      <c r="BJ41" s="8">
        <v>180</v>
      </c>
      <c r="BK41" s="4">
        <v>18</v>
      </c>
      <c r="BM41" s="2">
        <v>36</v>
      </c>
      <c r="BN41" s="3">
        <v>3</v>
      </c>
      <c r="BO41" s="3">
        <v>5</v>
      </c>
      <c r="BP41" s="3">
        <v>3</v>
      </c>
      <c r="BQ41" s="3">
        <v>2</v>
      </c>
      <c r="BR41" s="3">
        <v>2</v>
      </c>
      <c r="BS41" s="3">
        <v>1</v>
      </c>
      <c r="BT41" s="3">
        <v>1</v>
      </c>
      <c r="BU41" s="3">
        <v>5</v>
      </c>
      <c r="BW41" s="2">
        <v>36</v>
      </c>
      <c r="BX41" s="3">
        <v>1</v>
      </c>
      <c r="BY41" s="3">
        <v>2</v>
      </c>
      <c r="BZ41" s="3">
        <v>2</v>
      </c>
      <c r="CA41" s="3">
        <v>2</v>
      </c>
      <c r="CB41" s="3">
        <v>2</v>
      </c>
      <c r="CC41" s="3">
        <v>3</v>
      </c>
      <c r="CD41" s="3">
        <v>2</v>
      </c>
      <c r="CE41" s="3">
        <v>3</v>
      </c>
      <c r="CF41" s="22">
        <v>1</v>
      </c>
      <c r="CG41" s="22">
        <v>5</v>
      </c>
      <c r="CH41" s="3">
        <f t="shared" si="1"/>
        <v>32.5</v>
      </c>
      <c r="CJ41" s="9">
        <v>36</v>
      </c>
      <c r="CK41" s="33">
        <v>0.25</v>
      </c>
      <c r="CL41" s="33">
        <v>0</v>
      </c>
      <c r="CM41" s="33">
        <v>1</v>
      </c>
      <c r="CN41" s="33">
        <v>0</v>
      </c>
      <c r="CO41" s="33">
        <v>0</v>
      </c>
      <c r="CP41" s="33">
        <v>0</v>
      </c>
      <c r="CQ41" s="33">
        <v>0</v>
      </c>
      <c r="CR41" s="34">
        <v>0</v>
      </c>
      <c r="CT41" s="10">
        <v>36</v>
      </c>
      <c r="CU41" s="8">
        <v>300</v>
      </c>
      <c r="CV41" s="8">
        <v>180</v>
      </c>
      <c r="CW41" s="8">
        <v>180</v>
      </c>
      <c r="CX41" s="8">
        <v>180</v>
      </c>
      <c r="CY41" s="8">
        <v>180</v>
      </c>
      <c r="CZ41" s="8">
        <v>180</v>
      </c>
      <c r="DA41" s="8">
        <v>180</v>
      </c>
      <c r="DB41" s="4">
        <v>180</v>
      </c>
      <c r="DD41" s="2">
        <v>36</v>
      </c>
      <c r="DE41" s="3">
        <v>3</v>
      </c>
      <c r="DF41" s="3">
        <v>1</v>
      </c>
      <c r="DG41" s="3">
        <v>3</v>
      </c>
      <c r="DH41" s="3">
        <v>3</v>
      </c>
      <c r="DI41" s="3">
        <v>2</v>
      </c>
      <c r="DJ41" s="3">
        <v>1</v>
      </c>
      <c r="DK41" s="3">
        <v>1</v>
      </c>
      <c r="DL41" s="3">
        <v>2</v>
      </c>
      <c r="DN41" s="2">
        <v>36</v>
      </c>
      <c r="DO41" s="3">
        <v>1</v>
      </c>
      <c r="DP41" s="3">
        <v>4</v>
      </c>
      <c r="DQ41" s="3">
        <v>2</v>
      </c>
      <c r="DR41" s="3">
        <v>1</v>
      </c>
      <c r="DS41" s="22">
        <v>1</v>
      </c>
      <c r="DT41" s="22">
        <v>4</v>
      </c>
      <c r="DU41" s="22">
        <v>1</v>
      </c>
      <c r="DV41" s="22">
        <v>5</v>
      </c>
      <c r="DW41" s="22">
        <v>1</v>
      </c>
      <c r="DX41" s="22">
        <v>5</v>
      </c>
      <c r="DY41" s="22">
        <f t="shared" si="2"/>
        <v>17.5</v>
      </c>
    </row>
    <row r="42" spans="2:129">
      <c r="B42" s="16" t="s">
        <v>11</v>
      </c>
      <c r="C42" s="102">
        <f>SUBTOTAL(101,Table3[Task 1a])</f>
        <v>0.54861111111111116</v>
      </c>
      <c r="D42" s="102"/>
      <c r="E42" s="102">
        <f>SUBTOTAL(101,Table3[Task 2])</f>
        <v>0.35416666666666669</v>
      </c>
      <c r="F42" s="102">
        <f>SUBTOTAL(101,Table3[Task 3])</f>
        <v>0.1388888888888889</v>
      </c>
      <c r="G42" s="102">
        <f>SUBTOTAL(101,Table3[Task 4])</f>
        <v>0.28472222222222221</v>
      </c>
      <c r="H42" s="102">
        <f>SUBTOTAL(101,Table3[Task 5])</f>
        <v>0.69444444444444442</v>
      </c>
      <c r="I42" s="17">
        <f>SUBTOTAL(101,Table3[Task 6])</f>
        <v>0.2986111111111111</v>
      </c>
      <c r="J42" s="17"/>
      <c r="K42" s="83"/>
      <c r="L42" s="16" t="s">
        <v>11</v>
      </c>
      <c r="M42" s="17">
        <f>SUBTOTAL(101,Table4[Task 1a])</f>
        <v>156.77777777777777</v>
      </c>
      <c r="N42" s="17"/>
      <c r="O42" s="17">
        <f>SUBTOTAL(101,Table4[Task 2])</f>
        <v>131.25</v>
      </c>
      <c r="P42" s="17">
        <f>SUBTOTAL(101,Table4[Task 3])</f>
        <v>106.27777777777777</v>
      </c>
      <c r="Q42" s="17">
        <f>SUBTOTAL(101,Table4[Task 4])</f>
        <v>114.75</v>
      </c>
      <c r="R42" s="17">
        <f>SUBTOTAL(101,Table4[Task 5])</f>
        <v>70.222222222222229</v>
      </c>
      <c r="S42" s="17">
        <f>SUBTOTAL(101,Table4[Task 6])</f>
        <v>50.583333333333336</v>
      </c>
      <c r="T42" s="17"/>
      <c r="V42" s="2" t="s">
        <v>11</v>
      </c>
      <c r="W42" s="5">
        <f>SUBTOTAL(101,Table5[Task 1a])</f>
        <v>4</v>
      </c>
      <c r="X42" s="5"/>
      <c r="Y42" s="5">
        <f>SUBTOTAL(101,Table5[Task 2])</f>
        <v>2.9444444444444446</v>
      </c>
      <c r="Z42" s="5">
        <f>SUBTOTAL(101,Table5[Task 3])</f>
        <v>2.9166666666666665</v>
      </c>
      <c r="AA42" s="5">
        <f>SUBTOTAL(101,Table5[Task 4])</f>
        <v>2.6111111111111112</v>
      </c>
      <c r="AB42" s="5">
        <f>SUBTOTAL(101,Table5[Task 5])</f>
        <v>3.6388888888888888</v>
      </c>
      <c r="AC42" s="5">
        <f>SUBTOTAL(101,Table5[Task 6])</f>
        <v>3.7777777777777777</v>
      </c>
      <c r="AD42" s="5"/>
      <c r="AF42" s="2" t="s">
        <v>11</v>
      </c>
      <c r="AG42" s="5">
        <f>SUBTOTAL(101,Table52[Q1])</f>
        <v>3.5555555555555554</v>
      </c>
      <c r="AH42" s="5">
        <f>SUBTOTAL(101,Table52[Q2])</f>
        <v>2.75</v>
      </c>
      <c r="AI42" s="5">
        <f>SUBTOTAL(101,Table52[Q3])</f>
        <v>3.1944444444444446</v>
      </c>
      <c r="AJ42" s="5">
        <f>SUBTOTAL(101,Table52[Q4])</f>
        <v>2.5</v>
      </c>
      <c r="AK42" s="5">
        <f>SUBTOTAL(101,Table52[Q5])</f>
        <v>3.2777777777777777</v>
      </c>
      <c r="AL42" s="5">
        <f>SUBTOTAL(101,Table52[Q6])</f>
        <v>2.5277777777777777</v>
      </c>
      <c r="AM42" s="5">
        <f>SUBTOTAL(101,Table52[Q7])</f>
        <v>3.3888888888888888</v>
      </c>
      <c r="AN42" s="5">
        <f>SUBTOTAL(101,Table52[Q8])</f>
        <v>2.6666666666666665</v>
      </c>
      <c r="AO42" s="5">
        <f>SUBTOTAL(101,Table52[Q9])</f>
        <v>3.0277777777777777</v>
      </c>
      <c r="AP42" s="5">
        <f>SUBTOTAL(101,Table52[Q10])</f>
        <v>3.1944444444444446</v>
      </c>
      <c r="AQ42" s="5">
        <f>SUBTOTAL(101,Table52[TOTAL])</f>
        <v>56.597222222222221</v>
      </c>
      <c r="AS42" s="16" t="s">
        <v>11</v>
      </c>
      <c r="AT42" s="102">
        <f>SUBTOTAL(101,Table33[Task 1a])</f>
        <v>0.1736111111111111</v>
      </c>
      <c r="AU42" s="102">
        <f>SUBTOTAL(101,Table33[Task 1b])</f>
        <v>0.43888888888888888</v>
      </c>
      <c r="AV42" s="102">
        <f>SUBTOTAL(101,Table33[Task 2])</f>
        <v>0.34027777777777779</v>
      </c>
      <c r="AW42" s="102">
        <f>SUBTOTAL(101,Table33[Task 3])</f>
        <v>0.75694444444444442</v>
      </c>
      <c r="AX42" s="102">
        <f>SUBTOTAL(101,Table33[Task 4])</f>
        <v>0.3125</v>
      </c>
      <c r="AY42" s="102">
        <f>SUBTOTAL(101,Table33[Task 5])</f>
        <v>0.54861111111111116</v>
      </c>
      <c r="AZ42" s="102">
        <f>SUBTOTAL(101,Table33[Task 6])</f>
        <v>0.30555555555555558</v>
      </c>
      <c r="BA42" s="102">
        <f>SUBTOTAL(101,Table33[Task 7])</f>
        <v>0.95833333333333337</v>
      </c>
      <c r="BC42" s="16" t="s">
        <v>11</v>
      </c>
      <c r="BD42" s="17">
        <f>SUBTOTAL(101,Table410[Task 1a])</f>
        <v>214.94444444444446</v>
      </c>
      <c r="BE42" s="17">
        <f>SUBTOTAL(101,Table410[Task 1b])</f>
        <v>126.30555555555556</v>
      </c>
      <c r="BF42" s="17">
        <f>SUBTOTAL(101,Table410[Task 2])</f>
        <v>136.66666666666666</v>
      </c>
      <c r="BG42" s="17">
        <f>SUBTOTAL(101,Table410[Task 3])</f>
        <v>63.944444444444443</v>
      </c>
      <c r="BH42" s="17">
        <f>SUBTOTAL(101,Table410[Task 4])</f>
        <v>114.41666666666667</v>
      </c>
      <c r="BI42" s="17">
        <f>SUBTOTAL(101,Table410[Task 5])</f>
        <v>39.638888888888886</v>
      </c>
      <c r="BJ42" s="17">
        <f>SUBTOTAL(101,Table410[Task 6])</f>
        <v>87.583333333333329</v>
      </c>
      <c r="BK42" s="17">
        <f>SUBTOTAL(101,Table410[Task 7])</f>
        <v>44.027777777777779</v>
      </c>
      <c r="BM42" s="2" t="s">
        <v>11</v>
      </c>
      <c r="BN42" s="5">
        <f>SUBTOTAL(101,Table511[Task 1a])</f>
        <v>2.5</v>
      </c>
      <c r="BO42" s="5">
        <f>SUBTOTAL(101,Table511[Task 1b])</f>
        <v>3.3333333333333335</v>
      </c>
      <c r="BP42" s="5">
        <f>SUBTOTAL(101,Table511[Task 2])</f>
        <v>2.8888888888888888</v>
      </c>
      <c r="BQ42" s="5">
        <f>SUBTOTAL(101,Table511[Task 3])</f>
        <v>2.8888888888888888</v>
      </c>
      <c r="BR42" s="5">
        <f>SUBTOTAL(101,Table511[Task 4])</f>
        <v>3.5</v>
      </c>
      <c r="BS42" s="5">
        <f>SUBTOTAL(101,Table511[Task 5])</f>
        <v>3.6944444444444446</v>
      </c>
      <c r="BT42" s="5">
        <f>SUBTOTAL(101,Table511[Task 6])</f>
        <v>3.0555555555555554</v>
      </c>
      <c r="BU42" s="5">
        <f>SUBTOTAL(101,Table511[Task 7])</f>
        <v>4.3611111111111107</v>
      </c>
      <c r="BW42" s="2" t="s">
        <v>11</v>
      </c>
      <c r="BX42" s="5">
        <f>SUBTOTAL(101,Table5212[Q1])</f>
        <v>3.1666666666666665</v>
      </c>
      <c r="BY42" s="5">
        <f>SUBTOTAL(101,Table5212[Q2])</f>
        <v>2.9166666666666665</v>
      </c>
      <c r="BZ42" s="5">
        <f>SUBTOTAL(101,Table5212[Q3])</f>
        <v>3.0277777777777777</v>
      </c>
      <c r="CA42" s="5">
        <f>SUBTOTAL(101,Table5212[Q4])</f>
        <v>2.6111111111111112</v>
      </c>
      <c r="CB42" s="5">
        <f>SUBTOTAL(101,Table5212[Q5])</f>
        <v>2.9166666666666665</v>
      </c>
      <c r="CC42" s="5">
        <f>SUBTOTAL(101,Table5212[Q6])</f>
        <v>2.7222222222222223</v>
      </c>
      <c r="CD42" s="5">
        <f>SUBTOTAL(101,Table5212[Q7])</f>
        <v>3.1388888888888888</v>
      </c>
      <c r="CE42" s="5">
        <f>SUBTOTAL(101,Table5212[Q8])</f>
        <v>2.9166666666666665</v>
      </c>
      <c r="CF42" s="5">
        <f>SUBTOTAL(101,Table5212[Q9])</f>
        <v>2.9166666666666665</v>
      </c>
      <c r="CG42" s="5">
        <f>SUBTOTAL(101,Table5212[Q10])</f>
        <v>3.5</v>
      </c>
      <c r="CH42" s="5">
        <f>SUBTOTAL(101,Table5212[TOTAL])</f>
        <v>51.25</v>
      </c>
      <c r="CJ42" s="24" t="s">
        <v>11</v>
      </c>
      <c r="CK42" s="37">
        <f>SUBTOTAL(101,Table313[Task 1a])</f>
        <v>6.25E-2</v>
      </c>
      <c r="CL42" s="37">
        <f>SUBTOTAL(101,Table313[Task 1b])</f>
        <v>8.3333333333333329E-2</v>
      </c>
      <c r="CM42" s="37">
        <f>SUBTOTAL(101,Table313[Task 2])</f>
        <v>0.16666666666666666</v>
      </c>
      <c r="CN42" s="37">
        <f>SUBTOTAL(101,Table313[Task 3])</f>
        <v>0.36805555555555558</v>
      </c>
      <c r="CO42" s="37">
        <f>SUBTOTAL(101,Table313[Task 4])</f>
        <v>0.16666666666666666</v>
      </c>
      <c r="CP42" s="37">
        <f>SUBTOTAL(101,Table313[Task 5])</f>
        <v>0.18055555555555555</v>
      </c>
      <c r="CQ42" s="37">
        <f>SUBTOTAL(101,Table313[Task 6])</f>
        <v>0.29166666666666669</v>
      </c>
      <c r="CR42" s="37">
        <f>SUBTOTAL(101,Table313[Task 7])</f>
        <v>0.67361111111111116</v>
      </c>
      <c r="CT42" s="24" t="s">
        <v>11</v>
      </c>
      <c r="CU42" s="25">
        <f>SUBTOTAL(101,Table414[Task 1a])</f>
        <v>250.27777777777777</v>
      </c>
      <c r="CV42" s="25">
        <f>SUBTOTAL(101,Table414[Task 1b])</f>
        <v>127</v>
      </c>
      <c r="CW42" s="25">
        <f>SUBTOTAL(101,Table414[Task 2])</f>
        <v>132.08333333333334</v>
      </c>
      <c r="CX42" s="25">
        <f>SUBTOTAL(101,Table414[Task 3])</f>
        <v>105.47222222222223</v>
      </c>
      <c r="CY42" s="25">
        <f>SUBTOTAL(101,Table414[Task 4])</f>
        <v>107.97222222222223</v>
      </c>
      <c r="CZ42" s="25">
        <f>SUBTOTAL(101,Table414[Task 5])</f>
        <v>120.33333333333333</v>
      </c>
      <c r="DA42" s="25">
        <f>SUBTOTAL(101,Table414[Task 6])</f>
        <v>85.583333333333329</v>
      </c>
      <c r="DB42" s="25">
        <f>SUBTOTAL(101,Table414[Task 7])</f>
        <v>90.388888888888886</v>
      </c>
      <c r="DD42" s="2" t="s">
        <v>11</v>
      </c>
      <c r="DE42" s="5">
        <f>SUBTOTAL(101,Table515[Task 1a])</f>
        <v>2.5555555555555554</v>
      </c>
      <c r="DF42" s="5">
        <f>SUBTOTAL(101,Table515[Task 1b])</f>
        <v>2.8333333333333335</v>
      </c>
      <c r="DG42" s="5">
        <f>SUBTOTAL(101,Table515[Task 2])</f>
        <v>3</v>
      </c>
      <c r="DH42" s="5">
        <f>SUBTOTAL(101,Table515[Task 3])</f>
        <v>2.9166666666666665</v>
      </c>
      <c r="DI42" s="5">
        <f>SUBTOTAL(101,Table515[Task 4])</f>
        <v>2.8055555555555554</v>
      </c>
      <c r="DJ42" s="5">
        <f>SUBTOTAL(101,Table515[Task 5])</f>
        <v>2.3888888888888888</v>
      </c>
      <c r="DK42" s="5">
        <f>SUBTOTAL(101,Table515[Task 6])</f>
        <v>2.8888888888888888</v>
      </c>
      <c r="DL42" s="5">
        <f>SUBTOTAL(101,Table515[Task 7])</f>
        <v>3.0277777777777777</v>
      </c>
      <c r="DN42" s="2" t="s">
        <v>11</v>
      </c>
      <c r="DO42" s="5">
        <f>SUBTOTAL(101,Table5216[Q1])</f>
        <v>2.8055555555555554</v>
      </c>
      <c r="DP42" s="5">
        <f>SUBTOTAL(101,Table5216[Q2])</f>
        <v>3.3333333333333335</v>
      </c>
      <c r="DQ42" s="5">
        <f>SUBTOTAL(101,Table5216[Q3])</f>
        <v>2.5</v>
      </c>
      <c r="DR42" s="5">
        <f>SUBTOTAL(101,Table5216[Q4])</f>
        <v>3.0555555555555554</v>
      </c>
      <c r="DS42" s="5">
        <f>SUBTOTAL(101,Table5216[Q5])</f>
        <v>2.7777777777777777</v>
      </c>
      <c r="DT42" s="5">
        <f>SUBTOTAL(101,Table5216[Q6])</f>
        <v>3.1388888888888888</v>
      </c>
      <c r="DU42" s="5">
        <f>SUBTOTAL(101,Table5216[Q7])</f>
        <v>2.7777777777777777</v>
      </c>
      <c r="DV42" s="5">
        <f>SUBTOTAL(101,Table5216[Q8])</f>
        <v>3.4166666666666665</v>
      </c>
      <c r="DW42" s="5">
        <f>SUBTOTAL(101,Table5216[Q9])</f>
        <v>2.4444444444444446</v>
      </c>
      <c r="DX42" s="5">
        <f>SUBTOTAL(101,Table5216[Q10])</f>
        <v>3.6111111111111112</v>
      </c>
      <c r="DY42" s="5">
        <f>SUBTOTAL(101,Table5216[TOTAL])</f>
        <v>41.875</v>
      </c>
    </row>
    <row r="45" spans="2:129" ht="26.25">
      <c r="B45" s="151" t="s">
        <v>230</v>
      </c>
      <c r="C45" s="147"/>
      <c r="D45" s="147"/>
      <c r="E45" s="147"/>
      <c r="F45" s="147"/>
      <c r="G45" s="147"/>
      <c r="H45" s="147"/>
      <c r="I45" s="147"/>
      <c r="J45" s="147"/>
      <c r="K45" s="147"/>
      <c r="L45" s="147"/>
      <c r="M45" s="147"/>
    </row>
    <row r="46" spans="2:129" ht="26.25">
      <c r="B46" s="149" t="s">
        <v>236</v>
      </c>
      <c r="C46" s="149"/>
      <c r="D46" s="149"/>
      <c r="E46" s="149"/>
      <c r="F46" s="149"/>
      <c r="G46" s="149"/>
      <c r="H46" s="149"/>
      <c r="I46" s="149"/>
      <c r="J46" s="149"/>
      <c r="K46" s="149"/>
      <c r="L46" s="149"/>
      <c r="M46" s="149"/>
    </row>
    <row r="47" spans="2:129">
      <c r="B47" s="152">
        <v>0</v>
      </c>
      <c r="C47" s="1" t="s">
        <v>239</v>
      </c>
    </row>
    <row r="48" spans="2:129">
      <c r="B48" s="152">
        <v>0.25</v>
      </c>
      <c r="C48" s="1" t="s">
        <v>237</v>
      </c>
    </row>
    <row r="49" spans="2:13">
      <c r="B49" s="152">
        <v>1</v>
      </c>
      <c r="C49" s="1" t="s">
        <v>238</v>
      </c>
    </row>
    <row r="50" spans="2:13" ht="23.25" customHeight="1">
      <c r="B50" s="149" t="s">
        <v>235</v>
      </c>
      <c r="C50" s="147"/>
      <c r="D50" s="147"/>
      <c r="E50" s="147"/>
      <c r="F50" s="147"/>
      <c r="G50" s="147"/>
      <c r="H50" s="147"/>
      <c r="I50" s="147"/>
      <c r="J50" s="147"/>
      <c r="K50" s="147"/>
      <c r="L50" s="147"/>
      <c r="M50" s="147"/>
    </row>
    <row r="51" spans="2:13" ht="15.75">
      <c r="B51" s="150" t="s">
        <v>27</v>
      </c>
      <c r="C51" s="141" t="s">
        <v>221</v>
      </c>
      <c r="D51" s="141"/>
      <c r="E51" s="141"/>
      <c r="F51" s="141"/>
      <c r="G51" s="141"/>
      <c r="H51" s="141"/>
      <c r="I51" s="141"/>
      <c r="J51" s="141"/>
      <c r="K51" s="141"/>
      <c r="L51" s="141"/>
      <c r="M51" s="141"/>
    </row>
    <row r="52" spans="2:13" ht="15.75">
      <c r="B52" s="150" t="s">
        <v>28</v>
      </c>
      <c r="C52" s="141" t="s">
        <v>222</v>
      </c>
      <c r="D52" s="141"/>
      <c r="E52" s="141"/>
      <c r="F52" s="141"/>
      <c r="G52" s="141"/>
      <c r="H52" s="141"/>
      <c r="I52" s="141"/>
      <c r="J52" s="141"/>
      <c r="K52" s="141"/>
      <c r="L52" s="141"/>
      <c r="M52" s="141"/>
    </row>
    <row r="53" spans="2:13" ht="15.75">
      <c r="B53" s="150" t="s">
        <v>2</v>
      </c>
      <c r="C53" s="141" t="s">
        <v>223</v>
      </c>
      <c r="D53" s="141"/>
      <c r="E53" s="141"/>
      <c r="F53" s="141"/>
      <c r="G53" s="141"/>
      <c r="H53" s="141"/>
      <c r="I53" s="141"/>
      <c r="J53" s="141"/>
      <c r="K53" s="141"/>
      <c r="L53" s="141"/>
      <c r="M53" s="141"/>
    </row>
    <row r="54" spans="2:13" ht="15.75">
      <c r="B54" s="150" t="s">
        <v>3</v>
      </c>
      <c r="C54" s="141" t="s">
        <v>224</v>
      </c>
      <c r="D54" s="141"/>
      <c r="E54" s="141"/>
      <c r="F54" s="141"/>
      <c r="G54" s="141"/>
      <c r="H54" s="141"/>
      <c r="I54" s="141"/>
      <c r="J54" s="141"/>
      <c r="K54" s="141"/>
      <c r="L54" s="141"/>
      <c r="M54" s="141"/>
    </row>
    <row r="55" spans="2:13" ht="15.75">
      <c r="B55" s="150" t="s">
        <v>4</v>
      </c>
      <c r="C55" s="141" t="s">
        <v>225</v>
      </c>
      <c r="D55" s="141"/>
      <c r="E55" s="141"/>
      <c r="F55" s="141"/>
      <c r="G55" s="141"/>
      <c r="H55" s="141"/>
      <c r="I55" s="141"/>
      <c r="J55" s="141"/>
      <c r="K55" s="141"/>
      <c r="L55" s="141"/>
      <c r="M55" s="141"/>
    </row>
    <row r="56" spans="2:13" ht="15.75">
      <c r="B56" s="150" t="s">
        <v>5</v>
      </c>
      <c r="C56" s="141" t="s">
        <v>226</v>
      </c>
      <c r="D56" s="141"/>
      <c r="E56" s="141"/>
      <c r="F56" s="141"/>
      <c r="G56" s="141"/>
      <c r="H56" s="141"/>
      <c r="I56" s="141"/>
      <c r="J56" s="141"/>
      <c r="K56" s="141"/>
      <c r="L56" s="141"/>
      <c r="M56" s="141"/>
    </row>
    <row r="57" spans="2:13" ht="15.75">
      <c r="B57" s="150" t="s">
        <v>6</v>
      </c>
      <c r="C57" s="141" t="s">
        <v>227</v>
      </c>
      <c r="D57" s="141"/>
      <c r="E57" s="141"/>
      <c r="F57" s="141"/>
      <c r="G57" s="141"/>
      <c r="H57" s="141"/>
      <c r="I57" s="141"/>
      <c r="J57" s="141"/>
      <c r="K57" s="141"/>
      <c r="L57" s="141"/>
      <c r="M57" s="141"/>
    </row>
    <row r="58" spans="2:13" ht="15.75">
      <c r="B58" s="150" t="s">
        <v>7</v>
      </c>
      <c r="C58" s="141" t="s">
        <v>228</v>
      </c>
      <c r="D58" s="141"/>
      <c r="E58" s="141"/>
      <c r="F58" s="141"/>
      <c r="G58" s="141"/>
      <c r="H58" s="141"/>
      <c r="I58" s="141"/>
      <c r="J58" s="141"/>
      <c r="K58" s="141"/>
      <c r="L58" s="141"/>
      <c r="M58" s="141"/>
    </row>
  </sheetData>
  <mergeCells count="15">
    <mergeCell ref="AG4:AQ4"/>
    <mergeCell ref="B3:AQ3"/>
    <mergeCell ref="AS3:CH3"/>
    <mergeCell ref="AT4:BA4"/>
    <mergeCell ref="BD4:BK4"/>
    <mergeCell ref="BN4:BU4"/>
    <mergeCell ref="BX4:CH4"/>
    <mergeCell ref="C4:J4"/>
    <mergeCell ref="M4:T4"/>
    <mergeCell ref="W4:AD4"/>
    <mergeCell ref="CJ3:DY3"/>
    <mergeCell ref="CK4:CR4"/>
    <mergeCell ref="CU4:DB4"/>
    <mergeCell ref="DE4:DL4"/>
    <mergeCell ref="DO4:DY4"/>
  </mergeCells>
  <pageMargins left="0.7" right="0.7" top="0.75" bottom="0.75" header="0.3" footer="0.3"/>
  <pageSetup paperSize="9" orientation="portrait" horizontalDpi="4294967294"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N11" sqref="N11"/>
    </sheetView>
  </sheetViews>
  <sheetFormatPr defaultRowHeight="15"/>
  <cols>
    <col min="1" max="1" width="28.5703125" bestFit="1" customWidth="1"/>
    <col min="3" max="3" width="15.5703125" bestFit="1" customWidth="1"/>
    <col min="4" max="4" width="9.7109375" bestFit="1" customWidth="1"/>
    <col min="5" max="5" width="11.28515625" bestFit="1" customWidth="1"/>
    <col min="8" max="8" width="15.5703125" bestFit="1" customWidth="1"/>
    <col min="9" max="9" width="9.7109375" bestFit="1" customWidth="1"/>
    <col min="10" max="10" width="11.28515625" bestFit="1" customWidth="1"/>
    <col min="11" max="11" width="9.28515625" customWidth="1"/>
    <col min="12" max="12" width="12" customWidth="1"/>
    <col min="13" max="13" width="12.85546875" customWidth="1"/>
    <col min="14" max="14" width="11.28515625" customWidth="1"/>
    <col min="17" max="17" width="11.7109375" customWidth="1"/>
    <col min="18" max="18" width="15.140625" customWidth="1"/>
  </cols>
  <sheetData>
    <row r="1" spans="1:18" ht="38.25" customHeight="1">
      <c r="A1" s="118" t="s">
        <v>184</v>
      </c>
      <c r="B1" s="119"/>
      <c r="C1" s="117"/>
      <c r="D1" s="121" t="s">
        <v>149</v>
      </c>
      <c r="E1" s="120"/>
      <c r="F1" s="120"/>
      <c r="G1" s="117"/>
      <c r="H1" s="168" t="s">
        <v>218</v>
      </c>
      <c r="I1" s="168"/>
      <c r="J1" s="168"/>
      <c r="K1" s="168"/>
      <c r="L1" s="146" t="s">
        <v>220</v>
      </c>
      <c r="M1" s="146"/>
      <c r="N1" s="146"/>
      <c r="O1" s="146"/>
      <c r="P1" s="146"/>
      <c r="Q1" s="119"/>
      <c r="R1" s="119"/>
    </row>
    <row r="2" spans="1:18">
      <c r="B2" s="112"/>
      <c r="C2" s="112"/>
      <c r="D2" s="112"/>
      <c r="E2" s="112"/>
    </row>
    <row r="3" spans="1:18">
      <c r="B3" s="114" t="s">
        <v>150</v>
      </c>
      <c r="C3" s="114" t="s">
        <v>157</v>
      </c>
      <c r="D3" s="114" t="s">
        <v>158</v>
      </c>
      <c r="E3" s="114" t="s">
        <v>10</v>
      </c>
      <c r="F3" s="114" t="s">
        <v>12</v>
      </c>
      <c r="H3" s="114" t="s">
        <v>157</v>
      </c>
      <c r="I3" s="114" t="s">
        <v>158</v>
      </c>
      <c r="J3" s="114" t="s">
        <v>10</v>
      </c>
      <c r="K3" s="114" t="s">
        <v>12</v>
      </c>
    </row>
    <row r="4" spans="1:18">
      <c r="A4" s="96" t="s">
        <v>116</v>
      </c>
      <c r="B4">
        <f>COUNTIF(Table105[Category of phone], "Non-SMART")</f>
        <v>14</v>
      </c>
      <c r="C4" s="95">
        <f>SUMIF(Table105[Category of phone], "Non-SMART", 'Profiles - Group A '!J6:J41)</f>
        <v>97.05</v>
      </c>
      <c r="D4" s="95">
        <f>SUMIF(Table105[Category of phone], "Non-SMART", 'Profiles - Group A '!K6:K41)</f>
        <v>38296</v>
      </c>
      <c r="E4" s="95">
        <f>SUMIF(Table105[Category of phone], "Non-SMART", 'Profiles - Group A '!L6:L41)</f>
        <v>864</v>
      </c>
      <c r="F4" s="95">
        <f>SUMIF(Table105[Category of phone], "Non-SMART", 'Profiles - Group A '!M6:M41)</f>
        <v>1510</v>
      </c>
      <c r="G4" s="95"/>
      <c r="H4" s="95">
        <f>C4/(22*$B4)</f>
        <v>0.3150974025974026</v>
      </c>
      <c r="I4" s="95">
        <f>D4/(22*$B4)</f>
        <v>124.33766233766234</v>
      </c>
      <c r="J4" s="95">
        <f>E4/(22*$B4)</f>
        <v>2.8051948051948052</v>
      </c>
      <c r="K4" s="95">
        <f>F4/($B4*3)</f>
        <v>35.952380952380949</v>
      </c>
    </row>
    <row r="5" spans="1:18">
      <c r="A5" s="96" t="s">
        <v>115</v>
      </c>
      <c r="B5">
        <f>COUNTIF(Table105[Category of phone], "&lt;&gt;Non-SMART")</f>
        <v>22</v>
      </c>
      <c r="C5" s="95">
        <f>SUMIF(Table105[Category of phone], "&lt;&gt;Non-SMART", 'Profiles - Group A '!J6:J41)</f>
        <v>196.25</v>
      </c>
      <c r="D5" s="95">
        <f>SUMIF(Table105[Category of phone], "&lt;&gt;Non-SMART", 'Profiles - Group A '!K6:K41)</f>
        <v>50858</v>
      </c>
      <c r="E5" s="95">
        <f>SUMIF(Table105[Category of phone], "&lt;&gt;Non-SMART", 'Profiles - Group A '!L6:L41)</f>
        <v>1603</v>
      </c>
      <c r="F5" s="95">
        <f>SUMIF(Table105[Category of phone], "&lt;&gt;Non-SMART", 'Profiles - Group A '!M6:M41)</f>
        <v>3880</v>
      </c>
      <c r="H5" s="95">
        <f t="shared" ref="H5:J5" si="0">C5/(22*$B5)</f>
        <v>0.40547520661157027</v>
      </c>
      <c r="I5" s="95">
        <f t="shared" si="0"/>
        <v>105.07851239669421</v>
      </c>
      <c r="J5" s="95">
        <f t="shared" si="0"/>
        <v>3.3119834710743801</v>
      </c>
      <c r="K5" s="95">
        <f>F5/($B5*3)</f>
        <v>58.787878787878789</v>
      </c>
    </row>
    <row r="6" spans="1:18">
      <c r="A6" s="96"/>
      <c r="C6" s="95"/>
      <c r="D6" s="95"/>
      <c r="H6" s="95"/>
      <c r="I6" s="95"/>
      <c r="J6" s="95"/>
      <c r="K6" s="95"/>
    </row>
    <row r="7" spans="1:18">
      <c r="A7" s="96"/>
      <c r="C7" s="95"/>
      <c r="D7" s="95"/>
      <c r="H7" s="95"/>
      <c r="I7" s="95"/>
      <c r="J7" s="95"/>
      <c r="K7" s="95"/>
    </row>
    <row r="8" spans="1:18">
      <c r="A8" s="96" t="s">
        <v>59</v>
      </c>
      <c r="B8">
        <f>COUNTIF(Table105[Age range], A8)</f>
        <v>5</v>
      </c>
      <c r="C8" s="95">
        <f>SUMIF(Table105[Age range], $A8, 'Profiles - Group A '!J$6:J$41)</f>
        <v>51</v>
      </c>
      <c r="D8" s="95">
        <f>SUMIF(Table105[Age range], $A8, 'Profiles - Group A '!K$6:K$41)</f>
        <v>10290</v>
      </c>
      <c r="E8" s="95">
        <f>SUMIF(Table105[Age range], $A8, 'Profiles - Group A '!L$6:L$41)</f>
        <v>411</v>
      </c>
      <c r="F8" s="95">
        <f>SUMIF(Table105[Age range], $A8, 'Profiles - Group A '!M$6:M$41)</f>
        <v>1085</v>
      </c>
      <c r="H8" s="95">
        <f t="shared" ref="H8:H13" si="1">C8/(22*$B8)</f>
        <v>0.46363636363636362</v>
      </c>
      <c r="I8" s="95">
        <f t="shared" ref="I8:I13" si="2">D8/(22*$B8)</f>
        <v>93.545454545454547</v>
      </c>
      <c r="J8" s="95">
        <f t="shared" ref="J8:J13" si="3">E8/(22*$B8)</f>
        <v>3.7363636363636363</v>
      </c>
      <c r="K8" s="95">
        <f t="shared" ref="K8:K13" si="4">F8/($B8*3)</f>
        <v>72.333333333333329</v>
      </c>
    </row>
    <row r="9" spans="1:18">
      <c r="A9" s="96" t="s">
        <v>57</v>
      </c>
      <c r="B9">
        <f>COUNTIF(Table105[Age range], A9)</f>
        <v>5</v>
      </c>
      <c r="C9" s="95">
        <f>SUMIF(Table105[Age range], $A9, 'Profiles - Group A '!J$6:J$41)</f>
        <v>52.25</v>
      </c>
      <c r="D9" s="95">
        <f>SUMIF(Table105[Age range], $A9, 'Profiles - Group A '!K$6:K$41)</f>
        <v>8988</v>
      </c>
      <c r="E9" s="95">
        <f>SUMIF(Table105[Age range], $A9, 'Profiles - Group A '!L$6:L$41)</f>
        <v>399</v>
      </c>
      <c r="F9" s="95">
        <f>SUMIF(Table105[Age range], $A9, 'Profiles - Group A '!M$6:M$41)</f>
        <v>822.5</v>
      </c>
      <c r="H9" s="95">
        <f t="shared" si="1"/>
        <v>0.47499999999999998</v>
      </c>
      <c r="I9" s="95">
        <f t="shared" si="2"/>
        <v>81.709090909090904</v>
      </c>
      <c r="J9" s="95">
        <f t="shared" si="3"/>
        <v>3.6272727272727274</v>
      </c>
      <c r="K9" s="95">
        <f t="shared" si="4"/>
        <v>54.833333333333336</v>
      </c>
    </row>
    <row r="10" spans="1:18">
      <c r="A10" s="96" t="s">
        <v>52</v>
      </c>
      <c r="B10">
        <f>COUNTIF(Table105[Age range], A10)</f>
        <v>7</v>
      </c>
      <c r="C10" s="95">
        <f>SUMIF(Table105[Age range], $A10, 'Profiles - Group A '!J$6:J$41)</f>
        <v>46.25</v>
      </c>
      <c r="D10" s="95">
        <f>SUMIF(Table105[Age range], $A10, 'Profiles - Group A '!K$6:K$41)</f>
        <v>17019</v>
      </c>
      <c r="E10" s="95">
        <f>SUMIF(Table105[Age range], $A10, 'Profiles - Group A '!L$6:L$41)</f>
        <v>464</v>
      </c>
      <c r="F10" s="95">
        <f>SUMIF(Table105[Age range], $A10, 'Profiles - Group A '!M$6:M$41)</f>
        <v>1072.5</v>
      </c>
      <c r="H10" s="95">
        <f t="shared" si="1"/>
        <v>0.30032467532467533</v>
      </c>
      <c r="I10" s="95">
        <f t="shared" si="2"/>
        <v>110.51298701298701</v>
      </c>
      <c r="J10" s="95">
        <f t="shared" si="3"/>
        <v>3.0129870129870131</v>
      </c>
      <c r="K10" s="95">
        <f t="shared" si="4"/>
        <v>51.071428571428569</v>
      </c>
    </row>
    <row r="11" spans="1:18">
      <c r="A11" s="96" t="s">
        <v>41</v>
      </c>
      <c r="B11">
        <f>COUNTIF(Table105[Age range], A11)</f>
        <v>8</v>
      </c>
      <c r="C11" s="95">
        <f>SUMIF(Table105[Age range], $A11, 'Profiles - Group A '!J$6:J$41)</f>
        <v>65.8</v>
      </c>
      <c r="D11" s="95">
        <f>SUMIF(Table105[Age range], $A11, 'Profiles - Group A '!K$6:K$41)</f>
        <v>22579</v>
      </c>
      <c r="E11" s="95">
        <f>SUMIF(Table105[Age range], $A11, 'Profiles - Group A '!L$6:L$41)</f>
        <v>510</v>
      </c>
      <c r="F11" s="95">
        <f>SUMIF(Table105[Age range], $A11, 'Profiles - Group A '!M$6:M$41)</f>
        <v>1002.5</v>
      </c>
      <c r="H11" s="95">
        <f t="shared" si="1"/>
        <v>0.37386363636363634</v>
      </c>
      <c r="I11" s="95">
        <f t="shared" si="2"/>
        <v>128.28977272727272</v>
      </c>
      <c r="J11" s="95">
        <f t="shared" si="3"/>
        <v>2.8977272727272729</v>
      </c>
      <c r="K11" s="95">
        <f t="shared" si="4"/>
        <v>41.770833333333336</v>
      </c>
    </row>
    <row r="12" spans="1:18">
      <c r="A12" s="96" t="s">
        <v>54</v>
      </c>
      <c r="B12">
        <f>COUNTIF(Table105[Age range], A12)</f>
        <v>6</v>
      </c>
      <c r="C12" s="95">
        <f>SUMIF(Table105[Age range], $A12, 'Profiles - Group A '!J$6:J$41)</f>
        <v>38.5</v>
      </c>
      <c r="D12" s="95">
        <f>SUMIF(Table105[Age range], $A12, 'Profiles - Group A '!K$6:K$41)</f>
        <v>17582</v>
      </c>
      <c r="E12" s="95">
        <f>SUMIF(Table105[Age range], $A12, 'Profiles - Group A '!L$6:L$41)</f>
        <v>376</v>
      </c>
      <c r="F12" s="95">
        <f>SUMIF(Table105[Age range], $A12, 'Profiles - Group A '!M$6:M$41)</f>
        <v>827.5</v>
      </c>
      <c r="H12" s="95">
        <f t="shared" si="1"/>
        <v>0.29166666666666669</v>
      </c>
      <c r="I12" s="95">
        <f t="shared" si="2"/>
        <v>133.19696969696969</v>
      </c>
      <c r="J12" s="95">
        <f t="shared" si="3"/>
        <v>2.8484848484848486</v>
      </c>
      <c r="K12" s="95">
        <f t="shared" si="4"/>
        <v>45.972222222222221</v>
      </c>
    </row>
    <row r="13" spans="1:18">
      <c r="A13" s="96" t="s">
        <v>45</v>
      </c>
      <c r="B13">
        <f>COUNTIF(Table105[Age range], A13)</f>
        <v>5</v>
      </c>
      <c r="C13" s="95">
        <f>SUMIF(Table105[Age range], $A13, 'Profiles - Group A '!J$6:J$41)</f>
        <v>39.5</v>
      </c>
      <c r="D13" s="95">
        <f>SUMIF(Table105[Age range], $A13, 'Profiles - Group A '!K$6:K$41)</f>
        <v>12696</v>
      </c>
      <c r="E13" s="95">
        <f>SUMIF(Table105[Age range], $A13, 'Profiles - Group A '!L$6:L$41)</f>
        <v>307</v>
      </c>
      <c r="F13" s="95">
        <f>SUMIF(Table105[Age range], $A13, 'Profiles - Group A '!M$6:M$41)</f>
        <v>580</v>
      </c>
      <c r="H13" s="95">
        <f t="shared" si="1"/>
        <v>0.35909090909090907</v>
      </c>
      <c r="I13" s="95">
        <f t="shared" si="2"/>
        <v>115.41818181818182</v>
      </c>
      <c r="J13" s="95">
        <f t="shared" si="3"/>
        <v>2.790909090909091</v>
      </c>
      <c r="K13" s="95">
        <f t="shared" si="4"/>
        <v>38.666666666666664</v>
      </c>
    </row>
    <row r="14" spans="1:18">
      <c r="A14" s="96"/>
      <c r="C14" s="95"/>
      <c r="D14" s="95"/>
      <c r="H14" s="95"/>
      <c r="I14" s="95"/>
      <c r="J14" s="95"/>
      <c r="K14" s="95"/>
    </row>
    <row r="15" spans="1:18">
      <c r="A15" s="96"/>
      <c r="C15" s="95"/>
      <c r="D15" s="95"/>
      <c r="H15" s="95"/>
      <c r="I15" s="95"/>
      <c r="J15" s="95"/>
      <c r="K15" s="95"/>
    </row>
    <row r="16" spans="1:18">
      <c r="A16" s="96" t="s">
        <v>55</v>
      </c>
      <c r="B16">
        <f>COUNTIF(Table105[Q9. How much is your total pre-tax household income?], A16)</f>
        <v>6</v>
      </c>
      <c r="C16" s="95">
        <f>SUMIF(Table105[Q9. How much is your total pre-tax household income?], $A16, 'Profiles - Group A '!J$6:J$41)</f>
        <v>52.55</v>
      </c>
      <c r="D16" s="95">
        <f>SUMIF(Table105[Q9. How much is your total pre-tax household income?], $A16, 'Profiles - Group A '!K$6:K$41)</f>
        <v>14137</v>
      </c>
      <c r="E16" s="95">
        <f>SUMIF(Table105[Q9. How much is your total pre-tax household income?], $A16, 'Profiles - Group A '!L$6:L$41)</f>
        <v>455</v>
      </c>
      <c r="F16" s="95">
        <f>SUMIF(Table105[Q9. How much is your total pre-tax household income?], $A16, 'Profiles - Group A '!M$6:M$41)</f>
        <v>880</v>
      </c>
      <c r="H16" s="95">
        <f t="shared" ref="H16:H19" si="5">C16/(22*$B16)</f>
        <v>0.39810606060606057</v>
      </c>
      <c r="I16" s="95">
        <f t="shared" ref="I16:I19" si="6">D16/(22*$B16)</f>
        <v>107.09848484848484</v>
      </c>
      <c r="J16" s="95">
        <f t="shared" ref="J16:J19" si="7">E16/(22*$B16)</f>
        <v>3.4469696969696968</v>
      </c>
      <c r="K16" s="95">
        <f>F16/($B16*3)</f>
        <v>48.888888888888886</v>
      </c>
    </row>
    <row r="17" spans="1:11">
      <c r="A17" s="96" t="s">
        <v>49</v>
      </c>
      <c r="B17">
        <f>COUNTIF(Table105[Q9. How much is your total pre-tax household income?], A17)</f>
        <v>13</v>
      </c>
      <c r="C17" s="95">
        <f>SUMIF(Table105[Q9. How much is your total pre-tax household income?], $A17, 'Profiles - Group A '!J$6:J$41)</f>
        <v>93</v>
      </c>
      <c r="D17" s="95">
        <f>SUMIF(Table105[Q9. How much is your total pre-tax household income?], $A17, 'Profiles - Group A '!K$6:K$41)</f>
        <v>29787</v>
      </c>
      <c r="E17" s="95">
        <f>SUMIF(Table105[Q9. How much is your total pre-tax household income?], $A17, 'Profiles - Group A '!L$6:L$41)</f>
        <v>883</v>
      </c>
      <c r="F17" s="95">
        <f>SUMIF(Table105[Q9. How much is your total pre-tax household income?], $A17, 'Profiles - Group A '!M$6:M$41)</f>
        <v>1932.5</v>
      </c>
      <c r="H17" s="95">
        <f t="shared" si="5"/>
        <v>0.32517482517482516</v>
      </c>
      <c r="I17" s="95">
        <f t="shared" si="6"/>
        <v>104.15034965034965</v>
      </c>
      <c r="J17" s="95">
        <f t="shared" si="7"/>
        <v>3.0874125874125875</v>
      </c>
      <c r="K17" s="95">
        <f>F17/($B17*3)</f>
        <v>49.551282051282051</v>
      </c>
    </row>
    <row r="18" spans="1:11">
      <c r="A18" s="96" t="s">
        <v>44</v>
      </c>
      <c r="B18">
        <f>COUNTIF(Table105[Q9. How much is your total pre-tax household income?], A18)</f>
        <v>12</v>
      </c>
      <c r="C18" s="95">
        <f>SUMIF(Table105[Q9. How much is your total pre-tax household income?], $A18, 'Profiles - Group A '!J$6:J$41)</f>
        <v>106.5</v>
      </c>
      <c r="D18" s="95">
        <f>SUMIF(Table105[Q9. How much is your total pre-tax household income?], $A18, 'Profiles - Group A '!K$6:K$41)</f>
        <v>31578</v>
      </c>
      <c r="E18" s="95">
        <f>SUMIF(Table105[Q9. How much is your total pre-tax household income?], $A18, 'Profiles - Group A '!L$6:L$41)</f>
        <v>807</v>
      </c>
      <c r="F18" s="95">
        <f>SUMIF(Table105[Q9. How much is your total pre-tax household income?], $A18, 'Profiles - Group A '!M$6:M$41)</f>
        <v>1780</v>
      </c>
      <c r="H18" s="95">
        <f t="shared" si="5"/>
        <v>0.40340909090909088</v>
      </c>
      <c r="I18" s="95">
        <f t="shared" si="6"/>
        <v>119.61363636363636</v>
      </c>
      <c r="J18" s="95">
        <f t="shared" si="7"/>
        <v>3.0568181818181817</v>
      </c>
      <c r="K18" s="95">
        <f>F18/($B18*3)</f>
        <v>49.444444444444443</v>
      </c>
    </row>
    <row r="19" spans="1:11">
      <c r="A19" s="96" t="s">
        <v>56</v>
      </c>
      <c r="B19">
        <f>COUNTIF(Table105[Q9. How much is your total pre-tax household income?], A19)</f>
        <v>5</v>
      </c>
      <c r="C19" s="95">
        <f>SUMIF(Table105[Q9. How much is your total pre-tax household income?], $A19, 'Profiles - Group A '!J$6:J$41)</f>
        <v>41.25</v>
      </c>
      <c r="D19" s="95">
        <f>SUMIF(Table105[Q9. How much is your total pre-tax household income?], $A19, 'Profiles - Group A '!K$6:K$41)</f>
        <v>13652</v>
      </c>
      <c r="E19" s="95">
        <f>SUMIF(Table105[Q9. How much is your total pre-tax household income?], $A19, 'Profiles - Group A '!L$6:L$41)</f>
        <v>322</v>
      </c>
      <c r="F19" s="95">
        <f>SUMIF(Table105[Q9. How much is your total pre-tax household income?], $A19, 'Profiles - Group A '!M$6:M$41)</f>
        <v>797.5</v>
      </c>
      <c r="H19" s="95">
        <f t="shared" si="5"/>
        <v>0.375</v>
      </c>
      <c r="I19" s="95">
        <f t="shared" si="6"/>
        <v>124.10909090909091</v>
      </c>
      <c r="J19" s="95">
        <f t="shared" si="7"/>
        <v>2.9272727272727272</v>
      </c>
      <c r="K19" s="95">
        <f>F19/($B19*3)</f>
        <v>53.166666666666664</v>
      </c>
    </row>
    <row r="20" spans="1:11">
      <c r="A20" s="96"/>
      <c r="C20" s="95"/>
      <c r="D20" s="95"/>
      <c r="H20" s="95"/>
      <c r="I20" s="95"/>
      <c r="J20" s="95"/>
      <c r="K20" s="95"/>
    </row>
    <row r="21" spans="1:11">
      <c r="A21" s="96"/>
      <c r="C21" s="95"/>
      <c r="D21" s="95"/>
      <c r="H21" s="95"/>
      <c r="I21" s="95"/>
      <c r="J21" s="95"/>
      <c r="K21" s="95"/>
    </row>
    <row r="22" spans="1:11">
      <c r="A22" s="96" t="s">
        <v>42</v>
      </c>
      <c r="B22">
        <f>COUNTIF(Table105[Education level], 'Demographic Analysis - Group A'!A22)</f>
        <v>10</v>
      </c>
      <c r="C22" s="95">
        <f>SUMIF(Table105[Education level], 'Demographic Analysis - Group A'!$A22, 'Profiles - Group A '!J$6:J$41)</f>
        <v>79</v>
      </c>
      <c r="D22" s="95">
        <f>SUMIF(Table105[Education level], 'Demographic Analysis - Group A'!$A22, 'Profiles - Group A '!K$6:K$41)</f>
        <v>27936</v>
      </c>
      <c r="E22" s="95">
        <f>SUMIF(Table105[Education level], 'Demographic Analysis - Group A'!$A22, 'Profiles - Group A '!L$6:L$41)</f>
        <v>632</v>
      </c>
      <c r="F22" s="95">
        <f>SUMIF(Table105[Education level], 'Demographic Analysis - Group A'!$A22, 'Profiles - Group A '!M$6:M$41)</f>
        <v>1442.5</v>
      </c>
      <c r="H22" s="95">
        <f t="shared" ref="H22:H25" si="8">C22/(22*$B22)</f>
        <v>0.35909090909090907</v>
      </c>
      <c r="I22" s="95">
        <f t="shared" ref="I22:I25" si="9">D22/(22*$B22)</f>
        <v>126.98181818181818</v>
      </c>
      <c r="J22" s="95">
        <f t="shared" ref="J22:J25" si="10">E22/(22*$B22)</f>
        <v>2.8727272727272726</v>
      </c>
      <c r="K22" s="95">
        <f>F22/($B22*3)</f>
        <v>48.083333333333336</v>
      </c>
    </row>
    <row r="23" spans="1:11">
      <c r="A23" s="96" t="s">
        <v>50</v>
      </c>
      <c r="B23">
        <f>COUNTIF(Table105[Education level], 'Demographic Analysis - Group A'!A23)</f>
        <v>14</v>
      </c>
      <c r="C23" s="95">
        <f>SUMIF(Table105[Education level], 'Demographic Analysis - Group A'!$A23, 'Profiles - Group A '!J$6:J$41)</f>
        <v>97.55</v>
      </c>
      <c r="D23" s="95">
        <f>SUMIF(Table105[Education level], 'Demographic Analysis - Group A'!$A23, 'Profiles - Group A '!K$6:K$41)</f>
        <v>31552</v>
      </c>
      <c r="E23" s="95">
        <f>SUMIF(Table105[Education level], 'Demographic Analysis - Group A'!$A23, 'Profiles - Group A '!L$6:L$41)</f>
        <v>913</v>
      </c>
      <c r="F23" s="95">
        <f>SUMIF(Table105[Education level], 'Demographic Analysis - Group A'!$A23, 'Profiles - Group A '!M$6:M$41)</f>
        <v>1847.5</v>
      </c>
      <c r="H23" s="95">
        <f t="shared" si="8"/>
        <v>0.31672077922077924</v>
      </c>
      <c r="I23" s="95">
        <f t="shared" si="9"/>
        <v>102.44155844155844</v>
      </c>
      <c r="J23" s="95">
        <f t="shared" si="10"/>
        <v>2.9642857142857144</v>
      </c>
      <c r="K23" s="95">
        <f>F23/($B23*3)</f>
        <v>43.988095238095241</v>
      </c>
    </row>
    <row r="24" spans="1:11">
      <c r="A24" s="96" t="s">
        <v>51</v>
      </c>
      <c r="B24">
        <f>COUNTIF(Table105[Education level], 'Demographic Analysis - Group A'!A24)</f>
        <v>9</v>
      </c>
      <c r="C24" s="95">
        <f>SUMIF(Table105[Education level], 'Demographic Analysis - Group A'!$A24, 'Profiles - Group A '!J$6:J$41)</f>
        <v>88.25</v>
      </c>
      <c r="D24" s="95">
        <f>SUMIF(Table105[Education level], 'Demographic Analysis - Group A'!$A24, 'Profiles - Group A '!K$6:K$41)</f>
        <v>21701</v>
      </c>
      <c r="E24" s="95">
        <f>SUMIF(Table105[Education level], 'Demographic Analysis - Group A'!$A24, 'Profiles - Group A '!L$6:L$41)</f>
        <v>690</v>
      </c>
      <c r="F24" s="95">
        <f>SUMIF(Table105[Education level], 'Demographic Analysis - Group A'!$A24, 'Profiles - Group A '!M$6:M$41)</f>
        <v>1485</v>
      </c>
      <c r="H24" s="95">
        <f t="shared" si="8"/>
        <v>0.44570707070707072</v>
      </c>
      <c r="I24" s="95">
        <f t="shared" si="9"/>
        <v>109.6010101010101</v>
      </c>
      <c r="J24" s="95">
        <f t="shared" si="10"/>
        <v>3.4848484848484849</v>
      </c>
      <c r="K24" s="95">
        <f>F24/($B24*3)</f>
        <v>55</v>
      </c>
    </row>
    <row r="25" spans="1:11">
      <c r="A25" s="96" t="s">
        <v>53</v>
      </c>
      <c r="B25">
        <f>COUNTIF(Table105[Education level], 'Demographic Analysis - Group A'!A25)</f>
        <v>3</v>
      </c>
      <c r="C25" s="95">
        <f>SUMIF(Table105[Education level], 'Demographic Analysis - Group A'!$A25, 'Profiles - Group A '!J$6:J$41)</f>
        <v>28.5</v>
      </c>
      <c r="D25" s="95">
        <f>SUMIF(Table105[Education level], 'Demographic Analysis - Group A'!$A25, 'Profiles - Group A '!K$6:K$41)</f>
        <v>7965</v>
      </c>
      <c r="E25" s="95">
        <f>SUMIF(Table105[Education level], 'Demographic Analysis - Group A'!$A25, 'Profiles - Group A '!L$6:L$41)</f>
        <v>232</v>
      </c>
      <c r="F25" s="95">
        <f>SUMIF(Table105[Education level], 'Demographic Analysis - Group A'!$A25, 'Profiles - Group A '!M$6:M$41)</f>
        <v>615</v>
      </c>
      <c r="H25" s="95">
        <f t="shared" si="8"/>
        <v>0.43181818181818182</v>
      </c>
      <c r="I25" s="95">
        <f t="shared" si="9"/>
        <v>120.68181818181819</v>
      </c>
      <c r="J25" s="95">
        <f t="shared" si="10"/>
        <v>3.5151515151515151</v>
      </c>
      <c r="K25" s="95">
        <f>F25/($B25*3)</f>
        <v>68.333333333333329</v>
      </c>
    </row>
    <row r="26" spans="1:11">
      <c r="A26" s="96"/>
      <c r="C26" s="95"/>
      <c r="D26" s="95"/>
      <c r="H26" s="95"/>
      <c r="I26" s="95"/>
      <c r="J26" s="95"/>
      <c r="K26" s="95"/>
    </row>
    <row r="27" spans="1:11">
      <c r="A27" s="96"/>
      <c r="C27" s="95"/>
      <c r="D27" s="95"/>
      <c r="H27" s="95"/>
      <c r="I27" s="95"/>
      <c r="J27" s="95"/>
      <c r="K27" s="95"/>
    </row>
    <row r="28" spans="1:11">
      <c r="A28" s="96" t="s">
        <v>123</v>
      </c>
      <c r="B28">
        <f>COUNTIF(Table105[B: Accessibilty Screener], "&lt;&gt;No")</f>
        <v>6</v>
      </c>
      <c r="C28" s="95">
        <f>SUMIF(Table105[B: Accessibilty Screener], "&lt;&gt;No", 'Profiles - Group A '!J$6:J$41)</f>
        <v>48.55</v>
      </c>
      <c r="D28" s="95">
        <f>SUMIF(Table105[B: Accessibilty Screener], "&lt;&gt;No", 'Profiles - Group A '!K$6:K$41)</f>
        <v>15365</v>
      </c>
      <c r="E28" s="95">
        <f>SUMIF(Table105[B: Accessibilty Screener], "&lt;&gt;No", 'Profiles - Group A '!L$6:L$41)</f>
        <v>455</v>
      </c>
      <c r="F28" s="95">
        <f>SUMIF(Table105[B: Accessibilty Screener], "&lt;&gt;No", 'Profiles - Group A '!M$6:M$41)</f>
        <v>905</v>
      </c>
      <c r="H28" s="95">
        <f t="shared" ref="H28:H29" si="11">C28/(22*$B28)</f>
        <v>0.3678030303030303</v>
      </c>
      <c r="I28" s="95">
        <f t="shared" ref="I28:I29" si="12">D28/(22*$B28)</f>
        <v>116.40151515151516</v>
      </c>
      <c r="J28" s="95">
        <f t="shared" ref="J28:J29" si="13">E28/(22*$B28)</f>
        <v>3.4469696969696968</v>
      </c>
      <c r="K28" s="95">
        <f>F28/($B28*3)</f>
        <v>50.277777777777779</v>
      </c>
    </row>
    <row r="29" spans="1:11">
      <c r="A29" s="96" t="s">
        <v>124</v>
      </c>
      <c r="B29">
        <f>COUNTIF(Table105[B: Accessibilty Screener], "No")</f>
        <v>30</v>
      </c>
      <c r="C29" s="95">
        <f>SUMIF(Table105[B: Accessibilty Screener], "No", 'Profiles - Group A '!J$6:J$41)</f>
        <v>244.75</v>
      </c>
      <c r="D29" s="95">
        <f>SUMIF(Table105[B: Accessibilty Screener], "No", 'Profiles - Group A '!K$6:K$41)</f>
        <v>73789</v>
      </c>
      <c r="E29" s="95">
        <f>SUMIF(Table105[B: Accessibilty Screener], "No", 'Profiles - Group A '!L$6:L$41)</f>
        <v>2012</v>
      </c>
      <c r="F29" s="95">
        <f>SUMIF(Table105[B: Accessibilty Screener], "No", 'Profiles - Group A '!M$6:M$41)</f>
        <v>4485</v>
      </c>
      <c r="H29" s="95">
        <f t="shared" si="11"/>
        <v>0.37083333333333335</v>
      </c>
      <c r="I29" s="95">
        <f t="shared" si="12"/>
        <v>111.80151515151515</v>
      </c>
      <c r="J29" s="95">
        <f t="shared" si="13"/>
        <v>3.0484848484848484</v>
      </c>
      <c r="K29" s="95">
        <f>F29/($B29*3)</f>
        <v>49.833333333333336</v>
      </c>
    </row>
    <row r="30" spans="1:11">
      <c r="C30" s="95"/>
      <c r="D30" s="95"/>
    </row>
    <row r="31" spans="1:11">
      <c r="C31" s="95"/>
      <c r="D31" s="95"/>
    </row>
    <row r="32" spans="1:11">
      <c r="A32" s="96" t="s">
        <v>151</v>
      </c>
      <c r="B32">
        <f>SUM(B8:B9)</f>
        <v>10</v>
      </c>
      <c r="C32" s="95">
        <f>SUM(C8:C9)</f>
        <v>103.25</v>
      </c>
      <c r="D32" s="95">
        <f t="shared" ref="D32:F32" si="14">SUM(D8:D9)</f>
        <v>19278</v>
      </c>
      <c r="E32" s="95">
        <f t="shared" si="14"/>
        <v>810</v>
      </c>
      <c r="F32" s="95">
        <f t="shared" si="14"/>
        <v>1907.5</v>
      </c>
      <c r="H32" s="95">
        <f t="shared" ref="H32:H34" si="15">C32/(22*$B32)</f>
        <v>0.4693181818181818</v>
      </c>
      <c r="I32" s="95">
        <f t="shared" ref="I32:I34" si="16">D32/(22*$B32)</f>
        <v>87.627272727272725</v>
      </c>
      <c r="J32" s="95">
        <f t="shared" ref="J32:J34" si="17">E32/(22*$B32)</f>
        <v>3.6818181818181817</v>
      </c>
      <c r="K32" s="95">
        <f t="shared" ref="K32:K34" si="18">F32/($B32*3)</f>
        <v>63.583333333333336</v>
      </c>
    </row>
    <row r="33" spans="1:11">
      <c r="A33" s="96" t="s">
        <v>152</v>
      </c>
      <c r="B33">
        <f>SUM(B10:B11)</f>
        <v>15</v>
      </c>
      <c r="C33" s="95">
        <f>SUM(C10:C11)</f>
        <v>112.05</v>
      </c>
      <c r="D33" s="95">
        <f t="shared" ref="D33:F33" si="19">SUM(D10:D11)</f>
        <v>39598</v>
      </c>
      <c r="E33" s="95">
        <f t="shared" si="19"/>
        <v>974</v>
      </c>
      <c r="F33" s="95">
        <f t="shared" si="19"/>
        <v>2075</v>
      </c>
      <c r="H33" s="95">
        <f t="shared" si="15"/>
        <v>0.33954545454545454</v>
      </c>
      <c r="I33" s="95">
        <f t="shared" si="16"/>
        <v>119.9939393939394</v>
      </c>
      <c r="J33" s="95">
        <f t="shared" si="17"/>
        <v>2.9515151515151516</v>
      </c>
      <c r="K33" s="95">
        <f t="shared" si="18"/>
        <v>46.111111111111114</v>
      </c>
    </row>
    <row r="34" spans="1:11">
      <c r="A34" s="96" t="s">
        <v>153</v>
      </c>
      <c r="B34">
        <f>SUM(B12:B13)</f>
        <v>11</v>
      </c>
      <c r="C34" s="95">
        <f>SUM(C12:C13)</f>
        <v>78</v>
      </c>
      <c r="D34" s="95">
        <f t="shared" ref="D34:F34" si="20">SUM(D12:D13)</f>
        <v>30278</v>
      </c>
      <c r="E34" s="95">
        <f t="shared" si="20"/>
        <v>683</v>
      </c>
      <c r="F34" s="95">
        <f t="shared" si="20"/>
        <v>1407.5</v>
      </c>
      <c r="H34" s="95">
        <f t="shared" si="15"/>
        <v>0.32231404958677684</v>
      </c>
      <c r="I34" s="95">
        <f t="shared" si="16"/>
        <v>125.11570247933884</v>
      </c>
      <c r="J34" s="95">
        <f t="shared" si="17"/>
        <v>2.8223140495867769</v>
      </c>
      <c r="K34" s="95">
        <f t="shared" si="18"/>
        <v>42.651515151515149</v>
      </c>
    </row>
    <row r="35" spans="1:11">
      <c r="A35" s="96"/>
      <c r="C35" s="95"/>
      <c r="D35" s="95"/>
    </row>
    <row r="36" spans="1:11">
      <c r="A36" s="96" t="s">
        <v>154</v>
      </c>
      <c r="B36">
        <f>SUM(B22:B23)</f>
        <v>24</v>
      </c>
      <c r="C36" s="95">
        <f>SUM(C22:C23)</f>
        <v>176.55</v>
      </c>
      <c r="D36" s="95">
        <f t="shared" ref="D36:F36" si="21">SUM(D22:D23)</f>
        <v>59488</v>
      </c>
      <c r="E36" s="95">
        <f t="shared" si="21"/>
        <v>1545</v>
      </c>
      <c r="F36" s="95">
        <f t="shared" si="21"/>
        <v>3290</v>
      </c>
      <c r="H36" s="95">
        <f t="shared" ref="H36:H37" si="22">C36/(22*$B36)</f>
        <v>0.33437500000000003</v>
      </c>
      <c r="I36" s="95">
        <f t="shared" ref="I36:I37" si="23">D36/(22*$B36)</f>
        <v>112.66666666666667</v>
      </c>
      <c r="J36" s="95">
        <f t="shared" ref="J36:J37" si="24">E36/(22*$B36)</f>
        <v>2.9261363636363638</v>
      </c>
      <c r="K36" s="95">
        <f t="shared" ref="K36:K37" si="25">F36/($B36*3)</f>
        <v>45.694444444444443</v>
      </c>
    </row>
    <row r="37" spans="1:11">
      <c r="A37" s="96" t="s">
        <v>155</v>
      </c>
      <c r="B37">
        <f>SUM(B24:B25)</f>
        <v>12</v>
      </c>
      <c r="C37" s="95">
        <f>SUM(C24:C25)</f>
        <v>116.75</v>
      </c>
      <c r="D37" s="95">
        <f t="shared" ref="D37:F37" si="26">SUM(D24:D25)</f>
        <v>29666</v>
      </c>
      <c r="E37" s="95">
        <f t="shared" si="26"/>
        <v>922</v>
      </c>
      <c r="F37" s="95">
        <f t="shared" si="26"/>
        <v>2100</v>
      </c>
      <c r="H37" s="95">
        <f t="shared" si="22"/>
        <v>0.44223484848484851</v>
      </c>
      <c r="I37" s="95">
        <f t="shared" si="23"/>
        <v>112.37121212121212</v>
      </c>
      <c r="J37" s="95">
        <f t="shared" si="24"/>
        <v>3.4924242424242422</v>
      </c>
      <c r="K37" s="95">
        <f t="shared" si="25"/>
        <v>58.333333333333336</v>
      </c>
    </row>
    <row r="38" spans="1:11">
      <c r="C38" s="95"/>
      <c r="D38" s="95"/>
    </row>
    <row r="39" spans="1:11">
      <c r="A39" s="96" t="s">
        <v>156</v>
      </c>
      <c r="B39">
        <f>SUM(B17:B18)</f>
        <v>25</v>
      </c>
      <c r="C39" s="95">
        <f>SUM(C17:C18)</f>
        <v>199.5</v>
      </c>
      <c r="D39" s="95">
        <f t="shared" ref="D39:F39" si="27">SUM(D17:D18)</f>
        <v>61365</v>
      </c>
      <c r="E39" s="95">
        <f t="shared" si="27"/>
        <v>1690</v>
      </c>
      <c r="F39" s="95">
        <f t="shared" si="27"/>
        <v>3712.5</v>
      </c>
      <c r="H39" s="95">
        <f t="shared" ref="H39" si="28">C39/(22*$B39)</f>
        <v>0.36272727272727273</v>
      </c>
      <c r="I39" s="95">
        <f t="shared" ref="I39" si="29">D39/(22*$B39)</f>
        <v>111.57272727272728</v>
      </c>
      <c r="J39" s="95">
        <f t="shared" ref="J39" si="30">E39/(22*$B39)</f>
        <v>3.0727272727272728</v>
      </c>
      <c r="K39" s="95">
        <f>F39/($B39*3)</f>
        <v>49.5</v>
      </c>
    </row>
  </sheetData>
  <mergeCells count="1">
    <mergeCell ref="H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91"/>
  <sheetViews>
    <sheetView zoomScale="70" zoomScaleNormal="70" workbookViewId="0">
      <selection activeCell="F3" sqref="F3"/>
    </sheetView>
  </sheetViews>
  <sheetFormatPr defaultColWidth="8.85546875" defaultRowHeight="15"/>
  <cols>
    <col min="1" max="1" width="20.7109375" style="62" bestFit="1" customWidth="1"/>
    <col min="2" max="2" width="25.5703125" hidden="1" customWidth="1"/>
    <col min="3" max="3" width="10.28515625" style="62" hidden="1" customWidth="1"/>
    <col min="4" max="4" width="15.28515625" style="62" hidden="1" customWidth="1"/>
    <col min="5" max="5" width="12.28515625" style="62" customWidth="1"/>
    <col min="6" max="6" width="23.140625" style="62" customWidth="1"/>
    <col min="7" max="7" width="28" style="62" customWidth="1"/>
    <col min="8" max="8" width="37.5703125" style="62" customWidth="1"/>
    <col min="9" max="9" width="33.42578125" style="62" customWidth="1"/>
    <col min="10" max="10" width="24.7109375" style="62" customWidth="1"/>
    <col min="11" max="11" width="21.28515625" style="62" customWidth="1"/>
    <col min="12" max="12" width="17.42578125" style="62" customWidth="1"/>
    <col min="13" max="13" width="13" style="62" customWidth="1"/>
    <col min="14" max="14" width="12.5703125" style="62" customWidth="1"/>
    <col min="15" max="240" width="8.85546875" style="62"/>
    <col min="241" max="241" width="20.140625" style="62" customWidth="1"/>
    <col min="242" max="242" width="25.5703125" style="62" customWidth="1"/>
    <col min="243" max="243" width="10.28515625" style="62" customWidth="1"/>
    <col min="244" max="244" width="15.28515625" style="62" customWidth="1"/>
    <col min="245" max="247" width="24.42578125" style="62" customWidth="1"/>
    <col min="248" max="248" width="16.5703125" style="62" customWidth="1"/>
    <col min="249" max="249" width="12.28515625" style="62" customWidth="1"/>
    <col min="250" max="250" width="23.140625" style="62" customWidth="1"/>
    <col min="251" max="251" width="36.28515625" style="62" bestFit="1" customWidth="1"/>
    <col min="252" max="252" width="36.140625" style="62" customWidth="1"/>
    <col min="253" max="253" width="37.85546875" style="62" customWidth="1"/>
    <col min="254" max="254" width="24.28515625" style="62" customWidth="1"/>
    <col min="255" max="255" width="28" style="62" customWidth="1"/>
    <col min="256" max="256" width="21.7109375" style="62" customWidth="1"/>
    <col min="257" max="257" width="29.140625" style="62" customWidth="1"/>
    <col min="258" max="258" width="37.5703125" style="62" customWidth="1"/>
    <col min="259" max="259" width="29.140625" style="62" customWidth="1"/>
    <col min="260" max="260" width="33.42578125" style="62" customWidth="1"/>
    <col min="261" max="261" width="31" style="62" customWidth="1"/>
    <col min="262" max="262" width="35.42578125" style="62" customWidth="1"/>
    <col min="263" max="263" width="33.42578125" style="62" customWidth="1"/>
    <col min="264" max="264" width="24.7109375" style="62" customWidth="1"/>
    <col min="265" max="496" width="8.85546875" style="62"/>
    <col min="497" max="497" width="20.140625" style="62" customWidth="1"/>
    <col min="498" max="498" width="25.5703125" style="62" customWidth="1"/>
    <col min="499" max="499" width="10.28515625" style="62" customWidth="1"/>
    <col min="500" max="500" width="15.28515625" style="62" customWidth="1"/>
    <col min="501" max="503" width="24.42578125" style="62" customWidth="1"/>
    <col min="504" max="504" width="16.5703125" style="62" customWidth="1"/>
    <col min="505" max="505" width="12.28515625" style="62" customWidth="1"/>
    <col min="506" max="506" width="23.140625" style="62" customWidth="1"/>
    <col min="507" max="507" width="36.28515625" style="62" bestFit="1" customWidth="1"/>
    <col min="508" max="508" width="36.140625" style="62" customWidth="1"/>
    <col min="509" max="509" width="37.85546875" style="62" customWidth="1"/>
    <col min="510" max="510" width="24.28515625" style="62" customWidth="1"/>
    <col min="511" max="511" width="28" style="62" customWidth="1"/>
    <col min="512" max="512" width="21.7109375" style="62" customWidth="1"/>
    <col min="513" max="513" width="29.140625" style="62" customWidth="1"/>
    <col min="514" max="514" width="37.5703125" style="62" customWidth="1"/>
    <col min="515" max="515" width="29.140625" style="62" customWidth="1"/>
    <col min="516" max="516" width="33.42578125" style="62" customWidth="1"/>
    <col min="517" max="517" width="31" style="62" customWidth="1"/>
    <col min="518" max="518" width="35.42578125" style="62" customWidth="1"/>
    <col min="519" max="519" width="33.42578125" style="62" customWidth="1"/>
    <col min="520" max="520" width="24.7109375" style="62" customWidth="1"/>
    <col min="521" max="752" width="8.85546875" style="62"/>
    <col min="753" max="753" width="20.140625" style="62" customWidth="1"/>
    <col min="754" max="754" width="25.5703125" style="62" customWidth="1"/>
    <col min="755" max="755" width="10.28515625" style="62" customWidth="1"/>
    <col min="756" max="756" width="15.28515625" style="62" customWidth="1"/>
    <col min="757" max="759" width="24.42578125" style="62" customWidth="1"/>
    <col min="760" max="760" width="16.5703125" style="62" customWidth="1"/>
    <col min="761" max="761" width="12.28515625" style="62" customWidth="1"/>
    <col min="762" max="762" width="23.140625" style="62" customWidth="1"/>
    <col min="763" max="763" width="36.28515625" style="62" bestFit="1" customWidth="1"/>
    <col min="764" max="764" width="36.140625" style="62" customWidth="1"/>
    <col min="765" max="765" width="37.85546875" style="62" customWidth="1"/>
    <col min="766" max="766" width="24.28515625" style="62" customWidth="1"/>
    <col min="767" max="767" width="28" style="62" customWidth="1"/>
    <col min="768" max="768" width="21.7109375" style="62" customWidth="1"/>
    <col min="769" max="769" width="29.140625" style="62" customWidth="1"/>
    <col min="770" max="770" width="37.5703125" style="62" customWidth="1"/>
    <col min="771" max="771" width="29.140625" style="62" customWidth="1"/>
    <col min="772" max="772" width="33.42578125" style="62" customWidth="1"/>
    <col min="773" max="773" width="31" style="62" customWidth="1"/>
    <col min="774" max="774" width="35.42578125" style="62" customWidth="1"/>
    <col min="775" max="775" width="33.42578125" style="62" customWidth="1"/>
    <col min="776" max="776" width="24.7109375" style="62" customWidth="1"/>
    <col min="777" max="1008" width="8.85546875" style="62"/>
    <col min="1009" max="1009" width="20.140625" style="62" customWidth="1"/>
    <col min="1010" max="1010" width="25.5703125" style="62" customWidth="1"/>
    <col min="1011" max="1011" width="10.28515625" style="62" customWidth="1"/>
    <col min="1012" max="1012" width="15.28515625" style="62" customWidth="1"/>
    <col min="1013" max="1015" width="24.42578125" style="62" customWidth="1"/>
    <col min="1016" max="1016" width="16.5703125" style="62" customWidth="1"/>
    <col min="1017" max="1017" width="12.28515625" style="62" customWidth="1"/>
    <col min="1018" max="1018" width="23.140625" style="62" customWidth="1"/>
    <col min="1019" max="1019" width="36.28515625" style="62" bestFit="1" customWidth="1"/>
    <col min="1020" max="1020" width="36.140625" style="62" customWidth="1"/>
    <col min="1021" max="1021" width="37.85546875" style="62" customWidth="1"/>
    <col min="1022" max="1022" width="24.28515625" style="62" customWidth="1"/>
    <col min="1023" max="1023" width="28" style="62" customWidth="1"/>
    <col min="1024" max="1024" width="21.7109375" style="62" customWidth="1"/>
    <col min="1025" max="1025" width="29.140625" style="62" customWidth="1"/>
    <col min="1026" max="1026" width="37.5703125" style="62" customWidth="1"/>
    <col min="1027" max="1027" width="29.140625" style="62" customWidth="1"/>
    <col min="1028" max="1028" width="33.42578125" style="62" customWidth="1"/>
    <col min="1029" max="1029" width="31" style="62" customWidth="1"/>
    <col min="1030" max="1030" width="35.42578125" style="62" customWidth="1"/>
    <col min="1031" max="1031" width="33.42578125" style="62" customWidth="1"/>
    <col min="1032" max="1032" width="24.7109375" style="62" customWidth="1"/>
    <col min="1033" max="1264" width="8.85546875" style="62"/>
    <col min="1265" max="1265" width="20.140625" style="62" customWidth="1"/>
    <col min="1266" max="1266" width="25.5703125" style="62" customWidth="1"/>
    <col min="1267" max="1267" width="10.28515625" style="62" customWidth="1"/>
    <col min="1268" max="1268" width="15.28515625" style="62" customWidth="1"/>
    <col min="1269" max="1271" width="24.42578125" style="62" customWidth="1"/>
    <col min="1272" max="1272" width="16.5703125" style="62" customWidth="1"/>
    <col min="1273" max="1273" width="12.28515625" style="62" customWidth="1"/>
    <col min="1274" max="1274" width="23.140625" style="62" customWidth="1"/>
    <col min="1275" max="1275" width="36.28515625" style="62" bestFit="1" customWidth="1"/>
    <col min="1276" max="1276" width="36.140625" style="62" customWidth="1"/>
    <col min="1277" max="1277" width="37.85546875" style="62" customWidth="1"/>
    <col min="1278" max="1278" width="24.28515625" style="62" customWidth="1"/>
    <col min="1279" max="1279" width="28" style="62" customWidth="1"/>
    <col min="1280" max="1280" width="21.7109375" style="62" customWidth="1"/>
    <col min="1281" max="1281" width="29.140625" style="62" customWidth="1"/>
    <col min="1282" max="1282" width="37.5703125" style="62" customWidth="1"/>
    <col min="1283" max="1283" width="29.140625" style="62" customWidth="1"/>
    <col min="1284" max="1284" width="33.42578125" style="62" customWidth="1"/>
    <col min="1285" max="1285" width="31" style="62" customWidth="1"/>
    <col min="1286" max="1286" width="35.42578125" style="62" customWidth="1"/>
    <col min="1287" max="1287" width="33.42578125" style="62" customWidth="1"/>
    <col min="1288" max="1288" width="24.7109375" style="62" customWidth="1"/>
    <col min="1289" max="1520" width="8.85546875" style="62"/>
    <col min="1521" max="1521" width="20.140625" style="62" customWidth="1"/>
    <col min="1522" max="1522" width="25.5703125" style="62" customWidth="1"/>
    <col min="1523" max="1523" width="10.28515625" style="62" customWidth="1"/>
    <col min="1524" max="1524" width="15.28515625" style="62" customWidth="1"/>
    <col min="1525" max="1527" width="24.42578125" style="62" customWidth="1"/>
    <col min="1528" max="1528" width="16.5703125" style="62" customWidth="1"/>
    <col min="1529" max="1529" width="12.28515625" style="62" customWidth="1"/>
    <col min="1530" max="1530" width="23.140625" style="62" customWidth="1"/>
    <col min="1531" max="1531" width="36.28515625" style="62" bestFit="1" customWidth="1"/>
    <col min="1532" max="1532" width="36.140625" style="62" customWidth="1"/>
    <col min="1533" max="1533" width="37.85546875" style="62" customWidth="1"/>
    <col min="1534" max="1534" width="24.28515625" style="62" customWidth="1"/>
    <col min="1535" max="1535" width="28" style="62" customWidth="1"/>
    <col min="1536" max="1536" width="21.7109375" style="62" customWidth="1"/>
    <col min="1537" max="1537" width="29.140625" style="62" customWidth="1"/>
    <col min="1538" max="1538" width="37.5703125" style="62" customWidth="1"/>
    <col min="1539" max="1539" width="29.140625" style="62" customWidth="1"/>
    <col min="1540" max="1540" width="33.42578125" style="62" customWidth="1"/>
    <col min="1541" max="1541" width="31" style="62" customWidth="1"/>
    <col min="1542" max="1542" width="35.42578125" style="62" customWidth="1"/>
    <col min="1543" max="1543" width="33.42578125" style="62" customWidth="1"/>
    <col min="1544" max="1544" width="24.7109375" style="62" customWidth="1"/>
    <col min="1545" max="1776" width="8.85546875" style="62"/>
    <col min="1777" max="1777" width="20.140625" style="62" customWidth="1"/>
    <col min="1778" max="1778" width="25.5703125" style="62" customWidth="1"/>
    <col min="1779" max="1779" width="10.28515625" style="62" customWidth="1"/>
    <col min="1780" max="1780" width="15.28515625" style="62" customWidth="1"/>
    <col min="1781" max="1783" width="24.42578125" style="62" customWidth="1"/>
    <col min="1784" max="1784" width="16.5703125" style="62" customWidth="1"/>
    <col min="1785" max="1785" width="12.28515625" style="62" customWidth="1"/>
    <col min="1786" max="1786" width="23.140625" style="62" customWidth="1"/>
    <col min="1787" max="1787" width="36.28515625" style="62" bestFit="1" customWidth="1"/>
    <col min="1788" max="1788" width="36.140625" style="62" customWidth="1"/>
    <col min="1789" max="1789" width="37.85546875" style="62" customWidth="1"/>
    <col min="1790" max="1790" width="24.28515625" style="62" customWidth="1"/>
    <col min="1791" max="1791" width="28" style="62" customWidth="1"/>
    <col min="1792" max="1792" width="21.7109375" style="62" customWidth="1"/>
    <col min="1793" max="1793" width="29.140625" style="62" customWidth="1"/>
    <col min="1794" max="1794" width="37.5703125" style="62" customWidth="1"/>
    <col min="1795" max="1795" width="29.140625" style="62" customWidth="1"/>
    <col min="1796" max="1796" width="33.42578125" style="62" customWidth="1"/>
    <col min="1797" max="1797" width="31" style="62" customWidth="1"/>
    <col min="1798" max="1798" width="35.42578125" style="62" customWidth="1"/>
    <col min="1799" max="1799" width="33.42578125" style="62" customWidth="1"/>
    <col min="1800" max="1800" width="24.7109375" style="62" customWidth="1"/>
    <col min="1801" max="2032" width="8.85546875" style="62"/>
    <col min="2033" max="2033" width="20.140625" style="62" customWidth="1"/>
    <col min="2034" max="2034" width="25.5703125" style="62" customWidth="1"/>
    <col min="2035" max="2035" width="10.28515625" style="62" customWidth="1"/>
    <col min="2036" max="2036" width="15.28515625" style="62" customWidth="1"/>
    <col min="2037" max="2039" width="24.42578125" style="62" customWidth="1"/>
    <col min="2040" max="2040" width="16.5703125" style="62" customWidth="1"/>
    <col min="2041" max="2041" width="12.28515625" style="62" customWidth="1"/>
    <col min="2042" max="2042" width="23.140625" style="62" customWidth="1"/>
    <col min="2043" max="2043" width="36.28515625" style="62" bestFit="1" customWidth="1"/>
    <col min="2044" max="2044" width="36.140625" style="62" customWidth="1"/>
    <col min="2045" max="2045" width="37.85546875" style="62" customWidth="1"/>
    <col min="2046" max="2046" width="24.28515625" style="62" customWidth="1"/>
    <col min="2047" max="2047" width="28" style="62" customWidth="1"/>
    <col min="2048" max="2048" width="21.7109375" style="62" customWidth="1"/>
    <col min="2049" max="2049" width="29.140625" style="62" customWidth="1"/>
    <col min="2050" max="2050" width="37.5703125" style="62" customWidth="1"/>
    <col min="2051" max="2051" width="29.140625" style="62" customWidth="1"/>
    <col min="2052" max="2052" width="33.42578125" style="62" customWidth="1"/>
    <col min="2053" max="2053" width="31" style="62" customWidth="1"/>
    <col min="2054" max="2054" width="35.42578125" style="62" customWidth="1"/>
    <col min="2055" max="2055" width="33.42578125" style="62" customWidth="1"/>
    <col min="2056" max="2056" width="24.7109375" style="62" customWidth="1"/>
    <col min="2057" max="2288" width="8.85546875" style="62"/>
    <col min="2289" max="2289" width="20.140625" style="62" customWidth="1"/>
    <col min="2290" max="2290" width="25.5703125" style="62" customWidth="1"/>
    <col min="2291" max="2291" width="10.28515625" style="62" customWidth="1"/>
    <col min="2292" max="2292" width="15.28515625" style="62" customWidth="1"/>
    <col min="2293" max="2295" width="24.42578125" style="62" customWidth="1"/>
    <col min="2296" max="2296" width="16.5703125" style="62" customWidth="1"/>
    <col min="2297" max="2297" width="12.28515625" style="62" customWidth="1"/>
    <col min="2298" max="2298" width="23.140625" style="62" customWidth="1"/>
    <col min="2299" max="2299" width="36.28515625" style="62" bestFit="1" customWidth="1"/>
    <col min="2300" max="2300" width="36.140625" style="62" customWidth="1"/>
    <col min="2301" max="2301" width="37.85546875" style="62" customWidth="1"/>
    <col min="2302" max="2302" width="24.28515625" style="62" customWidth="1"/>
    <col min="2303" max="2303" width="28" style="62" customWidth="1"/>
    <col min="2304" max="2304" width="21.7109375" style="62" customWidth="1"/>
    <col min="2305" max="2305" width="29.140625" style="62" customWidth="1"/>
    <col min="2306" max="2306" width="37.5703125" style="62" customWidth="1"/>
    <col min="2307" max="2307" width="29.140625" style="62" customWidth="1"/>
    <col min="2308" max="2308" width="33.42578125" style="62" customWidth="1"/>
    <col min="2309" max="2309" width="31" style="62" customWidth="1"/>
    <col min="2310" max="2310" width="35.42578125" style="62" customWidth="1"/>
    <col min="2311" max="2311" width="33.42578125" style="62" customWidth="1"/>
    <col min="2312" max="2312" width="24.7109375" style="62" customWidth="1"/>
    <col min="2313" max="2544" width="8.85546875" style="62"/>
    <col min="2545" max="2545" width="20.140625" style="62" customWidth="1"/>
    <col min="2546" max="2546" width="25.5703125" style="62" customWidth="1"/>
    <col min="2547" max="2547" width="10.28515625" style="62" customWidth="1"/>
    <col min="2548" max="2548" width="15.28515625" style="62" customWidth="1"/>
    <col min="2549" max="2551" width="24.42578125" style="62" customWidth="1"/>
    <col min="2552" max="2552" width="16.5703125" style="62" customWidth="1"/>
    <col min="2553" max="2553" width="12.28515625" style="62" customWidth="1"/>
    <col min="2554" max="2554" width="23.140625" style="62" customWidth="1"/>
    <col min="2555" max="2555" width="36.28515625" style="62" bestFit="1" customWidth="1"/>
    <col min="2556" max="2556" width="36.140625" style="62" customWidth="1"/>
    <col min="2557" max="2557" width="37.85546875" style="62" customWidth="1"/>
    <col min="2558" max="2558" width="24.28515625" style="62" customWidth="1"/>
    <col min="2559" max="2559" width="28" style="62" customWidth="1"/>
    <col min="2560" max="2560" width="21.7109375" style="62" customWidth="1"/>
    <col min="2561" max="2561" width="29.140625" style="62" customWidth="1"/>
    <col min="2562" max="2562" width="37.5703125" style="62" customWidth="1"/>
    <col min="2563" max="2563" width="29.140625" style="62" customWidth="1"/>
    <col min="2564" max="2564" width="33.42578125" style="62" customWidth="1"/>
    <col min="2565" max="2565" width="31" style="62" customWidth="1"/>
    <col min="2566" max="2566" width="35.42578125" style="62" customWidth="1"/>
    <col min="2567" max="2567" width="33.42578125" style="62" customWidth="1"/>
    <col min="2568" max="2568" width="24.7109375" style="62" customWidth="1"/>
    <col min="2569" max="2800" width="8.85546875" style="62"/>
    <col min="2801" max="2801" width="20.140625" style="62" customWidth="1"/>
    <col min="2802" max="2802" width="25.5703125" style="62" customWidth="1"/>
    <col min="2803" max="2803" width="10.28515625" style="62" customWidth="1"/>
    <col min="2804" max="2804" width="15.28515625" style="62" customWidth="1"/>
    <col min="2805" max="2807" width="24.42578125" style="62" customWidth="1"/>
    <col min="2808" max="2808" width="16.5703125" style="62" customWidth="1"/>
    <col min="2809" max="2809" width="12.28515625" style="62" customWidth="1"/>
    <col min="2810" max="2810" width="23.140625" style="62" customWidth="1"/>
    <col min="2811" max="2811" width="36.28515625" style="62" bestFit="1" customWidth="1"/>
    <col min="2812" max="2812" width="36.140625" style="62" customWidth="1"/>
    <col min="2813" max="2813" width="37.85546875" style="62" customWidth="1"/>
    <col min="2814" max="2814" width="24.28515625" style="62" customWidth="1"/>
    <col min="2815" max="2815" width="28" style="62" customWidth="1"/>
    <col min="2816" max="2816" width="21.7109375" style="62" customWidth="1"/>
    <col min="2817" max="2817" width="29.140625" style="62" customWidth="1"/>
    <col min="2818" max="2818" width="37.5703125" style="62" customWidth="1"/>
    <col min="2819" max="2819" width="29.140625" style="62" customWidth="1"/>
    <col min="2820" max="2820" width="33.42578125" style="62" customWidth="1"/>
    <col min="2821" max="2821" width="31" style="62" customWidth="1"/>
    <col min="2822" max="2822" width="35.42578125" style="62" customWidth="1"/>
    <col min="2823" max="2823" width="33.42578125" style="62" customWidth="1"/>
    <col min="2824" max="2824" width="24.7109375" style="62" customWidth="1"/>
    <col min="2825" max="3056" width="8.85546875" style="62"/>
    <col min="3057" max="3057" width="20.140625" style="62" customWidth="1"/>
    <col min="3058" max="3058" width="25.5703125" style="62" customWidth="1"/>
    <col min="3059" max="3059" width="10.28515625" style="62" customWidth="1"/>
    <col min="3060" max="3060" width="15.28515625" style="62" customWidth="1"/>
    <col min="3061" max="3063" width="24.42578125" style="62" customWidth="1"/>
    <col min="3064" max="3064" width="16.5703125" style="62" customWidth="1"/>
    <col min="3065" max="3065" width="12.28515625" style="62" customWidth="1"/>
    <col min="3066" max="3066" width="23.140625" style="62" customWidth="1"/>
    <col min="3067" max="3067" width="36.28515625" style="62" bestFit="1" customWidth="1"/>
    <col min="3068" max="3068" width="36.140625" style="62" customWidth="1"/>
    <col min="3069" max="3069" width="37.85546875" style="62" customWidth="1"/>
    <col min="3070" max="3070" width="24.28515625" style="62" customWidth="1"/>
    <col min="3071" max="3071" width="28" style="62" customWidth="1"/>
    <col min="3072" max="3072" width="21.7109375" style="62" customWidth="1"/>
    <col min="3073" max="3073" width="29.140625" style="62" customWidth="1"/>
    <col min="3074" max="3074" width="37.5703125" style="62" customWidth="1"/>
    <col min="3075" max="3075" width="29.140625" style="62" customWidth="1"/>
    <col min="3076" max="3076" width="33.42578125" style="62" customWidth="1"/>
    <col min="3077" max="3077" width="31" style="62" customWidth="1"/>
    <col min="3078" max="3078" width="35.42578125" style="62" customWidth="1"/>
    <col min="3079" max="3079" width="33.42578125" style="62" customWidth="1"/>
    <col min="3080" max="3080" width="24.7109375" style="62" customWidth="1"/>
    <col min="3081" max="3312" width="8.85546875" style="62"/>
    <col min="3313" max="3313" width="20.140625" style="62" customWidth="1"/>
    <col min="3314" max="3314" width="25.5703125" style="62" customWidth="1"/>
    <col min="3315" max="3315" width="10.28515625" style="62" customWidth="1"/>
    <col min="3316" max="3316" width="15.28515625" style="62" customWidth="1"/>
    <col min="3317" max="3319" width="24.42578125" style="62" customWidth="1"/>
    <col min="3320" max="3320" width="16.5703125" style="62" customWidth="1"/>
    <col min="3321" max="3321" width="12.28515625" style="62" customWidth="1"/>
    <col min="3322" max="3322" width="23.140625" style="62" customWidth="1"/>
    <col min="3323" max="3323" width="36.28515625" style="62" bestFit="1" customWidth="1"/>
    <col min="3324" max="3324" width="36.140625" style="62" customWidth="1"/>
    <col min="3325" max="3325" width="37.85546875" style="62" customWidth="1"/>
    <col min="3326" max="3326" width="24.28515625" style="62" customWidth="1"/>
    <col min="3327" max="3327" width="28" style="62" customWidth="1"/>
    <col min="3328" max="3328" width="21.7109375" style="62" customWidth="1"/>
    <col min="3329" max="3329" width="29.140625" style="62" customWidth="1"/>
    <col min="3330" max="3330" width="37.5703125" style="62" customWidth="1"/>
    <col min="3331" max="3331" width="29.140625" style="62" customWidth="1"/>
    <col min="3332" max="3332" width="33.42578125" style="62" customWidth="1"/>
    <col min="3333" max="3333" width="31" style="62" customWidth="1"/>
    <col min="3334" max="3334" width="35.42578125" style="62" customWidth="1"/>
    <col min="3335" max="3335" width="33.42578125" style="62" customWidth="1"/>
    <col min="3336" max="3336" width="24.7109375" style="62" customWidth="1"/>
    <col min="3337" max="3568" width="8.85546875" style="62"/>
    <col min="3569" max="3569" width="20.140625" style="62" customWidth="1"/>
    <col min="3570" max="3570" width="25.5703125" style="62" customWidth="1"/>
    <col min="3571" max="3571" width="10.28515625" style="62" customWidth="1"/>
    <col min="3572" max="3572" width="15.28515625" style="62" customWidth="1"/>
    <col min="3573" max="3575" width="24.42578125" style="62" customWidth="1"/>
    <col min="3576" max="3576" width="16.5703125" style="62" customWidth="1"/>
    <col min="3577" max="3577" width="12.28515625" style="62" customWidth="1"/>
    <col min="3578" max="3578" width="23.140625" style="62" customWidth="1"/>
    <col min="3579" max="3579" width="36.28515625" style="62" bestFit="1" customWidth="1"/>
    <col min="3580" max="3580" width="36.140625" style="62" customWidth="1"/>
    <col min="3581" max="3581" width="37.85546875" style="62" customWidth="1"/>
    <col min="3582" max="3582" width="24.28515625" style="62" customWidth="1"/>
    <col min="3583" max="3583" width="28" style="62" customWidth="1"/>
    <col min="3584" max="3584" width="21.7109375" style="62" customWidth="1"/>
    <col min="3585" max="3585" width="29.140625" style="62" customWidth="1"/>
    <col min="3586" max="3586" width="37.5703125" style="62" customWidth="1"/>
    <col min="3587" max="3587" width="29.140625" style="62" customWidth="1"/>
    <col min="3588" max="3588" width="33.42578125" style="62" customWidth="1"/>
    <col min="3589" max="3589" width="31" style="62" customWidth="1"/>
    <col min="3590" max="3590" width="35.42578125" style="62" customWidth="1"/>
    <col min="3591" max="3591" width="33.42578125" style="62" customWidth="1"/>
    <col min="3592" max="3592" width="24.7109375" style="62" customWidth="1"/>
    <col min="3593" max="3824" width="8.85546875" style="62"/>
    <col min="3825" max="3825" width="20.140625" style="62" customWidth="1"/>
    <col min="3826" max="3826" width="25.5703125" style="62" customWidth="1"/>
    <col min="3827" max="3827" width="10.28515625" style="62" customWidth="1"/>
    <col min="3828" max="3828" width="15.28515625" style="62" customWidth="1"/>
    <col min="3829" max="3831" width="24.42578125" style="62" customWidth="1"/>
    <col min="3832" max="3832" width="16.5703125" style="62" customWidth="1"/>
    <col min="3833" max="3833" width="12.28515625" style="62" customWidth="1"/>
    <col min="3834" max="3834" width="23.140625" style="62" customWidth="1"/>
    <col min="3835" max="3835" width="36.28515625" style="62" bestFit="1" customWidth="1"/>
    <col min="3836" max="3836" width="36.140625" style="62" customWidth="1"/>
    <col min="3837" max="3837" width="37.85546875" style="62" customWidth="1"/>
    <col min="3838" max="3838" width="24.28515625" style="62" customWidth="1"/>
    <col min="3839" max="3839" width="28" style="62" customWidth="1"/>
    <col min="3840" max="3840" width="21.7109375" style="62" customWidth="1"/>
    <col min="3841" max="3841" width="29.140625" style="62" customWidth="1"/>
    <col min="3842" max="3842" width="37.5703125" style="62" customWidth="1"/>
    <col min="3843" max="3843" width="29.140625" style="62" customWidth="1"/>
    <col min="3844" max="3844" width="33.42578125" style="62" customWidth="1"/>
    <col min="3845" max="3845" width="31" style="62" customWidth="1"/>
    <col min="3846" max="3846" width="35.42578125" style="62" customWidth="1"/>
    <col min="3847" max="3847" width="33.42578125" style="62" customWidth="1"/>
    <col min="3848" max="3848" width="24.7109375" style="62" customWidth="1"/>
    <col min="3849" max="4080" width="8.85546875" style="62"/>
    <col min="4081" max="4081" width="20.140625" style="62" customWidth="1"/>
    <col min="4082" max="4082" width="25.5703125" style="62" customWidth="1"/>
    <col min="4083" max="4083" width="10.28515625" style="62" customWidth="1"/>
    <col min="4084" max="4084" width="15.28515625" style="62" customWidth="1"/>
    <col min="4085" max="4087" width="24.42578125" style="62" customWidth="1"/>
    <col min="4088" max="4088" width="16.5703125" style="62" customWidth="1"/>
    <col min="4089" max="4089" width="12.28515625" style="62" customWidth="1"/>
    <col min="4090" max="4090" width="23.140625" style="62" customWidth="1"/>
    <col min="4091" max="4091" width="36.28515625" style="62" bestFit="1" customWidth="1"/>
    <col min="4092" max="4092" width="36.140625" style="62" customWidth="1"/>
    <col min="4093" max="4093" width="37.85546875" style="62" customWidth="1"/>
    <col min="4094" max="4094" width="24.28515625" style="62" customWidth="1"/>
    <col min="4095" max="4095" width="28" style="62" customWidth="1"/>
    <col min="4096" max="4096" width="21.7109375" style="62" customWidth="1"/>
    <col min="4097" max="4097" width="29.140625" style="62" customWidth="1"/>
    <col min="4098" max="4098" width="37.5703125" style="62" customWidth="1"/>
    <col min="4099" max="4099" width="29.140625" style="62" customWidth="1"/>
    <col min="4100" max="4100" width="33.42578125" style="62" customWidth="1"/>
    <col min="4101" max="4101" width="31" style="62" customWidth="1"/>
    <col min="4102" max="4102" width="35.42578125" style="62" customWidth="1"/>
    <col min="4103" max="4103" width="33.42578125" style="62" customWidth="1"/>
    <col min="4104" max="4104" width="24.7109375" style="62" customWidth="1"/>
    <col min="4105" max="4336" width="8.85546875" style="62"/>
    <col min="4337" max="4337" width="20.140625" style="62" customWidth="1"/>
    <col min="4338" max="4338" width="25.5703125" style="62" customWidth="1"/>
    <col min="4339" max="4339" width="10.28515625" style="62" customWidth="1"/>
    <col min="4340" max="4340" width="15.28515625" style="62" customWidth="1"/>
    <col min="4341" max="4343" width="24.42578125" style="62" customWidth="1"/>
    <col min="4344" max="4344" width="16.5703125" style="62" customWidth="1"/>
    <col min="4345" max="4345" width="12.28515625" style="62" customWidth="1"/>
    <col min="4346" max="4346" width="23.140625" style="62" customWidth="1"/>
    <col min="4347" max="4347" width="36.28515625" style="62" bestFit="1" customWidth="1"/>
    <col min="4348" max="4348" width="36.140625" style="62" customWidth="1"/>
    <col min="4349" max="4349" width="37.85546875" style="62" customWidth="1"/>
    <col min="4350" max="4350" width="24.28515625" style="62" customWidth="1"/>
    <col min="4351" max="4351" width="28" style="62" customWidth="1"/>
    <col min="4352" max="4352" width="21.7109375" style="62" customWidth="1"/>
    <col min="4353" max="4353" width="29.140625" style="62" customWidth="1"/>
    <col min="4354" max="4354" width="37.5703125" style="62" customWidth="1"/>
    <col min="4355" max="4355" width="29.140625" style="62" customWidth="1"/>
    <col min="4356" max="4356" width="33.42578125" style="62" customWidth="1"/>
    <col min="4357" max="4357" width="31" style="62" customWidth="1"/>
    <col min="4358" max="4358" width="35.42578125" style="62" customWidth="1"/>
    <col min="4359" max="4359" width="33.42578125" style="62" customWidth="1"/>
    <col min="4360" max="4360" width="24.7109375" style="62" customWidth="1"/>
    <col min="4361" max="4592" width="8.85546875" style="62"/>
    <col min="4593" max="4593" width="20.140625" style="62" customWidth="1"/>
    <col min="4594" max="4594" width="25.5703125" style="62" customWidth="1"/>
    <col min="4595" max="4595" width="10.28515625" style="62" customWidth="1"/>
    <col min="4596" max="4596" width="15.28515625" style="62" customWidth="1"/>
    <col min="4597" max="4599" width="24.42578125" style="62" customWidth="1"/>
    <col min="4600" max="4600" width="16.5703125" style="62" customWidth="1"/>
    <col min="4601" max="4601" width="12.28515625" style="62" customWidth="1"/>
    <col min="4602" max="4602" width="23.140625" style="62" customWidth="1"/>
    <col min="4603" max="4603" width="36.28515625" style="62" bestFit="1" customWidth="1"/>
    <col min="4604" max="4604" width="36.140625" style="62" customWidth="1"/>
    <col min="4605" max="4605" width="37.85546875" style="62" customWidth="1"/>
    <col min="4606" max="4606" width="24.28515625" style="62" customWidth="1"/>
    <col min="4607" max="4607" width="28" style="62" customWidth="1"/>
    <col min="4608" max="4608" width="21.7109375" style="62" customWidth="1"/>
    <col min="4609" max="4609" width="29.140625" style="62" customWidth="1"/>
    <col min="4610" max="4610" width="37.5703125" style="62" customWidth="1"/>
    <col min="4611" max="4611" width="29.140625" style="62" customWidth="1"/>
    <col min="4612" max="4612" width="33.42578125" style="62" customWidth="1"/>
    <col min="4613" max="4613" width="31" style="62" customWidth="1"/>
    <col min="4614" max="4614" width="35.42578125" style="62" customWidth="1"/>
    <col min="4615" max="4615" width="33.42578125" style="62" customWidth="1"/>
    <col min="4616" max="4616" width="24.7109375" style="62" customWidth="1"/>
    <col min="4617" max="4848" width="8.85546875" style="62"/>
    <col min="4849" max="4849" width="20.140625" style="62" customWidth="1"/>
    <col min="4850" max="4850" width="25.5703125" style="62" customWidth="1"/>
    <col min="4851" max="4851" width="10.28515625" style="62" customWidth="1"/>
    <col min="4852" max="4852" width="15.28515625" style="62" customWidth="1"/>
    <col min="4853" max="4855" width="24.42578125" style="62" customWidth="1"/>
    <col min="4856" max="4856" width="16.5703125" style="62" customWidth="1"/>
    <col min="4857" max="4857" width="12.28515625" style="62" customWidth="1"/>
    <col min="4858" max="4858" width="23.140625" style="62" customWidth="1"/>
    <col min="4859" max="4859" width="36.28515625" style="62" bestFit="1" customWidth="1"/>
    <col min="4860" max="4860" width="36.140625" style="62" customWidth="1"/>
    <col min="4861" max="4861" width="37.85546875" style="62" customWidth="1"/>
    <col min="4862" max="4862" width="24.28515625" style="62" customWidth="1"/>
    <col min="4863" max="4863" width="28" style="62" customWidth="1"/>
    <col min="4864" max="4864" width="21.7109375" style="62" customWidth="1"/>
    <col min="4865" max="4865" width="29.140625" style="62" customWidth="1"/>
    <col min="4866" max="4866" width="37.5703125" style="62" customWidth="1"/>
    <col min="4867" max="4867" width="29.140625" style="62" customWidth="1"/>
    <col min="4868" max="4868" width="33.42578125" style="62" customWidth="1"/>
    <col min="4869" max="4869" width="31" style="62" customWidth="1"/>
    <col min="4870" max="4870" width="35.42578125" style="62" customWidth="1"/>
    <col min="4871" max="4871" width="33.42578125" style="62" customWidth="1"/>
    <col min="4872" max="4872" width="24.7109375" style="62" customWidth="1"/>
    <col min="4873" max="5104" width="8.85546875" style="62"/>
    <col min="5105" max="5105" width="20.140625" style="62" customWidth="1"/>
    <col min="5106" max="5106" width="25.5703125" style="62" customWidth="1"/>
    <col min="5107" max="5107" width="10.28515625" style="62" customWidth="1"/>
    <col min="5108" max="5108" width="15.28515625" style="62" customWidth="1"/>
    <col min="5109" max="5111" width="24.42578125" style="62" customWidth="1"/>
    <col min="5112" max="5112" width="16.5703125" style="62" customWidth="1"/>
    <col min="5113" max="5113" width="12.28515625" style="62" customWidth="1"/>
    <col min="5114" max="5114" width="23.140625" style="62" customWidth="1"/>
    <col min="5115" max="5115" width="36.28515625" style="62" bestFit="1" customWidth="1"/>
    <col min="5116" max="5116" width="36.140625" style="62" customWidth="1"/>
    <col min="5117" max="5117" width="37.85546875" style="62" customWidth="1"/>
    <col min="5118" max="5118" width="24.28515625" style="62" customWidth="1"/>
    <col min="5119" max="5119" width="28" style="62" customWidth="1"/>
    <col min="5120" max="5120" width="21.7109375" style="62" customWidth="1"/>
    <col min="5121" max="5121" width="29.140625" style="62" customWidth="1"/>
    <col min="5122" max="5122" width="37.5703125" style="62" customWidth="1"/>
    <col min="5123" max="5123" width="29.140625" style="62" customWidth="1"/>
    <col min="5124" max="5124" width="33.42578125" style="62" customWidth="1"/>
    <col min="5125" max="5125" width="31" style="62" customWidth="1"/>
    <col min="5126" max="5126" width="35.42578125" style="62" customWidth="1"/>
    <col min="5127" max="5127" width="33.42578125" style="62" customWidth="1"/>
    <col min="5128" max="5128" width="24.7109375" style="62" customWidth="1"/>
    <col min="5129" max="5360" width="8.85546875" style="62"/>
    <col min="5361" max="5361" width="20.140625" style="62" customWidth="1"/>
    <col min="5362" max="5362" width="25.5703125" style="62" customWidth="1"/>
    <col min="5363" max="5363" width="10.28515625" style="62" customWidth="1"/>
    <col min="5364" max="5364" width="15.28515625" style="62" customWidth="1"/>
    <col min="5365" max="5367" width="24.42578125" style="62" customWidth="1"/>
    <col min="5368" max="5368" width="16.5703125" style="62" customWidth="1"/>
    <col min="5369" max="5369" width="12.28515625" style="62" customWidth="1"/>
    <col min="5370" max="5370" width="23.140625" style="62" customWidth="1"/>
    <col min="5371" max="5371" width="36.28515625" style="62" bestFit="1" customWidth="1"/>
    <col min="5372" max="5372" width="36.140625" style="62" customWidth="1"/>
    <col min="5373" max="5373" width="37.85546875" style="62" customWidth="1"/>
    <col min="5374" max="5374" width="24.28515625" style="62" customWidth="1"/>
    <col min="5375" max="5375" width="28" style="62" customWidth="1"/>
    <col min="5376" max="5376" width="21.7109375" style="62" customWidth="1"/>
    <col min="5377" max="5377" width="29.140625" style="62" customWidth="1"/>
    <col min="5378" max="5378" width="37.5703125" style="62" customWidth="1"/>
    <col min="5379" max="5379" width="29.140625" style="62" customWidth="1"/>
    <col min="5380" max="5380" width="33.42578125" style="62" customWidth="1"/>
    <col min="5381" max="5381" width="31" style="62" customWidth="1"/>
    <col min="5382" max="5382" width="35.42578125" style="62" customWidth="1"/>
    <col min="5383" max="5383" width="33.42578125" style="62" customWidth="1"/>
    <col min="5384" max="5384" width="24.7109375" style="62" customWidth="1"/>
    <col min="5385" max="5616" width="8.85546875" style="62"/>
    <col min="5617" max="5617" width="20.140625" style="62" customWidth="1"/>
    <col min="5618" max="5618" width="25.5703125" style="62" customWidth="1"/>
    <col min="5619" max="5619" width="10.28515625" style="62" customWidth="1"/>
    <col min="5620" max="5620" width="15.28515625" style="62" customWidth="1"/>
    <col min="5621" max="5623" width="24.42578125" style="62" customWidth="1"/>
    <col min="5624" max="5624" width="16.5703125" style="62" customWidth="1"/>
    <col min="5625" max="5625" width="12.28515625" style="62" customWidth="1"/>
    <col min="5626" max="5626" width="23.140625" style="62" customWidth="1"/>
    <col min="5627" max="5627" width="36.28515625" style="62" bestFit="1" customWidth="1"/>
    <col min="5628" max="5628" width="36.140625" style="62" customWidth="1"/>
    <col min="5629" max="5629" width="37.85546875" style="62" customWidth="1"/>
    <col min="5630" max="5630" width="24.28515625" style="62" customWidth="1"/>
    <col min="5631" max="5631" width="28" style="62" customWidth="1"/>
    <col min="5632" max="5632" width="21.7109375" style="62" customWidth="1"/>
    <col min="5633" max="5633" width="29.140625" style="62" customWidth="1"/>
    <col min="5634" max="5634" width="37.5703125" style="62" customWidth="1"/>
    <col min="5635" max="5635" width="29.140625" style="62" customWidth="1"/>
    <col min="5636" max="5636" width="33.42578125" style="62" customWidth="1"/>
    <col min="5637" max="5637" width="31" style="62" customWidth="1"/>
    <col min="5638" max="5638" width="35.42578125" style="62" customWidth="1"/>
    <col min="5639" max="5639" width="33.42578125" style="62" customWidth="1"/>
    <col min="5640" max="5640" width="24.7109375" style="62" customWidth="1"/>
    <col min="5641" max="5872" width="8.85546875" style="62"/>
    <col min="5873" max="5873" width="20.140625" style="62" customWidth="1"/>
    <col min="5874" max="5874" width="25.5703125" style="62" customWidth="1"/>
    <col min="5875" max="5875" width="10.28515625" style="62" customWidth="1"/>
    <col min="5876" max="5876" width="15.28515625" style="62" customWidth="1"/>
    <col min="5877" max="5879" width="24.42578125" style="62" customWidth="1"/>
    <col min="5880" max="5880" width="16.5703125" style="62" customWidth="1"/>
    <col min="5881" max="5881" width="12.28515625" style="62" customWidth="1"/>
    <col min="5882" max="5882" width="23.140625" style="62" customWidth="1"/>
    <col min="5883" max="5883" width="36.28515625" style="62" bestFit="1" customWidth="1"/>
    <col min="5884" max="5884" width="36.140625" style="62" customWidth="1"/>
    <col min="5885" max="5885" width="37.85546875" style="62" customWidth="1"/>
    <col min="5886" max="5886" width="24.28515625" style="62" customWidth="1"/>
    <col min="5887" max="5887" width="28" style="62" customWidth="1"/>
    <col min="5888" max="5888" width="21.7109375" style="62" customWidth="1"/>
    <col min="5889" max="5889" width="29.140625" style="62" customWidth="1"/>
    <col min="5890" max="5890" width="37.5703125" style="62" customWidth="1"/>
    <col min="5891" max="5891" width="29.140625" style="62" customWidth="1"/>
    <col min="5892" max="5892" width="33.42578125" style="62" customWidth="1"/>
    <col min="5893" max="5893" width="31" style="62" customWidth="1"/>
    <col min="5894" max="5894" width="35.42578125" style="62" customWidth="1"/>
    <col min="5895" max="5895" width="33.42578125" style="62" customWidth="1"/>
    <col min="5896" max="5896" width="24.7109375" style="62" customWidth="1"/>
    <col min="5897" max="6128" width="8.85546875" style="62"/>
    <col min="6129" max="6129" width="20.140625" style="62" customWidth="1"/>
    <col min="6130" max="6130" width="25.5703125" style="62" customWidth="1"/>
    <col min="6131" max="6131" width="10.28515625" style="62" customWidth="1"/>
    <col min="6132" max="6132" width="15.28515625" style="62" customWidth="1"/>
    <col min="6133" max="6135" width="24.42578125" style="62" customWidth="1"/>
    <col min="6136" max="6136" width="16.5703125" style="62" customWidth="1"/>
    <col min="6137" max="6137" width="12.28515625" style="62" customWidth="1"/>
    <col min="6138" max="6138" width="23.140625" style="62" customWidth="1"/>
    <col min="6139" max="6139" width="36.28515625" style="62" bestFit="1" customWidth="1"/>
    <col min="6140" max="6140" width="36.140625" style="62" customWidth="1"/>
    <col min="6141" max="6141" width="37.85546875" style="62" customWidth="1"/>
    <col min="6142" max="6142" width="24.28515625" style="62" customWidth="1"/>
    <col min="6143" max="6143" width="28" style="62" customWidth="1"/>
    <col min="6144" max="6144" width="21.7109375" style="62" customWidth="1"/>
    <col min="6145" max="6145" width="29.140625" style="62" customWidth="1"/>
    <col min="6146" max="6146" width="37.5703125" style="62" customWidth="1"/>
    <col min="6147" max="6147" width="29.140625" style="62" customWidth="1"/>
    <col min="6148" max="6148" width="33.42578125" style="62" customWidth="1"/>
    <col min="6149" max="6149" width="31" style="62" customWidth="1"/>
    <col min="6150" max="6150" width="35.42578125" style="62" customWidth="1"/>
    <col min="6151" max="6151" width="33.42578125" style="62" customWidth="1"/>
    <col min="6152" max="6152" width="24.7109375" style="62" customWidth="1"/>
    <col min="6153" max="6384" width="8.85546875" style="62"/>
    <col min="6385" max="6385" width="20.140625" style="62" customWidth="1"/>
    <col min="6386" max="6386" width="25.5703125" style="62" customWidth="1"/>
    <col min="6387" max="6387" width="10.28515625" style="62" customWidth="1"/>
    <col min="6388" max="6388" width="15.28515625" style="62" customWidth="1"/>
    <col min="6389" max="6391" width="24.42578125" style="62" customWidth="1"/>
    <col min="6392" max="6392" width="16.5703125" style="62" customWidth="1"/>
    <col min="6393" max="6393" width="12.28515625" style="62" customWidth="1"/>
    <col min="6394" max="6394" width="23.140625" style="62" customWidth="1"/>
    <col min="6395" max="6395" width="36.28515625" style="62" bestFit="1" customWidth="1"/>
    <col min="6396" max="6396" width="36.140625" style="62" customWidth="1"/>
    <col min="6397" max="6397" width="37.85546875" style="62" customWidth="1"/>
    <col min="6398" max="6398" width="24.28515625" style="62" customWidth="1"/>
    <col min="6399" max="6399" width="28" style="62" customWidth="1"/>
    <col min="6400" max="6400" width="21.7109375" style="62" customWidth="1"/>
    <col min="6401" max="6401" width="29.140625" style="62" customWidth="1"/>
    <col min="6402" max="6402" width="37.5703125" style="62" customWidth="1"/>
    <col min="6403" max="6403" width="29.140625" style="62" customWidth="1"/>
    <col min="6404" max="6404" width="33.42578125" style="62" customWidth="1"/>
    <col min="6405" max="6405" width="31" style="62" customWidth="1"/>
    <col min="6406" max="6406" width="35.42578125" style="62" customWidth="1"/>
    <col min="6407" max="6407" width="33.42578125" style="62" customWidth="1"/>
    <col min="6408" max="6408" width="24.7109375" style="62" customWidth="1"/>
    <col min="6409" max="6640" width="8.85546875" style="62"/>
    <col min="6641" max="6641" width="20.140625" style="62" customWidth="1"/>
    <col min="6642" max="6642" width="25.5703125" style="62" customWidth="1"/>
    <col min="6643" max="6643" width="10.28515625" style="62" customWidth="1"/>
    <col min="6644" max="6644" width="15.28515625" style="62" customWidth="1"/>
    <col min="6645" max="6647" width="24.42578125" style="62" customWidth="1"/>
    <col min="6648" max="6648" width="16.5703125" style="62" customWidth="1"/>
    <col min="6649" max="6649" width="12.28515625" style="62" customWidth="1"/>
    <col min="6650" max="6650" width="23.140625" style="62" customWidth="1"/>
    <col min="6651" max="6651" width="36.28515625" style="62" bestFit="1" customWidth="1"/>
    <col min="6652" max="6652" width="36.140625" style="62" customWidth="1"/>
    <col min="6653" max="6653" width="37.85546875" style="62" customWidth="1"/>
    <col min="6654" max="6654" width="24.28515625" style="62" customWidth="1"/>
    <col min="6655" max="6655" width="28" style="62" customWidth="1"/>
    <col min="6656" max="6656" width="21.7109375" style="62" customWidth="1"/>
    <col min="6657" max="6657" width="29.140625" style="62" customWidth="1"/>
    <col min="6658" max="6658" width="37.5703125" style="62" customWidth="1"/>
    <col min="6659" max="6659" width="29.140625" style="62" customWidth="1"/>
    <col min="6660" max="6660" width="33.42578125" style="62" customWidth="1"/>
    <col min="6661" max="6661" width="31" style="62" customWidth="1"/>
    <col min="6662" max="6662" width="35.42578125" style="62" customWidth="1"/>
    <col min="6663" max="6663" width="33.42578125" style="62" customWidth="1"/>
    <col min="6664" max="6664" width="24.7109375" style="62" customWidth="1"/>
    <col min="6665" max="6896" width="8.85546875" style="62"/>
    <col min="6897" max="6897" width="20.140625" style="62" customWidth="1"/>
    <col min="6898" max="6898" width="25.5703125" style="62" customWidth="1"/>
    <col min="6899" max="6899" width="10.28515625" style="62" customWidth="1"/>
    <col min="6900" max="6900" width="15.28515625" style="62" customWidth="1"/>
    <col min="6901" max="6903" width="24.42578125" style="62" customWidth="1"/>
    <col min="6904" max="6904" width="16.5703125" style="62" customWidth="1"/>
    <col min="6905" max="6905" width="12.28515625" style="62" customWidth="1"/>
    <col min="6906" max="6906" width="23.140625" style="62" customWidth="1"/>
    <col min="6907" max="6907" width="36.28515625" style="62" bestFit="1" customWidth="1"/>
    <col min="6908" max="6908" width="36.140625" style="62" customWidth="1"/>
    <col min="6909" max="6909" width="37.85546875" style="62" customWidth="1"/>
    <col min="6910" max="6910" width="24.28515625" style="62" customWidth="1"/>
    <col min="6911" max="6911" width="28" style="62" customWidth="1"/>
    <col min="6912" max="6912" width="21.7109375" style="62" customWidth="1"/>
    <col min="6913" max="6913" width="29.140625" style="62" customWidth="1"/>
    <col min="6914" max="6914" width="37.5703125" style="62" customWidth="1"/>
    <col min="6915" max="6915" width="29.140625" style="62" customWidth="1"/>
    <col min="6916" max="6916" width="33.42578125" style="62" customWidth="1"/>
    <col min="6917" max="6917" width="31" style="62" customWidth="1"/>
    <col min="6918" max="6918" width="35.42578125" style="62" customWidth="1"/>
    <col min="6919" max="6919" width="33.42578125" style="62" customWidth="1"/>
    <col min="6920" max="6920" width="24.7109375" style="62" customWidth="1"/>
    <col min="6921" max="7152" width="8.85546875" style="62"/>
    <col min="7153" max="7153" width="20.140625" style="62" customWidth="1"/>
    <col min="7154" max="7154" width="25.5703125" style="62" customWidth="1"/>
    <col min="7155" max="7155" width="10.28515625" style="62" customWidth="1"/>
    <col min="7156" max="7156" width="15.28515625" style="62" customWidth="1"/>
    <col min="7157" max="7159" width="24.42578125" style="62" customWidth="1"/>
    <col min="7160" max="7160" width="16.5703125" style="62" customWidth="1"/>
    <col min="7161" max="7161" width="12.28515625" style="62" customWidth="1"/>
    <col min="7162" max="7162" width="23.140625" style="62" customWidth="1"/>
    <col min="7163" max="7163" width="36.28515625" style="62" bestFit="1" customWidth="1"/>
    <col min="7164" max="7164" width="36.140625" style="62" customWidth="1"/>
    <col min="7165" max="7165" width="37.85546875" style="62" customWidth="1"/>
    <col min="7166" max="7166" width="24.28515625" style="62" customWidth="1"/>
    <col min="7167" max="7167" width="28" style="62" customWidth="1"/>
    <col min="7168" max="7168" width="21.7109375" style="62" customWidth="1"/>
    <col min="7169" max="7169" width="29.140625" style="62" customWidth="1"/>
    <col min="7170" max="7170" width="37.5703125" style="62" customWidth="1"/>
    <col min="7171" max="7171" width="29.140625" style="62" customWidth="1"/>
    <col min="7172" max="7172" width="33.42578125" style="62" customWidth="1"/>
    <col min="7173" max="7173" width="31" style="62" customWidth="1"/>
    <col min="7174" max="7174" width="35.42578125" style="62" customWidth="1"/>
    <col min="7175" max="7175" width="33.42578125" style="62" customWidth="1"/>
    <col min="7176" max="7176" width="24.7109375" style="62" customWidth="1"/>
    <col min="7177" max="7408" width="8.85546875" style="62"/>
    <col min="7409" max="7409" width="20.140625" style="62" customWidth="1"/>
    <col min="7410" max="7410" width="25.5703125" style="62" customWidth="1"/>
    <col min="7411" max="7411" width="10.28515625" style="62" customWidth="1"/>
    <col min="7412" max="7412" width="15.28515625" style="62" customWidth="1"/>
    <col min="7413" max="7415" width="24.42578125" style="62" customWidth="1"/>
    <col min="7416" max="7416" width="16.5703125" style="62" customWidth="1"/>
    <col min="7417" max="7417" width="12.28515625" style="62" customWidth="1"/>
    <col min="7418" max="7418" width="23.140625" style="62" customWidth="1"/>
    <col min="7419" max="7419" width="36.28515625" style="62" bestFit="1" customWidth="1"/>
    <col min="7420" max="7420" width="36.140625" style="62" customWidth="1"/>
    <col min="7421" max="7421" width="37.85546875" style="62" customWidth="1"/>
    <col min="7422" max="7422" width="24.28515625" style="62" customWidth="1"/>
    <col min="7423" max="7423" width="28" style="62" customWidth="1"/>
    <col min="7424" max="7424" width="21.7109375" style="62" customWidth="1"/>
    <col min="7425" max="7425" width="29.140625" style="62" customWidth="1"/>
    <col min="7426" max="7426" width="37.5703125" style="62" customWidth="1"/>
    <col min="7427" max="7427" width="29.140625" style="62" customWidth="1"/>
    <col min="7428" max="7428" width="33.42578125" style="62" customWidth="1"/>
    <col min="7429" max="7429" width="31" style="62" customWidth="1"/>
    <col min="7430" max="7430" width="35.42578125" style="62" customWidth="1"/>
    <col min="7431" max="7431" width="33.42578125" style="62" customWidth="1"/>
    <col min="7432" max="7432" width="24.7109375" style="62" customWidth="1"/>
    <col min="7433" max="7664" width="8.85546875" style="62"/>
    <col min="7665" max="7665" width="20.140625" style="62" customWidth="1"/>
    <col min="7666" max="7666" width="25.5703125" style="62" customWidth="1"/>
    <col min="7667" max="7667" width="10.28515625" style="62" customWidth="1"/>
    <col min="7668" max="7668" width="15.28515625" style="62" customWidth="1"/>
    <col min="7669" max="7671" width="24.42578125" style="62" customWidth="1"/>
    <col min="7672" max="7672" width="16.5703125" style="62" customWidth="1"/>
    <col min="7673" max="7673" width="12.28515625" style="62" customWidth="1"/>
    <col min="7674" max="7674" width="23.140625" style="62" customWidth="1"/>
    <col min="7675" max="7675" width="36.28515625" style="62" bestFit="1" customWidth="1"/>
    <col min="7676" max="7676" width="36.140625" style="62" customWidth="1"/>
    <col min="7677" max="7677" width="37.85546875" style="62" customWidth="1"/>
    <col min="7678" max="7678" width="24.28515625" style="62" customWidth="1"/>
    <col min="7679" max="7679" width="28" style="62" customWidth="1"/>
    <col min="7680" max="7680" width="21.7109375" style="62" customWidth="1"/>
    <col min="7681" max="7681" width="29.140625" style="62" customWidth="1"/>
    <col min="7682" max="7682" width="37.5703125" style="62" customWidth="1"/>
    <col min="7683" max="7683" width="29.140625" style="62" customWidth="1"/>
    <col min="7684" max="7684" width="33.42578125" style="62" customWidth="1"/>
    <col min="7685" max="7685" width="31" style="62" customWidth="1"/>
    <col min="7686" max="7686" width="35.42578125" style="62" customWidth="1"/>
    <col min="7687" max="7687" width="33.42578125" style="62" customWidth="1"/>
    <col min="7688" max="7688" width="24.7109375" style="62" customWidth="1"/>
    <col min="7689" max="7920" width="8.85546875" style="62"/>
    <col min="7921" max="7921" width="20.140625" style="62" customWidth="1"/>
    <col min="7922" max="7922" width="25.5703125" style="62" customWidth="1"/>
    <col min="7923" max="7923" width="10.28515625" style="62" customWidth="1"/>
    <col min="7924" max="7924" width="15.28515625" style="62" customWidth="1"/>
    <col min="7925" max="7927" width="24.42578125" style="62" customWidth="1"/>
    <col min="7928" max="7928" width="16.5703125" style="62" customWidth="1"/>
    <col min="7929" max="7929" width="12.28515625" style="62" customWidth="1"/>
    <col min="7930" max="7930" width="23.140625" style="62" customWidth="1"/>
    <col min="7931" max="7931" width="36.28515625" style="62" bestFit="1" customWidth="1"/>
    <col min="7932" max="7932" width="36.140625" style="62" customWidth="1"/>
    <col min="7933" max="7933" width="37.85546875" style="62" customWidth="1"/>
    <col min="7934" max="7934" width="24.28515625" style="62" customWidth="1"/>
    <col min="7935" max="7935" width="28" style="62" customWidth="1"/>
    <col min="7936" max="7936" width="21.7109375" style="62" customWidth="1"/>
    <col min="7937" max="7937" width="29.140625" style="62" customWidth="1"/>
    <col min="7938" max="7938" width="37.5703125" style="62" customWidth="1"/>
    <col min="7939" max="7939" width="29.140625" style="62" customWidth="1"/>
    <col min="7940" max="7940" width="33.42578125" style="62" customWidth="1"/>
    <col min="7941" max="7941" width="31" style="62" customWidth="1"/>
    <col min="7942" max="7942" width="35.42578125" style="62" customWidth="1"/>
    <col min="7943" max="7943" width="33.42578125" style="62" customWidth="1"/>
    <col min="7944" max="7944" width="24.7109375" style="62" customWidth="1"/>
    <col min="7945" max="8176" width="8.85546875" style="62"/>
    <col min="8177" max="8177" width="20.140625" style="62" customWidth="1"/>
    <col min="8178" max="8178" width="25.5703125" style="62" customWidth="1"/>
    <col min="8179" max="8179" width="10.28515625" style="62" customWidth="1"/>
    <col min="8180" max="8180" width="15.28515625" style="62" customWidth="1"/>
    <col min="8181" max="8183" width="24.42578125" style="62" customWidth="1"/>
    <col min="8184" max="8184" width="16.5703125" style="62" customWidth="1"/>
    <col min="8185" max="8185" width="12.28515625" style="62" customWidth="1"/>
    <col min="8186" max="8186" width="23.140625" style="62" customWidth="1"/>
    <col min="8187" max="8187" width="36.28515625" style="62" bestFit="1" customWidth="1"/>
    <col min="8188" max="8188" width="36.140625" style="62" customWidth="1"/>
    <col min="8189" max="8189" width="37.85546875" style="62" customWidth="1"/>
    <col min="8190" max="8190" width="24.28515625" style="62" customWidth="1"/>
    <col min="8191" max="8191" width="28" style="62" customWidth="1"/>
    <col min="8192" max="8192" width="21.7109375" style="62" customWidth="1"/>
    <col min="8193" max="8193" width="29.140625" style="62" customWidth="1"/>
    <col min="8194" max="8194" width="37.5703125" style="62" customWidth="1"/>
    <col min="8195" max="8195" width="29.140625" style="62" customWidth="1"/>
    <col min="8196" max="8196" width="33.42578125" style="62" customWidth="1"/>
    <col min="8197" max="8197" width="31" style="62" customWidth="1"/>
    <col min="8198" max="8198" width="35.42578125" style="62" customWidth="1"/>
    <col min="8199" max="8199" width="33.42578125" style="62" customWidth="1"/>
    <col min="8200" max="8200" width="24.7109375" style="62" customWidth="1"/>
    <col min="8201" max="8432" width="8.85546875" style="62"/>
    <col min="8433" max="8433" width="20.140625" style="62" customWidth="1"/>
    <col min="8434" max="8434" width="25.5703125" style="62" customWidth="1"/>
    <col min="8435" max="8435" width="10.28515625" style="62" customWidth="1"/>
    <col min="8436" max="8436" width="15.28515625" style="62" customWidth="1"/>
    <col min="8437" max="8439" width="24.42578125" style="62" customWidth="1"/>
    <col min="8440" max="8440" width="16.5703125" style="62" customWidth="1"/>
    <col min="8441" max="8441" width="12.28515625" style="62" customWidth="1"/>
    <col min="8442" max="8442" width="23.140625" style="62" customWidth="1"/>
    <col min="8443" max="8443" width="36.28515625" style="62" bestFit="1" customWidth="1"/>
    <col min="8444" max="8444" width="36.140625" style="62" customWidth="1"/>
    <col min="8445" max="8445" width="37.85546875" style="62" customWidth="1"/>
    <col min="8446" max="8446" width="24.28515625" style="62" customWidth="1"/>
    <col min="8447" max="8447" width="28" style="62" customWidth="1"/>
    <col min="8448" max="8448" width="21.7109375" style="62" customWidth="1"/>
    <col min="8449" max="8449" width="29.140625" style="62" customWidth="1"/>
    <col min="8450" max="8450" width="37.5703125" style="62" customWidth="1"/>
    <col min="8451" max="8451" width="29.140625" style="62" customWidth="1"/>
    <col min="8452" max="8452" width="33.42578125" style="62" customWidth="1"/>
    <col min="8453" max="8453" width="31" style="62" customWidth="1"/>
    <col min="8454" max="8454" width="35.42578125" style="62" customWidth="1"/>
    <col min="8455" max="8455" width="33.42578125" style="62" customWidth="1"/>
    <col min="8456" max="8456" width="24.7109375" style="62" customWidth="1"/>
    <col min="8457" max="8688" width="8.85546875" style="62"/>
    <col min="8689" max="8689" width="20.140625" style="62" customWidth="1"/>
    <col min="8690" max="8690" width="25.5703125" style="62" customWidth="1"/>
    <col min="8691" max="8691" width="10.28515625" style="62" customWidth="1"/>
    <col min="8692" max="8692" width="15.28515625" style="62" customWidth="1"/>
    <col min="8693" max="8695" width="24.42578125" style="62" customWidth="1"/>
    <col min="8696" max="8696" width="16.5703125" style="62" customWidth="1"/>
    <col min="8697" max="8697" width="12.28515625" style="62" customWidth="1"/>
    <col min="8698" max="8698" width="23.140625" style="62" customWidth="1"/>
    <col min="8699" max="8699" width="36.28515625" style="62" bestFit="1" customWidth="1"/>
    <col min="8700" max="8700" width="36.140625" style="62" customWidth="1"/>
    <col min="8701" max="8701" width="37.85546875" style="62" customWidth="1"/>
    <col min="8702" max="8702" width="24.28515625" style="62" customWidth="1"/>
    <col min="8703" max="8703" width="28" style="62" customWidth="1"/>
    <col min="8704" max="8704" width="21.7109375" style="62" customWidth="1"/>
    <col min="8705" max="8705" width="29.140625" style="62" customWidth="1"/>
    <col min="8706" max="8706" width="37.5703125" style="62" customWidth="1"/>
    <col min="8707" max="8707" width="29.140625" style="62" customWidth="1"/>
    <col min="8708" max="8708" width="33.42578125" style="62" customWidth="1"/>
    <col min="8709" max="8709" width="31" style="62" customWidth="1"/>
    <col min="8710" max="8710" width="35.42578125" style="62" customWidth="1"/>
    <col min="8711" max="8711" width="33.42578125" style="62" customWidth="1"/>
    <col min="8712" max="8712" width="24.7109375" style="62" customWidth="1"/>
    <col min="8713" max="8944" width="8.85546875" style="62"/>
    <col min="8945" max="8945" width="20.140625" style="62" customWidth="1"/>
    <col min="8946" max="8946" width="25.5703125" style="62" customWidth="1"/>
    <col min="8947" max="8947" width="10.28515625" style="62" customWidth="1"/>
    <col min="8948" max="8948" width="15.28515625" style="62" customWidth="1"/>
    <col min="8949" max="8951" width="24.42578125" style="62" customWidth="1"/>
    <col min="8952" max="8952" width="16.5703125" style="62" customWidth="1"/>
    <col min="8953" max="8953" width="12.28515625" style="62" customWidth="1"/>
    <col min="8954" max="8954" width="23.140625" style="62" customWidth="1"/>
    <col min="8955" max="8955" width="36.28515625" style="62" bestFit="1" customWidth="1"/>
    <col min="8956" max="8956" width="36.140625" style="62" customWidth="1"/>
    <col min="8957" max="8957" width="37.85546875" style="62" customWidth="1"/>
    <col min="8958" max="8958" width="24.28515625" style="62" customWidth="1"/>
    <col min="8959" max="8959" width="28" style="62" customWidth="1"/>
    <col min="8960" max="8960" width="21.7109375" style="62" customWidth="1"/>
    <col min="8961" max="8961" width="29.140625" style="62" customWidth="1"/>
    <col min="8962" max="8962" width="37.5703125" style="62" customWidth="1"/>
    <col min="8963" max="8963" width="29.140625" style="62" customWidth="1"/>
    <col min="8964" max="8964" width="33.42578125" style="62" customWidth="1"/>
    <col min="8965" max="8965" width="31" style="62" customWidth="1"/>
    <col min="8966" max="8966" width="35.42578125" style="62" customWidth="1"/>
    <col min="8967" max="8967" width="33.42578125" style="62" customWidth="1"/>
    <col min="8968" max="8968" width="24.7109375" style="62" customWidth="1"/>
    <col min="8969" max="9200" width="8.85546875" style="62"/>
    <col min="9201" max="9201" width="20.140625" style="62" customWidth="1"/>
    <col min="9202" max="9202" width="25.5703125" style="62" customWidth="1"/>
    <col min="9203" max="9203" width="10.28515625" style="62" customWidth="1"/>
    <col min="9204" max="9204" width="15.28515625" style="62" customWidth="1"/>
    <col min="9205" max="9207" width="24.42578125" style="62" customWidth="1"/>
    <col min="9208" max="9208" width="16.5703125" style="62" customWidth="1"/>
    <col min="9209" max="9209" width="12.28515625" style="62" customWidth="1"/>
    <col min="9210" max="9210" width="23.140625" style="62" customWidth="1"/>
    <col min="9211" max="9211" width="36.28515625" style="62" bestFit="1" customWidth="1"/>
    <col min="9212" max="9212" width="36.140625" style="62" customWidth="1"/>
    <col min="9213" max="9213" width="37.85546875" style="62" customWidth="1"/>
    <col min="9214" max="9214" width="24.28515625" style="62" customWidth="1"/>
    <col min="9215" max="9215" width="28" style="62" customWidth="1"/>
    <col min="9216" max="9216" width="21.7109375" style="62" customWidth="1"/>
    <col min="9217" max="9217" width="29.140625" style="62" customWidth="1"/>
    <col min="9218" max="9218" width="37.5703125" style="62" customWidth="1"/>
    <col min="9219" max="9219" width="29.140625" style="62" customWidth="1"/>
    <col min="9220" max="9220" width="33.42578125" style="62" customWidth="1"/>
    <col min="9221" max="9221" width="31" style="62" customWidth="1"/>
    <col min="9222" max="9222" width="35.42578125" style="62" customWidth="1"/>
    <col min="9223" max="9223" width="33.42578125" style="62" customWidth="1"/>
    <col min="9224" max="9224" width="24.7109375" style="62" customWidth="1"/>
    <col min="9225" max="9456" width="8.85546875" style="62"/>
    <col min="9457" max="9457" width="20.140625" style="62" customWidth="1"/>
    <col min="9458" max="9458" width="25.5703125" style="62" customWidth="1"/>
    <col min="9459" max="9459" width="10.28515625" style="62" customWidth="1"/>
    <col min="9460" max="9460" width="15.28515625" style="62" customWidth="1"/>
    <col min="9461" max="9463" width="24.42578125" style="62" customWidth="1"/>
    <col min="9464" max="9464" width="16.5703125" style="62" customWidth="1"/>
    <col min="9465" max="9465" width="12.28515625" style="62" customWidth="1"/>
    <col min="9466" max="9466" width="23.140625" style="62" customWidth="1"/>
    <col min="9467" max="9467" width="36.28515625" style="62" bestFit="1" customWidth="1"/>
    <col min="9468" max="9468" width="36.140625" style="62" customWidth="1"/>
    <col min="9469" max="9469" width="37.85546875" style="62" customWidth="1"/>
    <col min="9470" max="9470" width="24.28515625" style="62" customWidth="1"/>
    <col min="9471" max="9471" width="28" style="62" customWidth="1"/>
    <col min="9472" max="9472" width="21.7109375" style="62" customWidth="1"/>
    <col min="9473" max="9473" width="29.140625" style="62" customWidth="1"/>
    <col min="9474" max="9474" width="37.5703125" style="62" customWidth="1"/>
    <col min="9475" max="9475" width="29.140625" style="62" customWidth="1"/>
    <col min="9476" max="9476" width="33.42578125" style="62" customWidth="1"/>
    <col min="9477" max="9477" width="31" style="62" customWidth="1"/>
    <col min="9478" max="9478" width="35.42578125" style="62" customWidth="1"/>
    <col min="9479" max="9479" width="33.42578125" style="62" customWidth="1"/>
    <col min="9480" max="9480" width="24.7109375" style="62" customWidth="1"/>
    <col min="9481" max="9712" width="8.85546875" style="62"/>
    <col min="9713" max="9713" width="20.140625" style="62" customWidth="1"/>
    <col min="9714" max="9714" width="25.5703125" style="62" customWidth="1"/>
    <col min="9715" max="9715" width="10.28515625" style="62" customWidth="1"/>
    <col min="9716" max="9716" width="15.28515625" style="62" customWidth="1"/>
    <col min="9717" max="9719" width="24.42578125" style="62" customWidth="1"/>
    <col min="9720" max="9720" width="16.5703125" style="62" customWidth="1"/>
    <col min="9721" max="9721" width="12.28515625" style="62" customWidth="1"/>
    <col min="9722" max="9722" width="23.140625" style="62" customWidth="1"/>
    <col min="9723" max="9723" width="36.28515625" style="62" bestFit="1" customWidth="1"/>
    <col min="9724" max="9724" width="36.140625" style="62" customWidth="1"/>
    <col min="9725" max="9725" width="37.85546875" style="62" customWidth="1"/>
    <col min="9726" max="9726" width="24.28515625" style="62" customWidth="1"/>
    <col min="9727" max="9727" width="28" style="62" customWidth="1"/>
    <col min="9728" max="9728" width="21.7109375" style="62" customWidth="1"/>
    <col min="9729" max="9729" width="29.140625" style="62" customWidth="1"/>
    <col min="9730" max="9730" width="37.5703125" style="62" customWidth="1"/>
    <col min="9731" max="9731" width="29.140625" style="62" customWidth="1"/>
    <col min="9732" max="9732" width="33.42578125" style="62" customWidth="1"/>
    <col min="9733" max="9733" width="31" style="62" customWidth="1"/>
    <col min="9734" max="9734" width="35.42578125" style="62" customWidth="1"/>
    <col min="9735" max="9735" width="33.42578125" style="62" customWidth="1"/>
    <col min="9736" max="9736" width="24.7109375" style="62" customWidth="1"/>
    <col min="9737" max="9968" width="8.85546875" style="62"/>
    <col min="9969" max="9969" width="20.140625" style="62" customWidth="1"/>
    <col min="9970" max="9970" width="25.5703125" style="62" customWidth="1"/>
    <col min="9971" max="9971" width="10.28515625" style="62" customWidth="1"/>
    <col min="9972" max="9972" width="15.28515625" style="62" customWidth="1"/>
    <col min="9973" max="9975" width="24.42578125" style="62" customWidth="1"/>
    <col min="9976" max="9976" width="16.5703125" style="62" customWidth="1"/>
    <col min="9977" max="9977" width="12.28515625" style="62" customWidth="1"/>
    <col min="9978" max="9978" width="23.140625" style="62" customWidth="1"/>
    <col min="9979" max="9979" width="36.28515625" style="62" bestFit="1" customWidth="1"/>
    <col min="9980" max="9980" width="36.140625" style="62" customWidth="1"/>
    <col min="9981" max="9981" width="37.85546875" style="62" customWidth="1"/>
    <col min="9982" max="9982" width="24.28515625" style="62" customWidth="1"/>
    <col min="9983" max="9983" width="28" style="62" customWidth="1"/>
    <col min="9984" max="9984" width="21.7109375" style="62" customWidth="1"/>
    <col min="9985" max="9985" width="29.140625" style="62" customWidth="1"/>
    <col min="9986" max="9986" width="37.5703125" style="62" customWidth="1"/>
    <col min="9987" max="9987" width="29.140625" style="62" customWidth="1"/>
    <col min="9988" max="9988" width="33.42578125" style="62" customWidth="1"/>
    <col min="9989" max="9989" width="31" style="62" customWidth="1"/>
    <col min="9990" max="9990" width="35.42578125" style="62" customWidth="1"/>
    <col min="9991" max="9991" width="33.42578125" style="62" customWidth="1"/>
    <col min="9992" max="9992" width="24.7109375" style="62" customWidth="1"/>
    <col min="9993" max="10224" width="8.85546875" style="62"/>
    <col min="10225" max="10225" width="20.140625" style="62" customWidth="1"/>
    <col min="10226" max="10226" width="25.5703125" style="62" customWidth="1"/>
    <col min="10227" max="10227" width="10.28515625" style="62" customWidth="1"/>
    <col min="10228" max="10228" width="15.28515625" style="62" customWidth="1"/>
    <col min="10229" max="10231" width="24.42578125" style="62" customWidth="1"/>
    <col min="10232" max="10232" width="16.5703125" style="62" customWidth="1"/>
    <col min="10233" max="10233" width="12.28515625" style="62" customWidth="1"/>
    <col min="10234" max="10234" width="23.140625" style="62" customWidth="1"/>
    <col min="10235" max="10235" width="36.28515625" style="62" bestFit="1" customWidth="1"/>
    <col min="10236" max="10236" width="36.140625" style="62" customWidth="1"/>
    <col min="10237" max="10237" width="37.85546875" style="62" customWidth="1"/>
    <col min="10238" max="10238" width="24.28515625" style="62" customWidth="1"/>
    <col min="10239" max="10239" width="28" style="62" customWidth="1"/>
    <col min="10240" max="10240" width="21.7109375" style="62" customWidth="1"/>
    <col min="10241" max="10241" width="29.140625" style="62" customWidth="1"/>
    <col min="10242" max="10242" width="37.5703125" style="62" customWidth="1"/>
    <col min="10243" max="10243" width="29.140625" style="62" customWidth="1"/>
    <col min="10244" max="10244" width="33.42578125" style="62" customWidth="1"/>
    <col min="10245" max="10245" width="31" style="62" customWidth="1"/>
    <col min="10246" max="10246" width="35.42578125" style="62" customWidth="1"/>
    <col min="10247" max="10247" width="33.42578125" style="62" customWidth="1"/>
    <col min="10248" max="10248" width="24.7109375" style="62" customWidth="1"/>
    <col min="10249" max="10480" width="8.85546875" style="62"/>
    <col min="10481" max="10481" width="20.140625" style="62" customWidth="1"/>
    <col min="10482" max="10482" width="25.5703125" style="62" customWidth="1"/>
    <col min="10483" max="10483" width="10.28515625" style="62" customWidth="1"/>
    <col min="10484" max="10484" width="15.28515625" style="62" customWidth="1"/>
    <col min="10485" max="10487" width="24.42578125" style="62" customWidth="1"/>
    <col min="10488" max="10488" width="16.5703125" style="62" customWidth="1"/>
    <col min="10489" max="10489" width="12.28515625" style="62" customWidth="1"/>
    <col min="10490" max="10490" width="23.140625" style="62" customWidth="1"/>
    <col min="10491" max="10491" width="36.28515625" style="62" bestFit="1" customWidth="1"/>
    <col min="10492" max="10492" width="36.140625" style="62" customWidth="1"/>
    <col min="10493" max="10493" width="37.85546875" style="62" customWidth="1"/>
    <col min="10494" max="10494" width="24.28515625" style="62" customWidth="1"/>
    <col min="10495" max="10495" width="28" style="62" customWidth="1"/>
    <col min="10496" max="10496" width="21.7109375" style="62" customWidth="1"/>
    <col min="10497" max="10497" width="29.140625" style="62" customWidth="1"/>
    <col min="10498" max="10498" width="37.5703125" style="62" customWidth="1"/>
    <col min="10499" max="10499" width="29.140625" style="62" customWidth="1"/>
    <col min="10500" max="10500" width="33.42578125" style="62" customWidth="1"/>
    <col min="10501" max="10501" width="31" style="62" customWidth="1"/>
    <col min="10502" max="10502" width="35.42578125" style="62" customWidth="1"/>
    <col min="10503" max="10503" width="33.42578125" style="62" customWidth="1"/>
    <col min="10504" max="10504" width="24.7109375" style="62" customWidth="1"/>
    <col min="10505" max="10736" width="8.85546875" style="62"/>
    <col min="10737" max="10737" width="20.140625" style="62" customWidth="1"/>
    <col min="10738" max="10738" width="25.5703125" style="62" customWidth="1"/>
    <col min="10739" max="10739" width="10.28515625" style="62" customWidth="1"/>
    <col min="10740" max="10740" width="15.28515625" style="62" customWidth="1"/>
    <col min="10741" max="10743" width="24.42578125" style="62" customWidth="1"/>
    <col min="10744" max="10744" width="16.5703125" style="62" customWidth="1"/>
    <col min="10745" max="10745" width="12.28515625" style="62" customWidth="1"/>
    <col min="10746" max="10746" width="23.140625" style="62" customWidth="1"/>
    <col min="10747" max="10747" width="36.28515625" style="62" bestFit="1" customWidth="1"/>
    <col min="10748" max="10748" width="36.140625" style="62" customWidth="1"/>
    <col min="10749" max="10749" width="37.85546875" style="62" customWidth="1"/>
    <col min="10750" max="10750" width="24.28515625" style="62" customWidth="1"/>
    <col min="10751" max="10751" width="28" style="62" customWidth="1"/>
    <col min="10752" max="10752" width="21.7109375" style="62" customWidth="1"/>
    <col min="10753" max="10753" width="29.140625" style="62" customWidth="1"/>
    <col min="10754" max="10754" width="37.5703125" style="62" customWidth="1"/>
    <col min="10755" max="10755" width="29.140625" style="62" customWidth="1"/>
    <col min="10756" max="10756" width="33.42578125" style="62" customWidth="1"/>
    <col min="10757" max="10757" width="31" style="62" customWidth="1"/>
    <col min="10758" max="10758" width="35.42578125" style="62" customWidth="1"/>
    <col min="10759" max="10759" width="33.42578125" style="62" customWidth="1"/>
    <col min="10760" max="10760" width="24.7109375" style="62" customWidth="1"/>
    <col min="10761" max="10992" width="8.85546875" style="62"/>
    <col min="10993" max="10993" width="20.140625" style="62" customWidth="1"/>
    <col min="10994" max="10994" width="25.5703125" style="62" customWidth="1"/>
    <col min="10995" max="10995" width="10.28515625" style="62" customWidth="1"/>
    <col min="10996" max="10996" width="15.28515625" style="62" customWidth="1"/>
    <col min="10997" max="10999" width="24.42578125" style="62" customWidth="1"/>
    <col min="11000" max="11000" width="16.5703125" style="62" customWidth="1"/>
    <col min="11001" max="11001" width="12.28515625" style="62" customWidth="1"/>
    <col min="11002" max="11002" width="23.140625" style="62" customWidth="1"/>
    <col min="11003" max="11003" width="36.28515625" style="62" bestFit="1" customWidth="1"/>
    <col min="11004" max="11004" width="36.140625" style="62" customWidth="1"/>
    <col min="11005" max="11005" width="37.85546875" style="62" customWidth="1"/>
    <col min="11006" max="11006" width="24.28515625" style="62" customWidth="1"/>
    <col min="11007" max="11007" width="28" style="62" customWidth="1"/>
    <col min="11008" max="11008" width="21.7109375" style="62" customWidth="1"/>
    <col min="11009" max="11009" width="29.140625" style="62" customWidth="1"/>
    <col min="11010" max="11010" width="37.5703125" style="62" customWidth="1"/>
    <col min="11011" max="11011" width="29.140625" style="62" customWidth="1"/>
    <col min="11012" max="11012" width="33.42578125" style="62" customWidth="1"/>
    <col min="11013" max="11013" width="31" style="62" customWidth="1"/>
    <col min="11014" max="11014" width="35.42578125" style="62" customWidth="1"/>
    <col min="11015" max="11015" width="33.42578125" style="62" customWidth="1"/>
    <col min="11016" max="11016" width="24.7109375" style="62" customWidth="1"/>
    <col min="11017" max="11248" width="8.85546875" style="62"/>
    <col min="11249" max="11249" width="20.140625" style="62" customWidth="1"/>
    <col min="11250" max="11250" width="25.5703125" style="62" customWidth="1"/>
    <col min="11251" max="11251" width="10.28515625" style="62" customWidth="1"/>
    <col min="11252" max="11252" width="15.28515625" style="62" customWidth="1"/>
    <col min="11253" max="11255" width="24.42578125" style="62" customWidth="1"/>
    <col min="11256" max="11256" width="16.5703125" style="62" customWidth="1"/>
    <col min="11257" max="11257" width="12.28515625" style="62" customWidth="1"/>
    <col min="11258" max="11258" width="23.140625" style="62" customWidth="1"/>
    <col min="11259" max="11259" width="36.28515625" style="62" bestFit="1" customWidth="1"/>
    <col min="11260" max="11260" width="36.140625" style="62" customWidth="1"/>
    <col min="11261" max="11261" width="37.85546875" style="62" customWidth="1"/>
    <col min="11262" max="11262" width="24.28515625" style="62" customWidth="1"/>
    <col min="11263" max="11263" width="28" style="62" customWidth="1"/>
    <col min="11264" max="11264" width="21.7109375" style="62" customWidth="1"/>
    <col min="11265" max="11265" width="29.140625" style="62" customWidth="1"/>
    <col min="11266" max="11266" width="37.5703125" style="62" customWidth="1"/>
    <col min="11267" max="11267" width="29.140625" style="62" customWidth="1"/>
    <col min="11268" max="11268" width="33.42578125" style="62" customWidth="1"/>
    <col min="11269" max="11269" width="31" style="62" customWidth="1"/>
    <col min="11270" max="11270" width="35.42578125" style="62" customWidth="1"/>
    <col min="11271" max="11271" width="33.42578125" style="62" customWidth="1"/>
    <col min="11272" max="11272" width="24.7109375" style="62" customWidth="1"/>
    <col min="11273" max="11504" width="8.85546875" style="62"/>
    <col min="11505" max="11505" width="20.140625" style="62" customWidth="1"/>
    <col min="11506" max="11506" width="25.5703125" style="62" customWidth="1"/>
    <col min="11507" max="11507" width="10.28515625" style="62" customWidth="1"/>
    <col min="11508" max="11508" width="15.28515625" style="62" customWidth="1"/>
    <col min="11509" max="11511" width="24.42578125" style="62" customWidth="1"/>
    <col min="11512" max="11512" width="16.5703125" style="62" customWidth="1"/>
    <col min="11513" max="11513" width="12.28515625" style="62" customWidth="1"/>
    <col min="11514" max="11514" width="23.140625" style="62" customWidth="1"/>
    <col min="11515" max="11515" width="36.28515625" style="62" bestFit="1" customWidth="1"/>
    <col min="11516" max="11516" width="36.140625" style="62" customWidth="1"/>
    <col min="11517" max="11517" width="37.85546875" style="62" customWidth="1"/>
    <col min="11518" max="11518" width="24.28515625" style="62" customWidth="1"/>
    <col min="11519" max="11519" width="28" style="62" customWidth="1"/>
    <col min="11520" max="11520" width="21.7109375" style="62" customWidth="1"/>
    <col min="11521" max="11521" width="29.140625" style="62" customWidth="1"/>
    <col min="11522" max="11522" width="37.5703125" style="62" customWidth="1"/>
    <col min="11523" max="11523" width="29.140625" style="62" customWidth="1"/>
    <col min="11524" max="11524" width="33.42578125" style="62" customWidth="1"/>
    <col min="11525" max="11525" width="31" style="62" customWidth="1"/>
    <col min="11526" max="11526" width="35.42578125" style="62" customWidth="1"/>
    <col min="11527" max="11527" width="33.42578125" style="62" customWidth="1"/>
    <col min="11528" max="11528" width="24.7109375" style="62" customWidth="1"/>
    <col min="11529" max="11760" width="8.85546875" style="62"/>
    <col min="11761" max="11761" width="20.140625" style="62" customWidth="1"/>
    <col min="11762" max="11762" width="25.5703125" style="62" customWidth="1"/>
    <col min="11763" max="11763" width="10.28515625" style="62" customWidth="1"/>
    <col min="11764" max="11764" width="15.28515625" style="62" customWidth="1"/>
    <col min="11765" max="11767" width="24.42578125" style="62" customWidth="1"/>
    <col min="11768" max="11768" width="16.5703125" style="62" customWidth="1"/>
    <col min="11769" max="11769" width="12.28515625" style="62" customWidth="1"/>
    <col min="11770" max="11770" width="23.140625" style="62" customWidth="1"/>
    <col min="11771" max="11771" width="36.28515625" style="62" bestFit="1" customWidth="1"/>
    <col min="11772" max="11772" width="36.140625" style="62" customWidth="1"/>
    <col min="11773" max="11773" width="37.85546875" style="62" customWidth="1"/>
    <col min="11774" max="11774" width="24.28515625" style="62" customWidth="1"/>
    <col min="11775" max="11775" width="28" style="62" customWidth="1"/>
    <col min="11776" max="11776" width="21.7109375" style="62" customWidth="1"/>
    <col min="11777" max="11777" width="29.140625" style="62" customWidth="1"/>
    <col min="11778" max="11778" width="37.5703125" style="62" customWidth="1"/>
    <col min="11779" max="11779" width="29.140625" style="62" customWidth="1"/>
    <col min="11780" max="11780" width="33.42578125" style="62" customWidth="1"/>
    <col min="11781" max="11781" width="31" style="62" customWidth="1"/>
    <col min="11782" max="11782" width="35.42578125" style="62" customWidth="1"/>
    <col min="11783" max="11783" width="33.42578125" style="62" customWidth="1"/>
    <col min="11784" max="11784" width="24.7109375" style="62" customWidth="1"/>
    <col min="11785" max="12016" width="8.85546875" style="62"/>
    <col min="12017" max="12017" width="20.140625" style="62" customWidth="1"/>
    <col min="12018" max="12018" width="25.5703125" style="62" customWidth="1"/>
    <col min="12019" max="12019" width="10.28515625" style="62" customWidth="1"/>
    <col min="12020" max="12020" width="15.28515625" style="62" customWidth="1"/>
    <col min="12021" max="12023" width="24.42578125" style="62" customWidth="1"/>
    <col min="12024" max="12024" width="16.5703125" style="62" customWidth="1"/>
    <col min="12025" max="12025" width="12.28515625" style="62" customWidth="1"/>
    <col min="12026" max="12026" width="23.140625" style="62" customWidth="1"/>
    <col min="12027" max="12027" width="36.28515625" style="62" bestFit="1" customWidth="1"/>
    <col min="12028" max="12028" width="36.140625" style="62" customWidth="1"/>
    <col min="12029" max="12029" width="37.85546875" style="62" customWidth="1"/>
    <col min="12030" max="12030" width="24.28515625" style="62" customWidth="1"/>
    <col min="12031" max="12031" width="28" style="62" customWidth="1"/>
    <col min="12032" max="12032" width="21.7109375" style="62" customWidth="1"/>
    <col min="12033" max="12033" width="29.140625" style="62" customWidth="1"/>
    <col min="12034" max="12034" width="37.5703125" style="62" customWidth="1"/>
    <col min="12035" max="12035" width="29.140625" style="62" customWidth="1"/>
    <col min="12036" max="12036" width="33.42578125" style="62" customWidth="1"/>
    <col min="12037" max="12037" width="31" style="62" customWidth="1"/>
    <col min="12038" max="12038" width="35.42578125" style="62" customWidth="1"/>
    <col min="12039" max="12039" width="33.42578125" style="62" customWidth="1"/>
    <col min="12040" max="12040" width="24.7109375" style="62" customWidth="1"/>
    <col min="12041" max="12272" width="8.85546875" style="62"/>
    <col min="12273" max="12273" width="20.140625" style="62" customWidth="1"/>
    <col min="12274" max="12274" width="25.5703125" style="62" customWidth="1"/>
    <col min="12275" max="12275" width="10.28515625" style="62" customWidth="1"/>
    <col min="12276" max="12276" width="15.28515625" style="62" customWidth="1"/>
    <col min="12277" max="12279" width="24.42578125" style="62" customWidth="1"/>
    <col min="12280" max="12280" width="16.5703125" style="62" customWidth="1"/>
    <col min="12281" max="12281" width="12.28515625" style="62" customWidth="1"/>
    <col min="12282" max="12282" width="23.140625" style="62" customWidth="1"/>
    <col min="12283" max="12283" width="36.28515625" style="62" bestFit="1" customWidth="1"/>
    <col min="12284" max="12284" width="36.140625" style="62" customWidth="1"/>
    <col min="12285" max="12285" width="37.85546875" style="62" customWidth="1"/>
    <col min="12286" max="12286" width="24.28515625" style="62" customWidth="1"/>
    <col min="12287" max="12287" width="28" style="62" customWidth="1"/>
    <col min="12288" max="12288" width="21.7109375" style="62" customWidth="1"/>
    <col min="12289" max="12289" width="29.140625" style="62" customWidth="1"/>
    <col min="12290" max="12290" width="37.5703125" style="62" customWidth="1"/>
    <col min="12291" max="12291" width="29.140625" style="62" customWidth="1"/>
    <col min="12292" max="12292" width="33.42578125" style="62" customWidth="1"/>
    <col min="12293" max="12293" width="31" style="62" customWidth="1"/>
    <col min="12294" max="12294" width="35.42578125" style="62" customWidth="1"/>
    <col min="12295" max="12295" width="33.42578125" style="62" customWidth="1"/>
    <col min="12296" max="12296" width="24.7109375" style="62" customWidth="1"/>
    <col min="12297" max="12528" width="8.85546875" style="62"/>
    <col min="12529" max="12529" width="20.140625" style="62" customWidth="1"/>
    <col min="12530" max="12530" width="25.5703125" style="62" customWidth="1"/>
    <col min="12531" max="12531" width="10.28515625" style="62" customWidth="1"/>
    <col min="12532" max="12532" width="15.28515625" style="62" customWidth="1"/>
    <col min="12533" max="12535" width="24.42578125" style="62" customWidth="1"/>
    <col min="12536" max="12536" width="16.5703125" style="62" customWidth="1"/>
    <col min="12537" max="12537" width="12.28515625" style="62" customWidth="1"/>
    <col min="12538" max="12538" width="23.140625" style="62" customWidth="1"/>
    <col min="12539" max="12539" width="36.28515625" style="62" bestFit="1" customWidth="1"/>
    <col min="12540" max="12540" width="36.140625" style="62" customWidth="1"/>
    <col min="12541" max="12541" width="37.85546875" style="62" customWidth="1"/>
    <col min="12542" max="12542" width="24.28515625" style="62" customWidth="1"/>
    <col min="12543" max="12543" width="28" style="62" customWidth="1"/>
    <col min="12544" max="12544" width="21.7109375" style="62" customWidth="1"/>
    <col min="12545" max="12545" width="29.140625" style="62" customWidth="1"/>
    <col min="12546" max="12546" width="37.5703125" style="62" customWidth="1"/>
    <col min="12547" max="12547" width="29.140625" style="62" customWidth="1"/>
    <col min="12548" max="12548" width="33.42578125" style="62" customWidth="1"/>
    <col min="12549" max="12549" width="31" style="62" customWidth="1"/>
    <col min="12550" max="12550" width="35.42578125" style="62" customWidth="1"/>
    <col min="12551" max="12551" width="33.42578125" style="62" customWidth="1"/>
    <col min="12552" max="12552" width="24.7109375" style="62" customWidth="1"/>
    <col min="12553" max="12784" width="8.85546875" style="62"/>
    <col min="12785" max="12785" width="20.140625" style="62" customWidth="1"/>
    <col min="12786" max="12786" width="25.5703125" style="62" customWidth="1"/>
    <col min="12787" max="12787" width="10.28515625" style="62" customWidth="1"/>
    <col min="12788" max="12788" width="15.28515625" style="62" customWidth="1"/>
    <col min="12789" max="12791" width="24.42578125" style="62" customWidth="1"/>
    <col min="12792" max="12792" width="16.5703125" style="62" customWidth="1"/>
    <col min="12793" max="12793" width="12.28515625" style="62" customWidth="1"/>
    <col min="12794" max="12794" width="23.140625" style="62" customWidth="1"/>
    <col min="12795" max="12795" width="36.28515625" style="62" bestFit="1" customWidth="1"/>
    <col min="12796" max="12796" width="36.140625" style="62" customWidth="1"/>
    <col min="12797" max="12797" width="37.85546875" style="62" customWidth="1"/>
    <col min="12798" max="12798" width="24.28515625" style="62" customWidth="1"/>
    <col min="12799" max="12799" width="28" style="62" customWidth="1"/>
    <col min="12800" max="12800" width="21.7109375" style="62" customWidth="1"/>
    <col min="12801" max="12801" width="29.140625" style="62" customWidth="1"/>
    <col min="12802" max="12802" width="37.5703125" style="62" customWidth="1"/>
    <col min="12803" max="12803" width="29.140625" style="62" customWidth="1"/>
    <col min="12804" max="12804" width="33.42578125" style="62" customWidth="1"/>
    <col min="12805" max="12805" width="31" style="62" customWidth="1"/>
    <col min="12806" max="12806" width="35.42578125" style="62" customWidth="1"/>
    <col min="12807" max="12807" width="33.42578125" style="62" customWidth="1"/>
    <col min="12808" max="12808" width="24.7109375" style="62" customWidth="1"/>
    <col min="12809" max="13040" width="8.85546875" style="62"/>
    <col min="13041" max="13041" width="20.140625" style="62" customWidth="1"/>
    <col min="13042" max="13042" width="25.5703125" style="62" customWidth="1"/>
    <col min="13043" max="13043" width="10.28515625" style="62" customWidth="1"/>
    <col min="13044" max="13044" width="15.28515625" style="62" customWidth="1"/>
    <col min="13045" max="13047" width="24.42578125" style="62" customWidth="1"/>
    <col min="13048" max="13048" width="16.5703125" style="62" customWidth="1"/>
    <col min="13049" max="13049" width="12.28515625" style="62" customWidth="1"/>
    <col min="13050" max="13050" width="23.140625" style="62" customWidth="1"/>
    <col min="13051" max="13051" width="36.28515625" style="62" bestFit="1" customWidth="1"/>
    <col min="13052" max="13052" width="36.140625" style="62" customWidth="1"/>
    <col min="13053" max="13053" width="37.85546875" style="62" customWidth="1"/>
    <col min="13054" max="13054" width="24.28515625" style="62" customWidth="1"/>
    <col min="13055" max="13055" width="28" style="62" customWidth="1"/>
    <col min="13056" max="13056" width="21.7109375" style="62" customWidth="1"/>
    <col min="13057" max="13057" width="29.140625" style="62" customWidth="1"/>
    <col min="13058" max="13058" width="37.5703125" style="62" customWidth="1"/>
    <col min="13059" max="13059" width="29.140625" style="62" customWidth="1"/>
    <col min="13060" max="13060" width="33.42578125" style="62" customWidth="1"/>
    <col min="13061" max="13061" width="31" style="62" customWidth="1"/>
    <col min="13062" max="13062" width="35.42578125" style="62" customWidth="1"/>
    <col min="13063" max="13063" width="33.42578125" style="62" customWidth="1"/>
    <col min="13064" max="13064" width="24.7109375" style="62" customWidth="1"/>
    <col min="13065" max="13296" width="8.85546875" style="62"/>
    <col min="13297" max="13297" width="20.140625" style="62" customWidth="1"/>
    <col min="13298" max="13298" width="25.5703125" style="62" customWidth="1"/>
    <col min="13299" max="13299" width="10.28515625" style="62" customWidth="1"/>
    <col min="13300" max="13300" width="15.28515625" style="62" customWidth="1"/>
    <col min="13301" max="13303" width="24.42578125" style="62" customWidth="1"/>
    <col min="13304" max="13304" width="16.5703125" style="62" customWidth="1"/>
    <col min="13305" max="13305" width="12.28515625" style="62" customWidth="1"/>
    <col min="13306" max="13306" width="23.140625" style="62" customWidth="1"/>
    <col min="13307" max="13307" width="36.28515625" style="62" bestFit="1" customWidth="1"/>
    <col min="13308" max="13308" width="36.140625" style="62" customWidth="1"/>
    <col min="13309" max="13309" width="37.85546875" style="62" customWidth="1"/>
    <col min="13310" max="13310" width="24.28515625" style="62" customWidth="1"/>
    <col min="13311" max="13311" width="28" style="62" customWidth="1"/>
    <col min="13312" max="13312" width="21.7109375" style="62" customWidth="1"/>
    <col min="13313" max="13313" width="29.140625" style="62" customWidth="1"/>
    <col min="13314" max="13314" width="37.5703125" style="62" customWidth="1"/>
    <col min="13315" max="13315" width="29.140625" style="62" customWidth="1"/>
    <col min="13316" max="13316" width="33.42578125" style="62" customWidth="1"/>
    <col min="13317" max="13317" width="31" style="62" customWidth="1"/>
    <col min="13318" max="13318" width="35.42578125" style="62" customWidth="1"/>
    <col min="13319" max="13319" width="33.42578125" style="62" customWidth="1"/>
    <col min="13320" max="13320" width="24.7109375" style="62" customWidth="1"/>
    <col min="13321" max="13552" width="8.85546875" style="62"/>
    <col min="13553" max="13553" width="20.140625" style="62" customWidth="1"/>
    <col min="13554" max="13554" width="25.5703125" style="62" customWidth="1"/>
    <col min="13555" max="13555" width="10.28515625" style="62" customWidth="1"/>
    <col min="13556" max="13556" width="15.28515625" style="62" customWidth="1"/>
    <col min="13557" max="13559" width="24.42578125" style="62" customWidth="1"/>
    <col min="13560" max="13560" width="16.5703125" style="62" customWidth="1"/>
    <col min="13561" max="13561" width="12.28515625" style="62" customWidth="1"/>
    <col min="13562" max="13562" width="23.140625" style="62" customWidth="1"/>
    <col min="13563" max="13563" width="36.28515625" style="62" bestFit="1" customWidth="1"/>
    <col min="13564" max="13564" width="36.140625" style="62" customWidth="1"/>
    <col min="13565" max="13565" width="37.85546875" style="62" customWidth="1"/>
    <col min="13566" max="13566" width="24.28515625" style="62" customWidth="1"/>
    <col min="13567" max="13567" width="28" style="62" customWidth="1"/>
    <col min="13568" max="13568" width="21.7109375" style="62" customWidth="1"/>
    <col min="13569" max="13569" width="29.140625" style="62" customWidth="1"/>
    <col min="13570" max="13570" width="37.5703125" style="62" customWidth="1"/>
    <col min="13571" max="13571" width="29.140625" style="62" customWidth="1"/>
    <col min="13572" max="13572" width="33.42578125" style="62" customWidth="1"/>
    <col min="13573" max="13573" width="31" style="62" customWidth="1"/>
    <col min="13574" max="13574" width="35.42578125" style="62" customWidth="1"/>
    <col min="13575" max="13575" width="33.42578125" style="62" customWidth="1"/>
    <col min="13576" max="13576" width="24.7109375" style="62" customWidth="1"/>
    <col min="13577" max="13808" width="8.85546875" style="62"/>
    <col min="13809" max="13809" width="20.140625" style="62" customWidth="1"/>
    <col min="13810" max="13810" width="25.5703125" style="62" customWidth="1"/>
    <col min="13811" max="13811" width="10.28515625" style="62" customWidth="1"/>
    <col min="13812" max="13812" width="15.28515625" style="62" customWidth="1"/>
    <col min="13813" max="13815" width="24.42578125" style="62" customWidth="1"/>
    <col min="13816" max="13816" width="16.5703125" style="62" customWidth="1"/>
    <col min="13817" max="13817" width="12.28515625" style="62" customWidth="1"/>
    <col min="13818" max="13818" width="23.140625" style="62" customWidth="1"/>
    <col min="13819" max="13819" width="36.28515625" style="62" bestFit="1" customWidth="1"/>
    <col min="13820" max="13820" width="36.140625" style="62" customWidth="1"/>
    <col min="13821" max="13821" width="37.85546875" style="62" customWidth="1"/>
    <col min="13822" max="13822" width="24.28515625" style="62" customWidth="1"/>
    <col min="13823" max="13823" width="28" style="62" customWidth="1"/>
    <col min="13824" max="13824" width="21.7109375" style="62" customWidth="1"/>
    <col min="13825" max="13825" width="29.140625" style="62" customWidth="1"/>
    <col min="13826" max="13826" width="37.5703125" style="62" customWidth="1"/>
    <col min="13827" max="13827" width="29.140625" style="62" customWidth="1"/>
    <col min="13828" max="13828" width="33.42578125" style="62" customWidth="1"/>
    <col min="13829" max="13829" width="31" style="62" customWidth="1"/>
    <col min="13830" max="13830" width="35.42578125" style="62" customWidth="1"/>
    <col min="13831" max="13831" width="33.42578125" style="62" customWidth="1"/>
    <col min="13832" max="13832" width="24.7109375" style="62" customWidth="1"/>
    <col min="13833" max="14064" width="8.85546875" style="62"/>
    <col min="14065" max="14065" width="20.140625" style="62" customWidth="1"/>
    <col min="14066" max="14066" width="25.5703125" style="62" customWidth="1"/>
    <col min="14067" max="14067" width="10.28515625" style="62" customWidth="1"/>
    <col min="14068" max="14068" width="15.28515625" style="62" customWidth="1"/>
    <col min="14069" max="14071" width="24.42578125" style="62" customWidth="1"/>
    <col min="14072" max="14072" width="16.5703125" style="62" customWidth="1"/>
    <col min="14073" max="14073" width="12.28515625" style="62" customWidth="1"/>
    <col min="14074" max="14074" width="23.140625" style="62" customWidth="1"/>
    <col min="14075" max="14075" width="36.28515625" style="62" bestFit="1" customWidth="1"/>
    <col min="14076" max="14076" width="36.140625" style="62" customWidth="1"/>
    <col min="14077" max="14077" width="37.85546875" style="62" customWidth="1"/>
    <col min="14078" max="14078" width="24.28515625" style="62" customWidth="1"/>
    <col min="14079" max="14079" width="28" style="62" customWidth="1"/>
    <col min="14080" max="14080" width="21.7109375" style="62" customWidth="1"/>
    <col min="14081" max="14081" width="29.140625" style="62" customWidth="1"/>
    <col min="14082" max="14082" width="37.5703125" style="62" customWidth="1"/>
    <col min="14083" max="14083" width="29.140625" style="62" customWidth="1"/>
    <col min="14084" max="14084" width="33.42578125" style="62" customWidth="1"/>
    <col min="14085" max="14085" width="31" style="62" customWidth="1"/>
    <col min="14086" max="14086" width="35.42578125" style="62" customWidth="1"/>
    <col min="14087" max="14087" width="33.42578125" style="62" customWidth="1"/>
    <col min="14088" max="14088" width="24.7109375" style="62" customWidth="1"/>
    <col min="14089" max="14320" width="8.85546875" style="62"/>
    <col min="14321" max="14321" width="20.140625" style="62" customWidth="1"/>
    <col min="14322" max="14322" width="25.5703125" style="62" customWidth="1"/>
    <col min="14323" max="14323" width="10.28515625" style="62" customWidth="1"/>
    <col min="14324" max="14324" width="15.28515625" style="62" customWidth="1"/>
    <col min="14325" max="14327" width="24.42578125" style="62" customWidth="1"/>
    <col min="14328" max="14328" width="16.5703125" style="62" customWidth="1"/>
    <col min="14329" max="14329" width="12.28515625" style="62" customWidth="1"/>
    <col min="14330" max="14330" width="23.140625" style="62" customWidth="1"/>
    <col min="14331" max="14331" width="36.28515625" style="62" bestFit="1" customWidth="1"/>
    <col min="14332" max="14332" width="36.140625" style="62" customWidth="1"/>
    <col min="14333" max="14333" width="37.85546875" style="62" customWidth="1"/>
    <col min="14334" max="14334" width="24.28515625" style="62" customWidth="1"/>
    <col min="14335" max="14335" width="28" style="62" customWidth="1"/>
    <col min="14336" max="14336" width="21.7109375" style="62" customWidth="1"/>
    <col min="14337" max="14337" width="29.140625" style="62" customWidth="1"/>
    <col min="14338" max="14338" width="37.5703125" style="62" customWidth="1"/>
    <col min="14339" max="14339" width="29.140625" style="62" customWidth="1"/>
    <col min="14340" max="14340" width="33.42578125" style="62" customWidth="1"/>
    <col min="14341" max="14341" width="31" style="62" customWidth="1"/>
    <col min="14342" max="14342" width="35.42578125" style="62" customWidth="1"/>
    <col min="14343" max="14343" width="33.42578125" style="62" customWidth="1"/>
    <col min="14344" max="14344" width="24.7109375" style="62" customWidth="1"/>
    <col min="14345" max="14576" width="8.85546875" style="62"/>
    <col min="14577" max="14577" width="20.140625" style="62" customWidth="1"/>
    <col min="14578" max="14578" width="25.5703125" style="62" customWidth="1"/>
    <col min="14579" max="14579" width="10.28515625" style="62" customWidth="1"/>
    <col min="14580" max="14580" width="15.28515625" style="62" customWidth="1"/>
    <col min="14581" max="14583" width="24.42578125" style="62" customWidth="1"/>
    <col min="14584" max="14584" width="16.5703125" style="62" customWidth="1"/>
    <col min="14585" max="14585" width="12.28515625" style="62" customWidth="1"/>
    <col min="14586" max="14586" width="23.140625" style="62" customWidth="1"/>
    <col min="14587" max="14587" width="36.28515625" style="62" bestFit="1" customWidth="1"/>
    <col min="14588" max="14588" width="36.140625" style="62" customWidth="1"/>
    <col min="14589" max="14589" width="37.85546875" style="62" customWidth="1"/>
    <col min="14590" max="14590" width="24.28515625" style="62" customWidth="1"/>
    <col min="14591" max="14591" width="28" style="62" customWidth="1"/>
    <col min="14592" max="14592" width="21.7109375" style="62" customWidth="1"/>
    <col min="14593" max="14593" width="29.140625" style="62" customWidth="1"/>
    <col min="14594" max="14594" width="37.5703125" style="62" customWidth="1"/>
    <col min="14595" max="14595" width="29.140625" style="62" customWidth="1"/>
    <col min="14596" max="14596" width="33.42578125" style="62" customWidth="1"/>
    <col min="14597" max="14597" width="31" style="62" customWidth="1"/>
    <col min="14598" max="14598" width="35.42578125" style="62" customWidth="1"/>
    <col min="14599" max="14599" width="33.42578125" style="62" customWidth="1"/>
    <col min="14600" max="14600" width="24.7109375" style="62" customWidth="1"/>
    <col min="14601" max="14832" width="8.85546875" style="62"/>
    <col min="14833" max="14833" width="20.140625" style="62" customWidth="1"/>
    <col min="14834" max="14834" width="25.5703125" style="62" customWidth="1"/>
    <col min="14835" max="14835" width="10.28515625" style="62" customWidth="1"/>
    <col min="14836" max="14836" width="15.28515625" style="62" customWidth="1"/>
    <col min="14837" max="14839" width="24.42578125" style="62" customWidth="1"/>
    <col min="14840" max="14840" width="16.5703125" style="62" customWidth="1"/>
    <col min="14841" max="14841" width="12.28515625" style="62" customWidth="1"/>
    <col min="14842" max="14842" width="23.140625" style="62" customWidth="1"/>
    <col min="14843" max="14843" width="36.28515625" style="62" bestFit="1" customWidth="1"/>
    <col min="14844" max="14844" width="36.140625" style="62" customWidth="1"/>
    <col min="14845" max="14845" width="37.85546875" style="62" customWidth="1"/>
    <col min="14846" max="14846" width="24.28515625" style="62" customWidth="1"/>
    <col min="14847" max="14847" width="28" style="62" customWidth="1"/>
    <col min="14848" max="14848" width="21.7109375" style="62" customWidth="1"/>
    <col min="14849" max="14849" width="29.140625" style="62" customWidth="1"/>
    <col min="14850" max="14850" width="37.5703125" style="62" customWidth="1"/>
    <col min="14851" max="14851" width="29.140625" style="62" customWidth="1"/>
    <col min="14852" max="14852" width="33.42578125" style="62" customWidth="1"/>
    <col min="14853" max="14853" width="31" style="62" customWidth="1"/>
    <col min="14854" max="14854" width="35.42578125" style="62" customWidth="1"/>
    <col min="14855" max="14855" width="33.42578125" style="62" customWidth="1"/>
    <col min="14856" max="14856" width="24.7109375" style="62" customWidth="1"/>
    <col min="14857" max="15088" width="8.85546875" style="62"/>
    <col min="15089" max="15089" width="20.140625" style="62" customWidth="1"/>
    <col min="15090" max="15090" width="25.5703125" style="62" customWidth="1"/>
    <col min="15091" max="15091" width="10.28515625" style="62" customWidth="1"/>
    <col min="15092" max="15092" width="15.28515625" style="62" customWidth="1"/>
    <col min="15093" max="15095" width="24.42578125" style="62" customWidth="1"/>
    <col min="15096" max="15096" width="16.5703125" style="62" customWidth="1"/>
    <col min="15097" max="15097" width="12.28515625" style="62" customWidth="1"/>
    <col min="15098" max="15098" width="23.140625" style="62" customWidth="1"/>
    <col min="15099" max="15099" width="36.28515625" style="62" bestFit="1" customWidth="1"/>
    <col min="15100" max="15100" width="36.140625" style="62" customWidth="1"/>
    <col min="15101" max="15101" width="37.85546875" style="62" customWidth="1"/>
    <col min="15102" max="15102" width="24.28515625" style="62" customWidth="1"/>
    <col min="15103" max="15103" width="28" style="62" customWidth="1"/>
    <col min="15104" max="15104" width="21.7109375" style="62" customWidth="1"/>
    <col min="15105" max="15105" width="29.140625" style="62" customWidth="1"/>
    <col min="15106" max="15106" width="37.5703125" style="62" customWidth="1"/>
    <col min="15107" max="15107" width="29.140625" style="62" customWidth="1"/>
    <col min="15108" max="15108" width="33.42578125" style="62" customWidth="1"/>
    <col min="15109" max="15109" width="31" style="62" customWidth="1"/>
    <col min="15110" max="15110" width="35.42578125" style="62" customWidth="1"/>
    <col min="15111" max="15111" width="33.42578125" style="62" customWidth="1"/>
    <col min="15112" max="15112" width="24.7109375" style="62" customWidth="1"/>
    <col min="15113" max="15344" width="8.85546875" style="62"/>
    <col min="15345" max="15345" width="20.140625" style="62" customWidth="1"/>
    <col min="15346" max="15346" width="25.5703125" style="62" customWidth="1"/>
    <col min="15347" max="15347" width="10.28515625" style="62" customWidth="1"/>
    <col min="15348" max="15348" width="15.28515625" style="62" customWidth="1"/>
    <col min="15349" max="15351" width="24.42578125" style="62" customWidth="1"/>
    <col min="15352" max="15352" width="16.5703125" style="62" customWidth="1"/>
    <col min="15353" max="15353" width="12.28515625" style="62" customWidth="1"/>
    <col min="15354" max="15354" width="23.140625" style="62" customWidth="1"/>
    <col min="15355" max="15355" width="36.28515625" style="62" bestFit="1" customWidth="1"/>
    <col min="15356" max="15356" width="36.140625" style="62" customWidth="1"/>
    <col min="15357" max="15357" width="37.85546875" style="62" customWidth="1"/>
    <col min="15358" max="15358" width="24.28515625" style="62" customWidth="1"/>
    <col min="15359" max="15359" width="28" style="62" customWidth="1"/>
    <col min="15360" max="15360" width="21.7109375" style="62" customWidth="1"/>
    <col min="15361" max="15361" width="29.140625" style="62" customWidth="1"/>
    <col min="15362" max="15362" width="37.5703125" style="62" customWidth="1"/>
    <col min="15363" max="15363" width="29.140625" style="62" customWidth="1"/>
    <col min="15364" max="15364" width="33.42578125" style="62" customWidth="1"/>
    <col min="15365" max="15365" width="31" style="62" customWidth="1"/>
    <col min="15366" max="15366" width="35.42578125" style="62" customWidth="1"/>
    <col min="15367" max="15367" width="33.42578125" style="62" customWidth="1"/>
    <col min="15368" max="15368" width="24.7109375" style="62" customWidth="1"/>
    <col min="15369" max="15600" width="8.85546875" style="62"/>
    <col min="15601" max="15601" width="20.140625" style="62" customWidth="1"/>
    <col min="15602" max="15602" width="25.5703125" style="62" customWidth="1"/>
    <col min="15603" max="15603" width="10.28515625" style="62" customWidth="1"/>
    <col min="15604" max="15604" width="15.28515625" style="62" customWidth="1"/>
    <col min="15605" max="15607" width="24.42578125" style="62" customWidth="1"/>
    <col min="15608" max="15608" width="16.5703125" style="62" customWidth="1"/>
    <col min="15609" max="15609" width="12.28515625" style="62" customWidth="1"/>
    <col min="15610" max="15610" width="23.140625" style="62" customWidth="1"/>
    <col min="15611" max="15611" width="36.28515625" style="62" bestFit="1" customWidth="1"/>
    <col min="15612" max="15612" width="36.140625" style="62" customWidth="1"/>
    <col min="15613" max="15613" width="37.85546875" style="62" customWidth="1"/>
    <col min="15614" max="15614" width="24.28515625" style="62" customWidth="1"/>
    <col min="15615" max="15615" width="28" style="62" customWidth="1"/>
    <col min="15616" max="15616" width="21.7109375" style="62" customWidth="1"/>
    <col min="15617" max="15617" width="29.140625" style="62" customWidth="1"/>
    <col min="15618" max="15618" width="37.5703125" style="62" customWidth="1"/>
    <col min="15619" max="15619" width="29.140625" style="62" customWidth="1"/>
    <col min="15620" max="15620" width="33.42578125" style="62" customWidth="1"/>
    <col min="15621" max="15621" width="31" style="62" customWidth="1"/>
    <col min="15622" max="15622" width="35.42578125" style="62" customWidth="1"/>
    <col min="15623" max="15623" width="33.42578125" style="62" customWidth="1"/>
    <col min="15624" max="15624" width="24.7109375" style="62" customWidth="1"/>
    <col min="15625" max="15856" width="8.85546875" style="62"/>
    <col min="15857" max="15857" width="20.140625" style="62" customWidth="1"/>
    <col min="15858" max="15858" width="25.5703125" style="62" customWidth="1"/>
    <col min="15859" max="15859" width="10.28515625" style="62" customWidth="1"/>
    <col min="15860" max="15860" width="15.28515625" style="62" customWidth="1"/>
    <col min="15861" max="15863" width="24.42578125" style="62" customWidth="1"/>
    <col min="15864" max="15864" width="16.5703125" style="62" customWidth="1"/>
    <col min="15865" max="15865" width="12.28515625" style="62" customWidth="1"/>
    <col min="15866" max="15866" width="23.140625" style="62" customWidth="1"/>
    <col min="15867" max="15867" width="36.28515625" style="62" bestFit="1" customWidth="1"/>
    <col min="15868" max="15868" width="36.140625" style="62" customWidth="1"/>
    <col min="15869" max="15869" width="37.85546875" style="62" customWidth="1"/>
    <col min="15870" max="15870" width="24.28515625" style="62" customWidth="1"/>
    <col min="15871" max="15871" width="28" style="62" customWidth="1"/>
    <col min="15872" max="15872" width="21.7109375" style="62" customWidth="1"/>
    <col min="15873" max="15873" width="29.140625" style="62" customWidth="1"/>
    <col min="15874" max="15874" width="37.5703125" style="62" customWidth="1"/>
    <col min="15875" max="15875" width="29.140625" style="62" customWidth="1"/>
    <col min="15876" max="15876" width="33.42578125" style="62" customWidth="1"/>
    <col min="15877" max="15877" width="31" style="62" customWidth="1"/>
    <col min="15878" max="15878" width="35.42578125" style="62" customWidth="1"/>
    <col min="15879" max="15879" width="33.42578125" style="62" customWidth="1"/>
    <col min="15880" max="15880" width="24.7109375" style="62" customWidth="1"/>
    <col min="15881" max="16112" width="8.85546875" style="62"/>
    <col min="16113" max="16113" width="20.140625" style="62" customWidth="1"/>
    <col min="16114" max="16114" width="25.5703125" style="62" customWidth="1"/>
    <col min="16115" max="16115" width="10.28515625" style="62" customWidth="1"/>
    <col min="16116" max="16116" width="15.28515625" style="62" customWidth="1"/>
    <col min="16117" max="16119" width="24.42578125" style="62" customWidth="1"/>
    <col min="16120" max="16120" width="16.5703125" style="62" customWidth="1"/>
    <col min="16121" max="16121" width="12.28515625" style="62" customWidth="1"/>
    <col min="16122" max="16122" width="23.140625" style="62" customWidth="1"/>
    <col min="16123" max="16123" width="36.28515625" style="62" bestFit="1" customWidth="1"/>
    <col min="16124" max="16124" width="36.140625" style="62" customWidth="1"/>
    <col min="16125" max="16125" width="37.85546875" style="62" customWidth="1"/>
    <col min="16126" max="16126" width="24.28515625" style="62" customWidth="1"/>
    <col min="16127" max="16127" width="28" style="62" customWidth="1"/>
    <col min="16128" max="16128" width="21.7109375" style="62" customWidth="1"/>
    <col min="16129" max="16129" width="29.140625" style="62" customWidth="1"/>
    <col min="16130" max="16130" width="37.5703125" style="62" customWidth="1"/>
    <col min="16131" max="16131" width="29.140625" style="62" customWidth="1"/>
    <col min="16132" max="16132" width="33.42578125" style="62" customWidth="1"/>
    <col min="16133" max="16133" width="31" style="62" customWidth="1"/>
    <col min="16134" max="16134" width="35.42578125" style="62" customWidth="1"/>
    <col min="16135" max="16135" width="33.42578125" style="62" customWidth="1"/>
    <col min="16136" max="16136" width="24.7109375" style="62" customWidth="1"/>
    <col min="16137" max="16384" width="8.85546875" style="62"/>
  </cols>
  <sheetData>
    <row r="1" spans="1:137" ht="36">
      <c r="A1" s="145" t="s">
        <v>211</v>
      </c>
      <c r="B1" s="145"/>
      <c r="C1" s="145"/>
      <c r="D1" s="145"/>
      <c r="E1" s="145"/>
      <c r="F1" s="145"/>
      <c r="G1" s="145"/>
      <c r="H1" s="145"/>
      <c r="I1" s="145"/>
    </row>
    <row r="2" spans="1:137">
      <c r="B2" s="62"/>
    </row>
    <row r="3" spans="1:137" ht="58.7" customHeight="1">
      <c r="A3" s="144" t="s">
        <v>63</v>
      </c>
      <c r="B3" s="117"/>
      <c r="C3" s="124" t="s">
        <v>64</v>
      </c>
      <c r="D3" s="117"/>
      <c r="E3" s="117"/>
      <c r="F3" s="117"/>
      <c r="G3" s="117"/>
      <c r="H3" s="117"/>
      <c r="I3" s="117"/>
      <c r="K3" s="170" t="s">
        <v>149</v>
      </c>
      <c r="L3" s="170"/>
      <c r="M3" s="170"/>
      <c r="N3" s="170"/>
    </row>
    <row r="4" spans="1:137">
      <c r="A4" s="117"/>
      <c r="B4" s="169" t="s">
        <v>65</v>
      </c>
      <c r="C4" s="169"/>
      <c r="D4" s="169"/>
      <c r="E4" s="117"/>
      <c r="F4" s="117"/>
      <c r="G4" s="117"/>
      <c r="H4" s="117"/>
      <c r="I4" s="117"/>
      <c r="K4" s="122"/>
      <c r="L4" s="122"/>
      <c r="M4" s="122"/>
      <c r="N4" s="122"/>
    </row>
    <row r="5" spans="1:137" s="71" customFormat="1" ht="25.5">
      <c r="A5" s="63" t="s">
        <v>0</v>
      </c>
      <c r="B5" s="64" t="s">
        <v>66</v>
      </c>
      <c r="C5" s="70" t="s">
        <v>35</v>
      </c>
      <c r="D5" s="64" t="s">
        <v>67</v>
      </c>
      <c r="E5" s="63" t="s">
        <v>36</v>
      </c>
      <c r="F5" s="63" t="s">
        <v>37</v>
      </c>
      <c r="G5" s="64" t="s">
        <v>38</v>
      </c>
      <c r="H5" s="64" t="s">
        <v>39</v>
      </c>
      <c r="I5" s="63" t="s">
        <v>40</v>
      </c>
      <c r="J5" s="62"/>
      <c r="K5" s="113" t="s">
        <v>8</v>
      </c>
      <c r="L5" s="113" t="s">
        <v>148</v>
      </c>
      <c r="M5" s="113" t="s">
        <v>10</v>
      </c>
      <c r="N5" s="113" t="s">
        <v>12</v>
      </c>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row>
    <row r="6" spans="1:137">
      <c r="A6" s="65">
        <v>1</v>
      </c>
      <c r="B6" s="66" t="s">
        <v>68</v>
      </c>
      <c r="C6" s="72">
        <v>37</v>
      </c>
      <c r="D6" s="66" t="s">
        <v>69</v>
      </c>
      <c r="E6" s="66" t="s">
        <v>41</v>
      </c>
      <c r="F6" s="66" t="s">
        <v>42</v>
      </c>
      <c r="G6" s="66" t="s">
        <v>43</v>
      </c>
      <c r="H6" s="66" t="s">
        <v>44</v>
      </c>
      <c r="I6" s="66" t="s">
        <v>58</v>
      </c>
      <c r="K6" s="95">
        <f>SUM('Task metrics - Group B'!C6:J6,'Task metrics - Group B'!AT6:BA6,'Task metrics - Group B'!CK6:CR6)</f>
        <v>6.75</v>
      </c>
      <c r="L6">
        <f>SUM('Task metrics - Group B'!M6:T6,'Task metrics - Group B'!BD6:BK6,'Task metrics - Group B'!CU6:DB6)</f>
        <v>3830</v>
      </c>
      <c r="M6">
        <f>SUM('Task metrics - Group B'!W6:AD6,'Task metrics - Group B'!BN6:BU6,'Task metrics - Group B'!DE6:DL6)</f>
        <v>53</v>
      </c>
      <c r="N6">
        <f>SUM('Task metrics - Group B'!AQ6,'Task metrics - Group B'!CH6,'Task metrics - Group B'!DY6)</f>
        <v>152.5</v>
      </c>
    </row>
    <row r="7" spans="1:137">
      <c r="A7" s="66">
        <v>2</v>
      </c>
      <c r="B7" s="66" t="s">
        <v>70</v>
      </c>
      <c r="C7" s="72">
        <v>38</v>
      </c>
      <c r="D7" s="66" t="s">
        <v>71</v>
      </c>
      <c r="E7" s="66" t="s">
        <v>45</v>
      </c>
      <c r="F7" s="66" t="s">
        <v>42</v>
      </c>
      <c r="G7" s="66" t="s">
        <v>46</v>
      </c>
      <c r="H7" s="66" t="s">
        <v>44</v>
      </c>
      <c r="I7" s="66" t="s">
        <v>47</v>
      </c>
      <c r="K7" s="95">
        <f>SUM('Task metrics - Group B'!C7:J7,'Task metrics - Group B'!AT7:BA7,'Task metrics - Group B'!CK7:CR7)</f>
        <v>11.5</v>
      </c>
      <c r="L7">
        <f>SUM('Task metrics - Group B'!M7:T7,'Task metrics - Group B'!BD7:BK7,'Task metrics - Group B'!CU7:DB7)</f>
        <v>4020</v>
      </c>
      <c r="M7">
        <f>SUM('Task metrics - Group B'!W7:AD7,'Task metrics - Group B'!BN7:BU7,'Task metrics - Group B'!DE7:DL7)</f>
        <v>64</v>
      </c>
      <c r="N7">
        <f>SUM('Task metrics - Group B'!AQ7,'Task metrics - Group B'!CH7,'Task metrics - Group B'!DY7)</f>
        <v>132.5</v>
      </c>
    </row>
    <row r="8" spans="1:137">
      <c r="A8" s="66">
        <v>3</v>
      </c>
      <c r="B8" s="66" t="s">
        <v>72</v>
      </c>
      <c r="C8" s="72">
        <v>39</v>
      </c>
      <c r="D8" s="66" t="s">
        <v>73</v>
      </c>
      <c r="E8" s="66" t="s">
        <v>45</v>
      </c>
      <c r="F8" s="66" t="s">
        <v>42</v>
      </c>
      <c r="G8" s="66" t="s">
        <v>48</v>
      </c>
      <c r="H8" s="67" t="s">
        <v>49</v>
      </c>
      <c r="I8" s="66" t="s">
        <v>58</v>
      </c>
      <c r="K8" s="95">
        <f>SUM('Task metrics - Group B'!C8:J8,'Task metrics - Group B'!AT8:BA8,'Task metrics - Group B'!CK8:CR8)</f>
        <v>4.5</v>
      </c>
      <c r="L8">
        <f>SUM('Task metrics - Group B'!M8:T8,'Task metrics - Group B'!BD8:BK8,'Task metrics - Group B'!CU8:DB8)</f>
        <v>3408</v>
      </c>
      <c r="M8">
        <f>SUM('Task metrics - Group B'!W8:AD8,'Task metrics - Group B'!BN8:BU8,'Task metrics - Group B'!DE8:DL8)</f>
        <v>50</v>
      </c>
      <c r="N8">
        <f>SUM('Task metrics - Group B'!AQ8,'Task metrics - Group B'!CH8,'Task metrics - Group B'!DY8)</f>
        <v>85</v>
      </c>
    </row>
    <row r="9" spans="1:137">
      <c r="A9" s="66">
        <v>4</v>
      </c>
      <c r="B9" s="67" t="s">
        <v>74</v>
      </c>
      <c r="C9" s="72">
        <v>40</v>
      </c>
      <c r="D9" s="67" t="s">
        <v>75</v>
      </c>
      <c r="E9" s="66" t="s">
        <v>45</v>
      </c>
      <c r="F9" s="67" t="s">
        <v>50</v>
      </c>
      <c r="G9" s="67" t="s">
        <v>43</v>
      </c>
      <c r="H9" s="67" t="s">
        <v>49</v>
      </c>
      <c r="I9" s="66" t="s">
        <v>58</v>
      </c>
      <c r="K9" s="95">
        <f>SUM('Task metrics - Group B'!C9:J9,'Task metrics - Group B'!AT9:BA9,'Task metrics - Group B'!CK9:CR9)</f>
        <v>3.75</v>
      </c>
      <c r="L9">
        <f>SUM('Task metrics - Group B'!M9:T9,'Task metrics - Group B'!BD9:BK9,'Task metrics - Group B'!CU9:DB9)</f>
        <v>3269</v>
      </c>
      <c r="M9">
        <f>SUM('Task metrics - Group B'!W9:AD9,'Task metrics - Group B'!BN9:BU9,'Task metrics - Group B'!DE9:DL9)</f>
        <v>41</v>
      </c>
      <c r="N9">
        <f>SUM('Task metrics - Group B'!AQ9,'Task metrics - Group B'!CH9,'Task metrics - Group B'!DY9)</f>
        <v>7.5</v>
      </c>
    </row>
    <row r="10" spans="1:137">
      <c r="A10" s="66">
        <v>5</v>
      </c>
      <c r="B10" s="67" t="s">
        <v>68</v>
      </c>
      <c r="C10" s="72">
        <v>41</v>
      </c>
      <c r="D10" s="67" t="s">
        <v>76</v>
      </c>
      <c r="E10" s="66" t="s">
        <v>41</v>
      </c>
      <c r="F10" s="67" t="s">
        <v>51</v>
      </c>
      <c r="G10" s="67" t="s">
        <v>46</v>
      </c>
      <c r="H10" s="67" t="s">
        <v>44</v>
      </c>
      <c r="I10" s="66" t="s">
        <v>58</v>
      </c>
      <c r="K10" s="95">
        <f>SUM('Task metrics - Group B'!C10:J10,'Task metrics - Group B'!AT10:BA10,'Task metrics - Group B'!CK10:CR10)</f>
        <v>2.5</v>
      </c>
      <c r="L10">
        <f>SUM('Task metrics - Group B'!M10:T10,'Task metrics - Group B'!BD10:BK10,'Task metrics - Group B'!CU10:DB10)</f>
        <v>1330</v>
      </c>
      <c r="M10">
        <f>SUM('Task metrics - Group B'!W10:AD10,'Task metrics - Group B'!BN10:BU10,'Task metrics - Group B'!DE10:DL10)</f>
        <v>64</v>
      </c>
      <c r="N10">
        <f>SUM('Task metrics - Group B'!AQ10,'Task metrics - Group B'!CH10,'Task metrics - Group B'!DY10)</f>
        <v>132.5</v>
      </c>
    </row>
    <row r="11" spans="1:137">
      <c r="A11" s="66">
        <v>6</v>
      </c>
      <c r="B11" s="67" t="s">
        <v>70</v>
      </c>
      <c r="C11" s="72">
        <v>42</v>
      </c>
      <c r="D11" s="67" t="s">
        <v>77</v>
      </c>
      <c r="E11" s="66" t="s">
        <v>52</v>
      </c>
      <c r="F11" s="67" t="s">
        <v>53</v>
      </c>
      <c r="G11" s="67" t="s">
        <v>46</v>
      </c>
      <c r="H11" s="66" t="s">
        <v>44</v>
      </c>
      <c r="I11" s="66" t="s">
        <v>58</v>
      </c>
      <c r="K11" s="95">
        <f>SUM('Task metrics - Group B'!C11:J11,'Task metrics - Group B'!AT11:BA11,'Task metrics - Group B'!CK11:CR11)</f>
        <v>6.5</v>
      </c>
      <c r="L11">
        <f>SUM('Task metrics - Group B'!M11:T11,'Task metrics - Group B'!BD11:BK11,'Task metrics - Group B'!CU11:DB11)</f>
        <v>2572</v>
      </c>
      <c r="M11">
        <f>SUM('Task metrics - Group B'!W11:AD11,'Task metrics - Group B'!BN11:BU11,'Task metrics - Group B'!DE11:DL11)</f>
        <v>51</v>
      </c>
      <c r="N11">
        <f>SUM('Task metrics - Group B'!AQ11,'Task metrics - Group B'!CH11,'Task metrics - Group B'!DY11)</f>
        <v>90</v>
      </c>
    </row>
    <row r="12" spans="1:137">
      <c r="A12" s="66">
        <v>7</v>
      </c>
      <c r="B12" s="67" t="s">
        <v>72</v>
      </c>
      <c r="C12" s="72">
        <v>43</v>
      </c>
      <c r="D12" s="67" t="s">
        <v>78</v>
      </c>
      <c r="E12" s="66" t="s">
        <v>54</v>
      </c>
      <c r="F12" s="67" t="s">
        <v>42</v>
      </c>
      <c r="G12" s="67" t="s">
        <v>43</v>
      </c>
      <c r="H12" s="67" t="s">
        <v>49</v>
      </c>
      <c r="I12" s="66" t="s">
        <v>58</v>
      </c>
      <c r="K12" s="95">
        <f>SUM('Task metrics - Group B'!C12:J12,'Task metrics - Group B'!AT12:BA12,'Task metrics - Group B'!CK12:CR12)</f>
        <v>8.5</v>
      </c>
      <c r="L12">
        <f>SUM('Task metrics - Group B'!M12:T12,'Task metrics - Group B'!BD12:BK12,'Task metrics - Group B'!CU12:DB12)</f>
        <v>3552</v>
      </c>
      <c r="M12">
        <f>SUM('Task metrics - Group B'!W12:AD12,'Task metrics - Group B'!BN12:BU12,'Task metrics - Group B'!DE12:DL12)</f>
        <v>47</v>
      </c>
      <c r="N12">
        <f>SUM('Task metrics - Group B'!AQ12,'Task metrics - Group B'!CH12,'Task metrics - Group B'!DY12)</f>
        <v>107.5</v>
      </c>
    </row>
    <row r="13" spans="1:137">
      <c r="A13" s="66">
        <v>8</v>
      </c>
      <c r="B13" s="67" t="s">
        <v>74</v>
      </c>
      <c r="C13" s="72">
        <v>44</v>
      </c>
      <c r="D13" s="67" t="s">
        <v>79</v>
      </c>
      <c r="E13" s="66" t="s">
        <v>52</v>
      </c>
      <c r="F13" s="67" t="s">
        <v>42</v>
      </c>
      <c r="G13" s="67" t="s">
        <v>43</v>
      </c>
      <c r="H13" s="67" t="s">
        <v>44</v>
      </c>
      <c r="I13" s="66" t="s">
        <v>47</v>
      </c>
      <c r="K13" s="95">
        <f>SUM('Task metrics - Group B'!C13:J13,'Task metrics - Group B'!AT13:BA13,'Task metrics - Group B'!CK13:CR13)</f>
        <v>12</v>
      </c>
      <c r="L13">
        <f>SUM('Task metrics - Group B'!M13:T13,'Task metrics - Group B'!BD13:BK13,'Task metrics - Group B'!CU13:DB13)</f>
        <v>3681</v>
      </c>
      <c r="M13">
        <f>SUM('Task metrics - Group B'!W13:AD13,'Task metrics - Group B'!BN13:BU13,'Task metrics - Group B'!DE13:DL13)</f>
        <v>75</v>
      </c>
      <c r="N13">
        <f>SUM('Task metrics - Group B'!AQ13,'Task metrics - Group B'!CH13,'Task metrics - Group B'!DY13)</f>
        <v>197.5</v>
      </c>
    </row>
    <row r="14" spans="1:137">
      <c r="A14" s="66">
        <v>9</v>
      </c>
      <c r="B14" s="73"/>
      <c r="C14" s="72"/>
      <c r="D14" s="67" t="s">
        <v>80</v>
      </c>
      <c r="E14" s="67" t="s">
        <v>41</v>
      </c>
      <c r="F14" s="67" t="s">
        <v>42</v>
      </c>
      <c r="G14" s="67" t="s">
        <v>43</v>
      </c>
      <c r="H14" s="67" t="s">
        <v>55</v>
      </c>
      <c r="I14" s="66" t="s">
        <v>58</v>
      </c>
      <c r="K14" s="95">
        <f>SUM('Task metrics - Group B'!C14:J14,'Task metrics - Group B'!AT14:BA14,'Task metrics - Group B'!CK14:CR14)</f>
        <v>5.25</v>
      </c>
      <c r="L14">
        <f>SUM('Task metrics - Group B'!M14:T14,'Task metrics - Group B'!BD14:BK14,'Task metrics - Group B'!CU14:DB14)</f>
        <v>3453</v>
      </c>
      <c r="M14">
        <f>SUM('Task metrics - Group B'!W14:AD14,'Task metrics - Group B'!BN14:BU14,'Task metrics - Group B'!DE14:DL14)</f>
        <v>64</v>
      </c>
      <c r="N14">
        <f>SUM('Task metrics - Group B'!AQ14,'Task metrics - Group B'!CH14,'Task metrics - Group B'!DY14)</f>
        <v>95</v>
      </c>
    </row>
    <row r="15" spans="1:137">
      <c r="A15" s="66">
        <v>10</v>
      </c>
      <c r="B15" s="67" t="s">
        <v>70</v>
      </c>
      <c r="C15" s="72">
        <v>46</v>
      </c>
      <c r="D15" s="67" t="s">
        <v>81</v>
      </c>
      <c r="E15" s="66" t="s">
        <v>52</v>
      </c>
      <c r="F15" s="67" t="s">
        <v>50</v>
      </c>
      <c r="G15" s="67" t="s">
        <v>46</v>
      </c>
      <c r="H15" s="67" t="s">
        <v>56</v>
      </c>
      <c r="I15" s="66" t="s">
        <v>58</v>
      </c>
      <c r="K15" s="95">
        <f>SUM('Task metrics - Group B'!C15:J15,'Task metrics - Group B'!AT15:BA15,'Task metrics - Group B'!CK15:CR15)</f>
        <v>13.5</v>
      </c>
      <c r="L15">
        <f>SUM('Task metrics - Group B'!M15:T15,'Task metrics - Group B'!BD15:BK15,'Task metrics - Group B'!CU15:DB15)</f>
        <v>3523</v>
      </c>
      <c r="M15">
        <f>SUM('Task metrics - Group B'!W15:AD15,'Task metrics - Group B'!BN15:BU15,'Task metrics - Group B'!DE15:DL15)</f>
        <v>81</v>
      </c>
      <c r="N15">
        <f>SUM('Task metrics - Group B'!AQ15,'Task metrics - Group B'!CH15,'Task metrics - Group B'!DY15)</f>
        <v>175</v>
      </c>
    </row>
    <row r="16" spans="1:137">
      <c r="A16" s="66">
        <v>11</v>
      </c>
      <c r="B16" s="73"/>
      <c r="C16" s="72"/>
      <c r="D16" s="66" t="s">
        <v>82</v>
      </c>
      <c r="E16" s="66" t="s">
        <v>57</v>
      </c>
      <c r="F16" s="66" t="s">
        <v>51</v>
      </c>
      <c r="G16" s="66" t="s">
        <v>43</v>
      </c>
      <c r="H16" s="66" t="s">
        <v>49</v>
      </c>
      <c r="I16" s="66" t="s">
        <v>58</v>
      </c>
      <c r="K16" s="95">
        <f>SUM('Task metrics - Group B'!C16:J16,'Task metrics - Group B'!AT16:BA16,'Task metrics - Group B'!CK16:CR16)</f>
        <v>11</v>
      </c>
      <c r="L16">
        <f>SUM('Task metrics - Group B'!M16:T16,'Task metrics - Group B'!BD16:BK16,'Task metrics - Group B'!CU16:DB16)</f>
        <v>3023</v>
      </c>
      <c r="M16">
        <f>SUM('Task metrics - Group B'!W16:AD16,'Task metrics - Group B'!BN16:BU16,'Task metrics - Group B'!DE16:DL16)</f>
        <v>63</v>
      </c>
      <c r="N16">
        <f>SUM('Task metrics - Group B'!AQ16,'Task metrics - Group B'!CH16,'Task metrics - Group B'!DY16)</f>
        <v>132.5</v>
      </c>
    </row>
    <row r="17" spans="1:14">
      <c r="A17" s="66">
        <v>12</v>
      </c>
      <c r="B17" s="73"/>
      <c r="C17" s="72"/>
      <c r="D17" s="62" t="s">
        <v>83</v>
      </c>
      <c r="E17" s="62" t="s">
        <v>54</v>
      </c>
      <c r="F17" s="66" t="s">
        <v>53</v>
      </c>
      <c r="G17" s="66" t="s">
        <v>43</v>
      </c>
      <c r="H17" s="66" t="s">
        <v>49</v>
      </c>
      <c r="I17" s="66" t="s">
        <v>58</v>
      </c>
      <c r="K17" s="95">
        <f>SUM('Task metrics - Group B'!C17:J17,'Task metrics - Group B'!AT17:BA17,'Task metrics - Group B'!CK17:CR17)</f>
        <v>11</v>
      </c>
      <c r="L17">
        <f>SUM('Task metrics - Group B'!M17:T17,'Task metrics - Group B'!BD17:BK17,'Task metrics - Group B'!CU17:DB17)</f>
        <v>3341</v>
      </c>
      <c r="M17">
        <f>SUM('Task metrics - Group B'!W17:AD17,'Task metrics - Group B'!BN17:BU17,'Task metrics - Group B'!DE17:DL17)</f>
        <v>76</v>
      </c>
      <c r="N17">
        <f>SUM('Task metrics - Group B'!AQ17,'Task metrics - Group B'!CH17,'Task metrics - Group B'!DY17)</f>
        <v>192.5</v>
      </c>
    </row>
    <row r="18" spans="1:14">
      <c r="A18" s="66">
        <v>13</v>
      </c>
      <c r="B18" s="67" t="s">
        <v>68</v>
      </c>
      <c r="C18" s="72">
        <v>49</v>
      </c>
      <c r="D18" s="67" t="s">
        <v>84</v>
      </c>
      <c r="E18" s="66" t="s">
        <v>59</v>
      </c>
      <c r="F18" s="67" t="s">
        <v>51</v>
      </c>
      <c r="G18" s="67" t="s">
        <v>43</v>
      </c>
      <c r="H18" s="67" t="s">
        <v>55</v>
      </c>
      <c r="I18" s="66" t="s">
        <v>58</v>
      </c>
      <c r="K18" s="95">
        <f>SUM('Task metrics - Group B'!C18:J18,'Task metrics - Group B'!AT18:BA18,'Task metrics - Group B'!CK18:CR18)</f>
        <v>14.5</v>
      </c>
      <c r="L18">
        <f>SUM('Task metrics - Group B'!M18:T18,'Task metrics - Group B'!BD18:BK18,'Task metrics - Group B'!CU18:DB18)</f>
        <v>2257</v>
      </c>
      <c r="M18">
        <f>SUM('Task metrics - Group B'!W18:AD18,'Task metrics - Group B'!BN18:BU18,'Task metrics - Group B'!DE18:DL18)</f>
        <v>74</v>
      </c>
      <c r="N18">
        <f>SUM('Task metrics - Group B'!AQ18,'Task metrics - Group B'!CH18,'Task metrics - Group B'!DY18)</f>
        <v>127.5</v>
      </c>
    </row>
    <row r="19" spans="1:14">
      <c r="A19" s="66">
        <v>14</v>
      </c>
      <c r="B19" s="67" t="s">
        <v>70</v>
      </c>
      <c r="C19" s="72">
        <v>50</v>
      </c>
      <c r="D19" s="67" t="s">
        <v>85</v>
      </c>
      <c r="E19" s="66" t="s">
        <v>41</v>
      </c>
      <c r="F19" s="67" t="s">
        <v>51</v>
      </c>
      <c r="G19" s="67" t="s">
        <v>48</v>
      </c>
      <c r="H19" s="67" t="s">
        <v>44</v>
      </c>
      <c r="I19" s="66" t="s">
        <v>58</v>
      </c>
      <c r="K19" s="95">
        <f>SUM('Task metrics - Group B'!C19:J19,'Task metrics - Group B'!AT19:BA19,'Task metrics - Group B'!CK19:CR19)</f>
        <v>8.75</v>
      </c>
      <c r="L19">
        <f>SUM('Task metrics - Group B'!M19:T19,'Task metrics - Group B'!BD19:BK19,'Task metrics - Group B'!CU19:DB19)</f>
        <v>3858</v>
      </c>
      <c r="M19">
        <f>SUM('Task metrics - Group B'!W19:AD19,'Task metrics - Group B'!BN19:BU19,'Task metrics - Group B'!DE19:DL19)</f>
        <v>65</v>
      </c>
      <c r="N19">
        <f>SUM('Task metrics - Group B'!AQ19,'Task metrics - Group B'!CH19,'Task metrics - Group B'!DY19)</f>
        <v>132.5</v>
      </c>
    </row>
    <row r="20" spans="1:14">
      <c r="A20" s="66">
        <v>15</v>
      </c>
      <c r="B20" s="73"/>
      <c r="C20" s="72"/>
      <c r="D20" s="74" t="s">
        <v>86</v>
      </c>
      <c r="E20" s="66" t="s">
        <v>41</v>
      </c>
      <c r="F20" s="66" t="s">
        <v>87</v>
      </c>
      <c r="G20" s="66" t="s">
        <v>48</v>
      </c>
      <c r="H20" s="66" t="s">
        <v>56</v>
      </c>
      <c r="I20" s="66" t="s">
        <v>58</v>
      </c>
      <c r="K20" s="95">
        <f>SUM('Task metrics - Group B'!C20:J20,'Task metrics - Group B'!AT20:BA20,'Task metrics - Group B'!CK20:CR20)</f>
        <v>10.25</v>
      </c>
      <c r="L20">
        <f>SUM('Task metrics - Group B'!M20:T20,'Task metrics - Group B'!BD20:BK20,'Task metrics - Group B'!CU20:DB20)</f>
        <v>3450</v>
      </c>
      <c r="M20">
        <f>SUM('Task metrics - Group B'!W20:AD20,'Task metrics - Group B'!BN20:BU20,'Task metrics - Group B'!DE20:DL20)</f>
        <v>68</v>
      </c>
      <c r="N20">
        <f>SUM('Task metrics - Group B'!AQ20,'Task metrics - Group B'!CH20,'Task metrics - Group B'!DY20)</f>
        <v>150</v>
      </c>
    </row>
    <row r="21" spans="1:14">
      <c r="A21" s="66">
        <v>16</v>
      </c>
      <c r="B21" s="67" t="s">
        <v>74</v>
      </c>
      <c r="C21" s="72">
        <v>52</v>
      </c>
      <c r="D21" s="67" t="s">
        <v>88</v>
      </c>
      <c r="E21" s="66" t="s">
        <v>54</v>
      </c>
      <c r="F21" s="66" t="s">
        <v>50</v>
      </c>
      <c r="G21" s="66" t="s">
        <v>48</v>
      </c>
      <c r="H21" s="66" t="s">
        <v>49</v>
      </c>
      <c r="I21" s="66" t="s">
        <v>47</v>
      </c>
      <c r="K21" s="95">
        <f>SUM('Task metrics - Group B'!C21:J21,'Task metrics - Group B'!AT21:BA21,'Task metrics - Group B'!CK21:CR21)</f>
        <v>2.75</v>
      </c>
      <c r="L21">
        <f>SUM('Task metrics - Group B'!M21:T21,'Task metrics - Group B'!BD21:BK21,'Task metrics - Group B'!CU21:DB21)</f>
        <v>4253</v>
      </c>
      <c r="M21">
        <f>SUM('Task metrics - Group B'!W21:AD21,'Task metrics - Group B'!BN21:BU21,'Task metrics - Group B'!DE21:DL21)</f>
        <v>47</v>
      </c>
      <c r="N21">
        <f>SUM('Task metrics - Group B'!AQ21,'Task metrics - Group B'!CH21,'Task metrics - Group B'!DY21)</f>
        <v>87.5</v>
      </c>
    </row>
    <row r="22" spans="1:14">
      <c r="A22" s="66">
        <v>17</v>
      </c>
      <c r="B22" s="67" t="s">
        <v>68</v>
      </c>
      <c r="C22" s="72">
        <v>53</v>
      </c>
      <c r="D22" s="67" t="s">
        <v>89</v>
      </c>
      <c r="E22" s="66" t="s">
        <v>52</v>
      </c>
      <c r="F22" s="66" t="s">
        <v>50</v>
      </c>
      <c r="G22" s="66" t="s">
        <v>48</v>
      </c>
      <c r="H22" s="66" t="s">
        <v>44</v>
      </c>
      <c r="I22" s="66" t="s">
        <v>58</v>
      </c>
      <c r="K22" s="95">
        <f>SUM('Task metrics - Group B'!C22:J22,'Task metrics - Group B'!AT22:BA22,'Task metrics - Group B'!CK22:CR22)</f>
        <v>13.25</v>
      </c>
      <c r="L22">
        <f>SUM('Task metrics - Group B'!M22:T22,'Task metrics - Group B'!BD22:BK22,'Task metrics - Group B'!CU22:DB22)</f>
        <v>3025</v>
      </c>
      <c r="M22">
        <f>SUM('Task metrics - Group B'!W22:AD22,'Task metrics - Group B'!BN22:BU22,'Task metrics - Group B'!DE22:DL22)</f>
        <v>58</v>
      </c>
      <c r="N22">
        <f>SUM('Task metrics - Group B'!AQ22,'Task metrics - Group B'!CH22,'Task metrics - Group B'!DY22)</f>
        <v>117.5</v>
      </c>
    </row>
    <row r="23" spans="1:14">
      <c r="A23" s="66">
        <v>18</v>
      </c>
      <c r="B23" s="67" t="s">
        <v>70</v>
      </c>
      <c r="C23" s="72">
        <v>54</v>
      </c>
      <c r="D23" s="67" t="s">
        <v>84</v>
      </c>
      <c r="E23" s="66" t="s">
        <v>59</v>
      </c>
      <c r="F23" s="66" t="s">
        <v>50</v>
      </c>
      <c r="G23" s="66" t="s">
        <v>46</v>
      </c>
      <c r="H23" s="66" t="s">
        <v>55</v>
      </c>
      <c r="I23" s="66" t="s">
        <v>58</v>
      </c>
      <c r="K23" s="95">
        <f>SUM('Task metrics - Group B'!C23:J23,'Task metrics - Group B'!AT23:BA23,'Task metrics - Group B'!CK23:CR23)</f>
        <v>14.75</v>
      </c>
      <c r="L23">
        <f>SUM('Task metrics - Group B'!M23:T23,'Task metrics - Group B'!BD23:BK23,'Task metrics - Group B'!CU23:DB23)</f>
        <v>2263</v>
      </c>
      <c r="M23">
        <f>SUM('Task metrics - Group B'!W23:AD23,'Task metrics - Group B'!BN23:BU23,'Task metrics - Group B'!DE23:DL23)</f>
        <v>86</v>
      </c>
      <c r="N23">
        <f>SUM('Task metrics - Group B'!AQ23,'Task metrics - Group B'!CH23,'Task metrics - Group B'!DY23)</f>
        <v>162.5</v>
      </c>
    </row>
    <row r="24" spans="1:14">
      <c r="A24" s="66">
        <v>19</v>
      </c>
      <c r="B24" s="67" t="s">
        <v>72</v>
      </c>
      <c r="C24" s="72">
        <v>55</v>
      </c>
      <c r="D24" s="67" t="s">
        <v>90</v>
      </c>
      <c r="E24" s="66" t="s">
        <v>52</v>
      </c>
      <c r="F24" s="66" t="s">
        <v>51</v>
      </c>
      <c r="G24" s="66" t="s">
        <v>43</v>
      </c>
      <c r="H24" s="66" t="s">
        <v>55</v>
      </c>
      <c r="I24" s="66" t="s">
        <v>58</v>
      </c>
      <c r="K24" s="95">
        <f>SUM('Task metrics - Group B'!C24:J24,'Task metrics - Group B'!AT24:BA24,'Task metrics - Group B'!CK24:CR24)</f>
        <v>7.75</v>
      </c>
      <c r="L24">
        <f>SUM('Task metrics - Group B'!M24:T24,'Task metrics - Group B'!BD24:BK24,'Task metrics - Group B'!CU24:DB24)</f>
        <v>3680</v>
      </c>
      <c r="M24">
        <f>SUM('Task metrics - Group B'!W24:AD24,'Task metrics - Group B'!BN24:BU24,'Task metrics - Group B'!DE24:DL24)</f>
        <v>69</v>
      </c>
      <c r="N24">
        <f>SUM('Task metrics - Group B'!AQ24,'Task metrics - Group B'!CH24,'Task metrics - Group B'!DY24)</f>
        <v>170</v>
      </c>
    </row>
    <row r="25" spans="1:14">
      <c r="A25" s="66">
        <v>20</v>
      </c>
      <c r="B25" s="67" t="s">
        <v>74</v>
      </c>
      <c r="C25" s="72">
        <v>56</v>
      </c>
      <c r="D25" s="67" t="s">
        <v>91</v>
      </c>
      <c r="E25" s="66" t="s">
        <v>41</v>
      </c>
      <c r="F25" s="66" t="s">
        <v>50</v>
      </c>
      <c r="G25" s="66" t="s">
        <v>48</v>
      </c>
      <c r="H25" s="66" t="s">
        <v>56</v>
      </c>
      <c r="I25" s="66" t="s">
        <v>58</v>
      </c>
      <c r="K25" s="95">
        <f>SUM('Task metrics - Group B'!C25:J25,'Task metrics - Group B'!AT25:BA25,'Task metrics - Group B'!CK25:CR25)</f>
        <v>4.25</v>
      </c>
      <c r="L25">
        <f>SUM('Task metrics - Group B'!M25:T25,'Task metrics - Group B'!BD25:BK25,'Task metrics - Group B'!CU25:DB25)</f>
        <v>2780</v>
      </c>
      <c r="M25">
        <f>SUM('Task metrics - Group B'!W25:AD25,'Task metrics - Group B'!BN25:BU25,'Task metrics - Group B'!DE25:DL25)</f>
        <v>54</v>
      </c>
      <c r="N25">
        <f>SUM('Task metrics - Group B'!AQ25,'Task metrics - Group B'!CH25,'Task metrics - Group B'!DY25)</f>
        <v>147.5</v>
      </c>
    </row>
    <row r="26" spans="1:14">
      <c r="A26" s="66">
        <v>21</v>
      </c>
      <c r="B26" s="67" t="s">
        <v>92</v>
      </c>
      <c r="C26" s="72">
        <v>57</v>
      </c>
      <c r="D26" s="67" t="s">
        <v>93</v>
      </c>
      <c r="E26" s="66" t="s">
        <v>52</v>
      </c>
      <c r="F26" s="66" t="s">
        <v>42</v>
      </c>
      <c r="G26" s="66" t="s">
        <v>46</v>
      </c>
      <c r="H26" s="66" t="s">
        <v>49</v>
      </c>
      <c r="I26" s="66" t="s">
        <v>58</v>
      </c>
      <c r="K26" s="95">
        <f>SUM('Task metrics - Group B'!C26:J26,'Task metrics - Group B'!AT26:BA26,'Task metrics - Group B'!CK26:CR26)</f>
        <v>4</v>
      </c>
      <c r="L26">
        <f>SUM('Task metrics - Group B'!M26:T26,'Task metrics - Group B'!BD26:BK26,'Task metrics - Group B'!CU26:DB26)</f>
        <v>3008</v>
      </c>
      <c r="M26">
        <f>SUM('Task metrics - Group B'!W26:AD26,'Task metrics - Group B'!BN26:BU26,'Task metrics - Group B'!DE26:DL26)</f>
        <v>74</v>
      </c>
      <c r="N26">
        <f>SUM('Task metrics - Group B'!AQ26,'Task metrics - Group B'!CH26,'Task metrics - Group B'!DY26)</f>
        <v>157.5</v>
      </c>
    </row>
    <row r="27" spans="1:14">
      <c r="A27" s="66">
        <v>22</v>
      </c>
      <c r="B27" s="67" t="s">
        <v>70</v>
      </c>
      <c r="C27" s="72">
        <v>58</v>
      </c>
      <c r="D27" s="67" t="s">
        <v>94</v>
      </c>
      <c r="E27" s="66" t="s">
        <v>54</v>
      </c>
      <c r="F27" s="66" t="s">
        <v>50</v>
      </c>
      <c r="G27" s="66" t="s">
        <v>43</v>
      </c>
      <c r="H27" s="66" t="s">
        <v>55</v>
      </c>
      <c r="I27" s="66" t="s">
        <v>58</v>
      </c>
      <c r="K27" s="95">
        <f>SUM('Task metrics - Group B'!C27:J27,'Task metrics - Group B'!AT27:BA27,'Task metrics - Group B'!CK27:CR27)</f>
        <v>6</v>
      </c>
      <c r="L27">
        <f>SUM('Task metrics - Group B'!M27:T27,'Task metrics - Group B'!BD27:BK27,'Task metrics - Group B'!CU27:DB27)</f>
        <v>3659</v>
      </c>
      <c r="M27">
        <f>SUM('Task metrics - Group B'!W27:AD27,'Task metrics - Group B'!BN27:BU27,'Task metrics - Group B'!DE27:DL27)</f>
        <v>60</v>
      </c>
      <c r="N27">
        <f>SUM('Task metrics - Group B'!AQ27,'Task metrics - Group B'!CH27,'Task metrics - Group B'!DY27)</f>
        <v>125</v>
      </c>
    </row>
    <row r="28" spans="1:14">
      <c r="A28" s="66">
        <v>23</v>
      </c>
      <c r="B28" s="67" t="s">
        <v>72</v>
      </c>
      <c r="C28" s="72">
        <v>59</v>
      </c>
      <c r="D28" s="67" t="s">
        <v>95</v>
      </c>
      <c r="E28" s="66" t="s">
        <v>45</v>
      </c>
      <c r="F28" s="66" t="s">
        <v>50</v>
      </c>
      <c r="G28" s="66" t="s">
        <v>43</v>
      </c>
      <c r="H28" s="66" t="s">
        <v>49</v>
      </c>
      <c r="I28" s="66" t="s">
        <v>58</v>
      </c>
      <c r="K28" s="95">
        <f>SUM('Task metrics - Group B'!C28:J28,'Task metrics - Group B'!AT28:BA28,'Task metrics - Group B'!CK28:CR28)</f>
        <v>4.25</v>
      </c>
      <c r="L28">
        <f>SUM('Task metrics - Group B'!M28:T28,'Task metrics - Group B'!BD28:BK28,'Task metrics - Group B'!CU28:DB28)</f>
        <v>3675</v>
      </c>
      <c r="M28">
        <f>SUM('Task metrics - Group B'!W28:AD28,'Task metrics - Group B'!BN28:BU28,'Task metrics - Group B'!DE28:DL28)</f>
        <v>60</v>
      </c>
      <c r="N28">
        <f>SUM('Task metrics - Group B'!AQ28,'Task metrics - Group B'!CH28,'Task metrics - Group B'!DY28)</f>
        <v>185</v>
      </c>
    </row>
    <row r="29" spans="1:14">
      <c r="A29" s="66">
        <v>24</v>
      </c>
      <c r="B29" s="66" t="s">
        <v>68</v>
      </c>
      <c r="C29" s="72">
        <v>61</v>
      </c>
      <c r="D29" s="67" t="s">
        <v>96</v>
      </c>
      <c r="E29" s="66" t="s">
        <v>52</v>
      </c>
      <c r="F29" s="66" t="s">
        <v>50</v>
      </c>
      <c r="G29" s="66" t="s">
        <v>43</v>
      </c>
      <c r="H29" s="66" t="s">
        <v>49</v>
      </c>
      <c r="I29" s="66" t="s">
        <v>58</v>
      </c>
      <c r="K29" s="95">
        <f>SUM('Task metrics - Group B'!C29:J29,'Task metrics - Group B'!AT29:BA29,'Task metrics - Group B'!CK29:CR29)</f>
        <v>7.75</v>
      </c>
      <c r="L29">
        <f>SUM('Task metrics - Group B'!M29:T29,'Task metrics - Group B'!BD29:BK29,'Task metrics - Group B'!CU29:DB29)</f>
        <v>1952</v>
      </c>
      <c r="M29">
        <f>SUM('Task metrics - Group B'!W29:AD29,'Task metrics - Group B'!BN29:BU29,'Task metrics - Group B'!DE29:DL29)</f>
        <v>53</v>
      </c>
      <c r="N29">
        <f>SUM('Task metrics - Group B'!AQ29,'Task metrics - Group B'!CH29,'Task metrics - Group B'!DY29)</f>
        <v>75</v>
      </c>
    </row>
    <row r="30" spans="1:14">
      <c r="A30" s="66">
        <v>25</v>
      </c>
      <c r="B30" s="66" t="s">
        <v>97</v>
      </c>
      <c r="C30" s="72">
        <v>62</v>
      </c>
      <c r="D30" s="66" t="s">
        <v>98</v>
      </c>
      <c r="E30" s="66" t="s">
        <v>45</v>
      </c>
      <c r="F30" s="66" t="s">
        <v>42</v>
      </c>
      <c r="G30" s="66" t="s">
        <v>48</v>
      </c>
      <c r="H30" s="66" t="s">
        <v>49</v>
      </c>
      <c r="I30" s="66" t="s">
        <v>58</v>
      </c>
      <c r="K30" s="95">
        <f>SUM('Task metrics - Group B'!C30:J30,'Task metrics - Group B'!AT30:BA30,'Task metrics - Group B'!CK30:CR30)</f>
        <v>5</v>
      </c>
      <c r="L30">
        <f>SUM('Task metrics - Group B'!M30:T30,'Task metrics - Group B'!BD30:BK30,'Task metrics - Group B'!CU30:DB30)</f>
        <v>4028</v>
      </c>
      <c r="M30">
        <f>SUM('Task metrics - Group B'!W30:AD30,'Task metrics - Group B'!BN30:BU30,'Task metrics - Group B'!DE30:DL30)</f>
        <v>47</v>
      </c>
      <c r="N30">
        <f>SUM('Task metrics - Group B'!AQ30,'Task metrics - Group B'!CH30,'Task metrics - Group B'!DY30)</f>
        <v>27.5</v>
      </c>
    </row>
    <row r="31" spans="1:14">
      <c r="A31" s="66">
        <v>26</v>
      </c>
      <c r="B31" s="66" t="s">
        <v>74</v>
      </c>
      <c r="C31" s="72">
        <v>64</v>
      </c>
      <c r="D31" s="66" t="s">
        <v>99</v>
      </c>
      <c r="E31" s="66" t="s">
        <v>57</v>
      </c>
      <c r="F31" s="66" t="s">
        <v>53</v>
      </c>
      <c r="G31" s="66" t="s">
        <v>46</v>
      </c>
      <c r="H31" s="66" t="s">
        <v>49</v>
      </c>
      <c r="I31" s="66" t="s">
        <v>58</v>
      </c>
      <c r="K31" s="95">
        <f>SUM('Task metrics - Group B'!C31:J31,'Task metrics - Group B'!AT31:BA31,'Task metrics - Group B'!CK31:CR31)</f>
        <v>13.25</v>
      </c>
      <c r="L31">
        <f>SUM('Task metrics - Group B'!M31:T31,'Task metrics - Group B'!BD31:BK31,'Task metrics - Group B'!CU31:DB31)</f>
        <v>3281</v>
      </c>
      <c r="M31">
        <f>SUM('Task metrics - Group B'!W31:AD31,'Task metrics - Group B'!BN31:BU31,'Task metrics - Group B'!DE31:DL31)</f>
        <v>61</v>
      </c>
      <c r="N31">
        <f>SUM('Task metrics - Group B'!AQ31,'Task metrics - Group B'!CH31,'Task metrics - Group B'!DY31)</f>
        <v>130</v>
      </c>
    </row>
    <row r="32" spans="1:14">
      <c r="A32" s="66">
        <v>27</v>
      </c>
      <c r="B32" s="66" t="s">
        <v>70</v>
      </c>
      <c r="C32" s="72">
        <v>66</v>
      </c>
      <c r="D32" s="66" t="s">
        <v>100</v>
      </c>
      <c r="E32" s="66" t="s">
        <v>54</v>
      </c>
      <c r="F32" s="66" t="s">
        <v>50</v>
      </c>
      <c r="G32" s="66" t="s">
        <v>48</v>
      </c>
      <c r="H32" s="66" t="s">
        <v>55</v>
      </c>
      <c r="I32" s="66" t="s">
        <v>60</v>
      </c>
      <c r="K32" s="95">
        <f>SUM('Task metrics - Group B'!C32:J32,'Task metrics - Group B'!AT32:BA32,'Task metrics - Group B'!CK32:CR32)</f>
        <v>9</v>
      </c>
      <c r="L32">
        <f>SUM('Task metrics - Group B'!M32:T32,'Task metrics - Group B'!BD32:BK32,'Task metrics - Group B'!CU32:DB32)</f>
        <v>3413</v>
      </c>
      <c r="M32">
        <f>SUM('Task metrics - Group B'!W32:AD32,'Task metrics - Group B'!BN32:BU32,'Task metrics - Group B'!DE32:DL32)</f>
        <v>56</v>
      </c>
      <c r="N32">
        <f>SUM('Task metrics - Group B'!AQ32,'Task metrics - Group B'!CH32,'Task metrics - Group B'!DY32)</f>
        <v>70</v>
      </c>
    </row>
    <row r="33" spans="1:14">
      <c r="A33" s="66">
        <v>28</v>
      </c>
      <c r="B33" s="66" t="s">
        <v>101</v>
      </c>
      <c r="C33" s="72">
        <v>67</v>
      </c>
      <c r="D33" s="66" t="s">
        <v>102</v>
      </c>
      <c r="E33" s="66" t="s">
        <v>54</v>
      </c>
      <c r="F33" s="66" t="s">
        <v>42</v>
      </c>
      <c r="G33" s="66" t="s">
        <v>43</v>
      </c>
      <c r="H33" s="66" t="s">
        <v>44</v>
      </c>
      <c r="I33" s="66" t="s">
        <v>60</v>
      </c>
      <c r="K33" s="95">
        <f>SUM('Task metrics - Group B'!C33:J33,'Task metrics - Group B'!AT33:BA33,'Task metrics - Group B'!CK33:CR33)</f>
        <v>1.5</v>
      </c>
      <c r="L33">
        <f>SUM('Task metrics - Group B'!M33:T33,'Task metrics - Group B'!BD33:BK33,'Task metrics - Group B'!CU33:DB33)</f>
        <v>2298</v>
      </c>
      <c r="M33">
        <f>SUM('Task metrics - Group B'!W33:AD33,'Task metrics - Group B'!BN33:BU33,'Task metrics - Group B'!DE33:DL33)</f>
        <v>43</v>
      </c>
      <c r="N33">
        <f>SUM('Task metrics - Group B'!AQ33,'Task metrics - Group B'!CH33,'Task metrics - Group B'!DY33)</f>
        <v>92.5</v>
      </c>
    </row>
    <row r="34" spans="1:14">
      <c r="A34" s="66">
        <v>29</v>
      </c>
      <c r="B34" s="66" t="s">
        <v>74</v>
      </c>
      <c r="C34" s="72">
        <v>68</v>
      </c>
      <c r="D34" s="66" t="s">
        <v>103</v>
      </c>
      <c r="E34" s="66" t="s">
        <v>59</v>
      </c>
      <c r="F34" s="66" t="s">
        <v>50</v>
      </c>
      <c r="G34" s="66" t="s">
        <v>46</v>
      </c>
      <c r="H34" s="66" t="s">
        <v>49</v>
      </c>
      <c r="I34" s="66" t="s">
        <v>58</v>
      </c>
      <c r="K34" s="95">
        <f>SUM('Task metrics - Group B'!C34:J34,'Task metrics - Group B'!AT34:BA34,'Task metrics - Group B'!CK34:CR34)</f>
        <v>11.5</v>
      </c>
      <c r="L34">
        <f>SUM('Task metrics - Group B'!M34:T34,'Task metrics - Group B'!BD34:BK34,'Task metrics - Group B'!CU34:DB34)</f>
        <v>1629</v>
      </c>
      <c r="M34">
        <f>SUM('Task metrics - Group B'!W34:AD34,'Task metrics - Group B'!BN34:BU34,'Task metrics - Group B'!DE34:DL34)</f>
        <v>65</v>
      </c>
      <c r="N34">
        <f>SUM('Task metrics - Group B'!AQ34,'Task metrics - Group B'!CH34,'Task metrics - Group B'!DY34)</f>
        <v>157.5</v>
      </c>
    </row>
    <row r="35" spans="1:14">
      <c r="A35" s="66">
        <v>30</v>
      </c>
      <c r="B35" s="66" t="s">
        <v>70</v>
      </c>
      <c r="C35" s="72">
        <v>70</v>
      </c>
      <c r="D35" s="66" t="s">
        <v>104</v>
      </c>
      <c r="E35" s="66" t="s">
        <v>41</v>
      </c>
      <c r="F35" s="66" t="s">
        <v>42</v>
      </c>
      <c r="G35" s="66" t="s">
        <v>46</v>
      </c>
      <c r="H35" s="66" t="s">
        <v>44</v>
      </c>
      <c r="I35" s="66" t="s">
        <v>58</v>
      </c>
      <c r="K35" s="95">
        <f>SUM('Task metrics - Group B'!C35:J35,'Task metrics - Group B'!AT35:BA35,'Task metrics - Group B'!CK35:CR35)</f>
        <v>10.25</v>
      </c>
      <c r="L35">
        <f>SUM('Task metrics - Group B'!M35:T35,'Task metrics - Group B'!BD35:BK35,'Task metrics - Group B'!CU35:DB35)</f>
        <v>3560</v>
      </c>
      <c r="M35">
        <f>SUM('Task metrics - Group B'!W35:AD35,'Task metrics - Group B'!BN35:BU35,'Task metrics - Group B'!DE35:DL35)</f>
        <v>64</v>
      </c>
      <c r="N35">
        <f>SUM('Task metrics - Group B'!AQ35,'Task metrics - Group B'!CH35,'Task metrics - Group B'!DY35)</f>
        <v>150</v>
      </c>
    </row>
    <row r="36" spans="1:14">
      <c r="A36" s="66">
        <v>31</v>
      </c>
      <c r="B36" s="73"/>
      <c r="C36" s="72"/>
      <c r="D36" s="74" t="s">
        <v>105</v>
      </c>
      <c r="E36" s="75" t="s">
        <v>41</v>
      </c>
      <c r="F36" s="75" t="s">
        <v>51</v>
      </c>
      <c r="G36" s="75" t="s">
        <v>43</v>
      </c>
      <c r="H36" s="75" t="s">
        <v>44</v>
      </c>
      <c r="I36" s="75" t="s">
        <v>47</v>
      </c>
      <c r="K36" s="95">
        <f>SUM('Task metrics - Group B'!C36:J36,'Task metrics - Group B'!AT36:BA36,'Task metrics - Group B'!CK36:CR36)</f>
        <v>8.25</v>
      </c>
      <c r="L36">
        <f>SUM('Task metrics - Group B'!M36:T36,'Task metrics - Group B'!BD36:BK36,'Task metrics - Group B'!CU36:DB36)</f>
        <v>3061</v>
      </c>
      <c r="M36">
        <f>SUM('Task metrics - Group B'!W36:AD36,'Task metrics - Group B'!BN36:BU36,'Task metrics - Group B'!DE36:DL36)</f>
        <v>58</v>
      </c>
      <c r="N36">
        <f>SUM('Task metrics - Group B'!AQ36,'Task metrics - Group B'!CH36,'Task metrics - Group B'!DY36)</f>
        <v>70</v>
      </c>
    </row>
    <row r="37" spans="1:14" ht="15" customHeight="1">
      <c r="A37" s="66">
        <v>32</v>
      </c>
      <c r="B37" s="73" t="s">
        <v>70</v>
      </c>
      <c r="C37" s="72"/>
      <c r="D37" s="66" t="s">
        <v>106</v>
      </c>
      <c r="E37" s="66" t="s">
        <v>57</v>
      </c>
      <c r="F37" s="66" t="s">
        <v>87</v>
      </c>
      <c r="G37" s="66" t="s">
        <v>48</v>
      </c>
      <c r="H37" s="66" t="s">
        <v>56</v>
      </c>
      <c r="I37" s="66" t="s">
        <v>58</v>
      </c>
      <c r="K37" s="95">
        <f>SUM('Task metrics - Group B'!C37:J37,'Task metrics - Group B'!AT37:BA37,'Task metrics - Group B'!CK37:CR37)</f>
        <v>12.75</v>
      </c>
      <c r="L37">
        <f>SUM('Task metrics - Group B'!M37:T37,'Task metrics - Group B'!BD37:BK37,'Task metrics - Group B'!CU37:DB37)</f>
        <v>3173</v>
      </c>
      <c r="M37">
        <f>SUM('Task metrics - Group B'!W37:AD37,'Task metrics - Group B'!BN37:BU37,'Task metrics - Group B'!DE37:DL37)</f>
        <v>67</v>
      </c>
      <c r="N37">
        <f>SUM('Task metrics - Group B'!AQ37,'Task metrics - Group B'!CH37,'Task metrics - Group B'!DY37)</f>
        <v>147.5</v>
      </c>
    </row>
    <row r="38" spans="1:14" ht="15" customHeight="1">
      <c r="A38" s="66">
        <v>33</v>
      </c>
      <c r="B38" s="73" t="s">
        <v>72</v>
      </c>
      <c r="C38" s="72"/>
      <c r="D38" s="66" t="s">
        <v>107</v>
      </c>
      <c r="E38" s="66" t="s">
        <v>59</v>
      </c>
      <c r="F38" s="66" t="s">
        <v>50</v>
      </c>
      <c r="G38" s="66" t="s">
        <v>48</v>
      </c>
      <c r="H38" s="66" t="s">
        <v>44</v>
      </c>
      <c r="I38" s="66" t="s">
        <v>58</v>
      </c>
      <c r="K38" s="95">
        <f>SUM('Task metrics - Group B'!C38:J38,'Task metrics - Group B'!AT38:BA38,'Task metrics - Group B'!CK38:CR38)</f>
        <v>4.5</v>
      </c>
      <c r="L38">
        <f>SUM('Task metrics - Group B'!M38:T38,'Task metrics - Group B'!BD38:BK38,'Task metrics - Group B'!CU38:DB38)</f>
        <v>1808</v>
      </c>
      <c r="M38">
        <f>SUM('Task metrics - Group B'!W38:AD38,'Task metrics - Group B'!BN38:BU38,'Task metrics - Group B'!DE38:DL38)</f>
        <v>58</v>
      </c>
      <c r="N38">
        <f>SUM('Task metrics - Group B'!AQ38,'Task metrics - Group B'!CH38,'Task metrics - Group B'!DY38)</f>
        <v>112.5</v>
      </c>
    </row>
    <row r="39" spans="1:14" ht="15" customHeight="1">
      <c r="A39" s="66">
        <v>34</v>
      </c>
      <c r="B39" s="73" t="s">
        <v>108</v>
      </c>
      <c r="C39" s="72"/>
      <c r="D39" s="66" t="s">
        <v>109</v>
      </c>
      <c r="E39" s="66" t="s">
        <v>57</v>
      </c>
      <c r="F39" s="66" t="s">
        <v>51</v>
      </c>
      <c r="G39" s="66" t="s">
        <v>48</v>
      </c>
      <c r="H39" s="66" t="s">
        <v>56</v>
      </c>
      <c r="I39" s="66" t="s">
        <v>58</v>
      </c>
      <c r="K39" s="95">
        <f>SUM('Task metrics - Group B'!C39:J39,'Task metrics - Group B'!AT39:BA39,'Task metrics - Group B'!CK39:CR39)</f>
        <v>14</v>
      </c>
      <c r="L39">
        <f>SUM('Task metrics - Group B'!M39:T39,'Task metrics - Group B'!BD39:BK39,'Task metrics - Group B'!CU39:DB39)</f>
        <v>3219</v>
      </c>
      <c r="M39">
        <f>SUM('Task metrics - Group B'!W39:AD39,'Task metrics - Group B'!BN39:BU39,'Task metrics - Group B'!DE39:DL39)</f>
        <v>76</v>
      </c>
      <c r="N39">
        <f>SUM('Task metrics - Group B'!AQ39,'Task metrics - Group B'!CH39,'Task metrics - Group B'!DY39)</f>
        <v>160</v>
      </c>
    </row>
    <row r="40" spans="1:14">
      <c r="A40" s="66">
        <v>35</v>
      </c>
      <c r="B40" s="76"/>
      <c r="C40" s="77"/>
      <c r="D40" s="74" t="s">
        <v>110</v>
      </c>
      <c r="E40" s="66" t="s">
        <v>57</v>
      </c>
      <c r="F40" s="66" t="s">
        <v>50</v>
      </c>
      <c r="G40" s="66" t="s">
        <v>46</v>
      </c>
      <c r="H40" s="66" t="s">
        <v>44</v>
      </c>
      <c r="I40" s="66" t="s">
        <v>58</v>
      </c>
      <c r="K40" s="95">
        <f>SUM('Task metrics - Group B'!C40:J40,'Task metrics - Group B'!AT40:BA40,'Task metrics - Group B'!CK40:CR40)</f>
        <v>14.25</v>
      </c>
      <c r="L40">
        <f>SUM('Task metrics - Group B'!M40:T40,'Task metrics - Group B'!BD40:BK40,'Task metrics - Group B'!CU40:DB40)</f>
        <v>2758</v>
      </c>
      <c r="M40">
        <f>SUM('Task metrics - Group B'!W40:AD40,'Task metrics - Group B'!BN40:BU40,'Task metrics - Group B'!DE40:DL40)</f>
        <v>75</v>
      </c>
      <c r="N40">
        <f>SUM('Task metrics - Group B'!AQ40,'Task metrics - Group B'!CH40,'Task metrics - Group B'!DY40)</f>
        <v>142.5</v>
      </c>
    </row>
    <row r="41" spans="1:14">
      <c r="A41" s="67">
        <v>36</v>
      </c>
      <c r="B41" s="68" t="s">
        <v>111</v>
      </c>
      <c r="C41" s="68"/>
      <c r="D41" s="68" t="s">
        <v>112</v>
      </c>
      <c r="E41" s="66" t="s">
        <v>59</v>
      </c>
      <c r="F41" s="66" t="s">
        <v>50</v>
      </c>
      <c r="G41" s="66" t="s">
        <v>46</v>
      </c>
      <c r="H41" s="66" t="s">
        <v>49</v>
      </c>
      <c r="I41" s="66" t="s">
        <v>58</v>
      </c>
      <c r="K41" s="95">
        <f>SUM('Task metrics - Group B'!C41:J41,'Task metrics - Group B'!AT41:BA41,'Task metrics - Group B'!CK41:CR41)</f>
        <v>5.5</v>
      </c>
      <c r="L41">
        <f>SUM('Task metrics - Group B'!M41:T41,'Task metrics - Group B'!BD41:BK41,'Task metrics - Group B'!CU41:DB41)</f>
        <v>2224</v>
      </c>
      <c r="M41">
        <f>SUM('Task metrics - Group B'!W41:AD41,'Task metrics - Group B'!BN41:BU41,'Task metrics - Group B'!DE41:DL41)</f>
        <v>71</v>
      </c>
      <c r="N41">
        <f>SUM('Task metrics - Group B'!AQ41,'Task metrics - Group B'!CH41,'Task metrics - Group B'!DY41)</f>
        <v>137.5</v>
      </c>
    </row>
    <row r="42" spans="1:14">
      <c r="B42" s="78"/>
      <c r="C42" s="78"/>
      <c r="D42" s="79"/>
      <c r="E42" s="79"/>
      <c r="F42" s="79"/>
      <c r="G42" s="79"/>
      <c r="H42" s="79"/>
      <c r="I42" s="67"/>
    </row>
    <row r="43" spans="1:14">
      <c r="B43" s="62"/>
    </row>
    <row r="44" spans="1:14">
      <c r="B44" s="62"/>
    </row>
    <row r="45" spans="1:14">
      <c r="B45" s="62"/>
    </row>
    <row r="46" spans="1:14">
      <c r="B46" s="62"/>
    </row>
    <row r="47" spans="1:14">
      <c r="B47" s="62"/>
    </row>
    <row r="48" spans="1:14">
      <c r="B48" s="62"/>
    </row>
    <row r="49" spans="2:2">
      <c r="B49" s="62"/>
    </row>
    <row r="50" spans="2:2">
      <c r="B50" s="62"/>
    </row>
    <row r="51" spans="2:2">
      <c r="B51" s="62"/>
    </row>
    <row r="52" spans="2:2">
      <c r="B52" s="62"/>
    </row>
    <row r="53" spans="2:2">
      <c r="B53" s="62"/>
    </row>
    <row r="54" spans="2:2">
      <c r="B54" s="62"/>
    </row>
    <row r="55" spans="2:2">
      <c r="B55" s="62"/>
    </row>
    <row r="56" spans="2:2">
      <c r="B56" s="62"/>
    </row>
    <row r="57" spans="2:2">
      <c r="B57" s="62"/>
    </row>
    <row r="58" spans="2:2">
      <c r="B58" s="62"/>
    </row>
    <row r="59" spans="2:2">
      <c r="B59" s="62"/>
    </row>
    <row r="60" spans="2:2">
      <c r="B60" s="62"/>
    </row>
    <row r="61" spans="2:2">
      <c r="B61" s="62"/>
    </row>
    <row r="62" spans="2:2">
      <c r="B62" s="62"/>
    </row>
    <row r="63" spans="2:2">
      <c r="B63" s="62"/>
    </row>
    <row r="64" spans="2:2">
      <c r="B64" s="62"/>
    </row>
    <row r="65" spans="2:2">
      <c r="B65" s="62"/>
    </row>
    <row r="66" spans="2:2">
      <c r="B66" s="62"/>
    </row>
    <row r="67" spans="2:2">
      <c r="B67" s="62"/>
    </row>
    <row r="68" spans="2:2">
      <c r="B68" s="62"/>
    </row>
    <row r="69" spans="2:2">
      <c r="B69" s="62"/>
    </row>
    <row r="70" spans="2:2">
      <c r="B70" s="62"/>
    </row>
    <row r="71" spans="2:2">
      <c r="B71" s="62"/>
    </row>
    <row r="72" spans="2:2">
      <c r="B72" s="62"/>
    </row>
    <row r="73" spans="2:2">
      <c r="B73" s="62"/>
    </row>
    <row r="74" spans="2:2">
      <c r="B74" s="62"/>
    </row>
    <row r="75" spans="2:2">
      <c r="B75" s="62"/>
    </row>
    <row r="76" spans="2:2">
      <c r="B76" s="62"/>
    </row>
    <row r="77" spans="2:2">
      <c r="B77" s="62"/>
    </row>
    <row r="78" spans="2:2">
      <c r="B78" s="62"/>
    </row>
    <row r="79" spans="2:2">
      <c r="B79" s="62"/>
    </row>
    <row r="80" spans="2:2">
      <c r="B80" s="62"/>
    </row>
    <row r="81" spans="2:2">
      <c r="B81" s="62"/>
    </row>
    <row r="82" spans="2:2">
      <c r="B82" s="62"/>
    </row>
    <row r="83" spans="2:2">
      <c r="B83" s="62"/>
    </row>
    <row r="84" spans="2:2">
      <c r="B84" s="62"/>
    </row>
    <row r="85" spans="2:2">
      <c r="B85" s="62"/>
    </row>
    <row r="86" spans="2:2">
      <c r="B86" s="62"/>
    </row>
    <row r="87" spans="2:2">
      <c r="B87" s="62"/>
    </row>
    <row r="88" spans="2:2">
      <c r="B88" s="62"/>
    </row>
    <row r="89" spans="2:2">
      <c r="B89" s="62"/>
    </row>
    <row r="90" spans="2:2">
      <c r="B90" s="62"/>
    </row>
    <row r="91" spans="2:2">
      <c r="B91" s="62"/>
    </row>
    <row r="92" spans="2:2">
      <c r="B92" s="62"/>
    </row>
    <row r="93" spans="2:2">
      <c r="B93" s="62"/>
    </row>
    <row r="94" spans="2:2">
      <c r="B94" s="62"/>
    </row>
    <row r="95" spans="2:2">
      <c r="B95" s="62"/>
    </row>
    <row r="96" spans="2:2">
      <c r="B96" s="62"/>
    </row>
    <row r="97" spans="2:2">
      <c r="B97" s="62"/>
    </row>
    <row r="98" spans="2:2">
      <c r="B98" s="62"/>
    </row>
    <row r="99" spans="2:2">
      <c r="B99" s="62"/>
    </row>
    <row r="100" spans="2:2">
      <c r="B100" s="62"/>
    </row>
    <row r="101" spans="2:2">
      <c r="B101" s="62"/>
    </row>
    <row r="102" spans="2:2">
      <c r="B102" s="62"/>
    </row>
    <row r="103" spans="2:2">
      <c r="B103" s="62"/>
    </row>
    <row r="104" spans="2:2">
      <c r="B104" s="62"/>
    </row>
    <row r="105" spans="2:2">
      <c r="B105" s="62"/>
    </row>
    <row r="106" spans="2:2">
      <c r="B106" s="62"/>
    </row>
    <row r="107" spans="2:2">
      <c r="B107" s="62"/>
    </row>
    <row r="108" spans="2:2">
      <c r="B108" s="62"/>
    </row>
    <row r="109" spans="2:2">
      <c r="B109" s="62"/>
    </row>
    <row r="110" spans="2:2">
      <c r="B110" s="62"/>
    </row>
    <row r="111" spans="2:2">
      <c r="B111" s="62"/>
    </row>
    <row r="112" spans="2:2">
      <c r="B112" s="62"/>
    </row>
    <row r="113" spans="2:2">
      <c r="B113" s="62"/>
    </row>
    <row r="114" spans="2:2">
      <c r="B114" s="62"/>
    </row>
    <row r="115" spans="2:2">
      <c r="B115" s="62"/>
    </row>
    <row r="116" spans="2:2">
      <c r="B116" s="62"/>
    </row>
    <row r="117" spans="2:2">
      <c r="B117" s="62"/>
    </row>
    <row r="118" spans="2:2">
      <c r="B118" s="62"/>
    </row>
    <row r="119" spans="2:2">
      <c r="B119" s="62"/>
    </row>
    <row r="120" spans="2:2">
      <c r="B120" s="62"/>
    </row>
    <row r="121" spans="2:2">
      <c r="B121" s="62"/>
    </row>
    <row r="122" spans="2:2">
      <c r="B122" s="62"/>
    </row>
    <row r="123" spans="2:2">
      <c r="B123" s="62"/>
    </row>
    <row r="124" spans="2:2">
      <c r="B124" s="62"/>
    </row>
    <row r="125" spans="2:2">
      <c r="B125" s="62"/>
    </row>
    <row r="126" spans="2:2">
      <c r="B126" s="62"/>
    </row>
    <row r="127" spans="2:2">
      <c r="B127" s="62"/>
    </row>
    <row r="128" spans="2:2">
      <c r="B128" s="62"/>
    </row>
    <row r="129" spans="2:2">
      <c r="B129" s="62"/>
    </row>
    <row r="130" spans="2:2">
      <c r="B130" s="62"/>
    </row>
    <row r="131" spans="2:2">
      <c r="B131" s="62"/>
    </row>
    <row r="132" spans="2:2">
      <c r="B132" s="62"/>
    </row>
    <row r="133" spans="2:2">
      <c r="B133" s="62"/>
    </row>
    <row r="134" spans="2:2">
      <c r="B134" s="62"/>
    </row>
    <row r="135" spans="2:2">
      <c r="B135" s="62"/>
    </row>
    <row r="136" spans="2:2">
      <c r="B136" s="62"/>
    </row>
    <row r="137" spans="2:2">
      <c r="B137" s="62"/>
    </row>
    <row r="138" spans="2:2">
      <c r="B138" s="62"/>
    </row>
    <row r="139" spans="2:2">
      <c r="B139" s="62"/>
    </row>
    <row r="140" spans="2:2">
      <c r="B140" s="62"/>
    </row>
    <row r="141" spans="2:2">
      <c r="B141" s="62"/>
    </row>
    <row r="142" spans="2:2">
      <c r="B142" s="62"/>
    </row>
    <row r="143" spans="2:2">
      <c r="B143" s="62"/>
    </row>
    <row r="144" spans="2:2">
      <c r="B144" s="62"/>
    </row>
    <row r="145" spans="2:2">
      <c r="B145" s="62"/>
    </row>
    <row r="146" spans="2:2">
      <c r="B146" s="62"/>
    </row>
    <row r="147" spans="2:2">
      <c r="B147" s="62"/>
    </row>
    <row r="148" spans="2:2">
      <c r="B148" s="62"/>
    </row>
    <row r="149" spans="2:2">
      <c r="B149" s="62"/>
    </row>
    <row r="150" spans="2:2">
      <c r="B150" s="62"/>
    </row>
    <row r="151" spans="2:2">
      <c r="B151" s="62"/>
    </row>
    <row r="152" spans="2:2">
      <c r="B152" s="62"/>
    </row>
    <row r="153" spans="2:2">
      <c r="B153" s="62"/>
    </row>
    <row r="154" spans="2:2">
      <c r="B154" s="62"/>
    </row>
    <row r="155" spans="2:2">
      <c r="B155" s="62"/>
    </row>
    <row r="156" spans="2:2">
      <c r="B156" s="62"/>
    </row>
    <row r="157" spans="2:2">
      <c r="B157" s="62"/>
    </row>
    <row r="158" spans="2:2">
      <c r="B158" s="62"/>
    </row>
    <row r="159" spans="2:2">
      <c r="B159" s="62"/>
    </row>
    <row r="160" spans="2:2">
      <c r="B160" s="62"/>
    </row>
    <row r="161" spans="2:2">
      <c r="B161" s="62"/>
    </row>
    <row r="162" spans="2:2">
      <c r="B162" s="62"/>
    </row>
    <row r="163" spans="2:2">
      <c r="B163" s="62"/>
    </row>
    <row r="164" spans="2:2">
      <c r="B164" s="62"/>
    </row>
    <row r="165" spans="2:2">
      <c r="B165" s="62"/>
    </row>
    <row r="166" spans="2:2">
      <c r="B166" s="62"/>
    </row>
    <row r="167" spans="2:2">
      <c r="B167" s="62"/>
    </row>
    <row r="168" spans="2:2">
      <c r="B168" s="62"/>
    </row>
    <row r="169" spans="2:2">
      <c r="B169" s="62"/>
    </row>
    <row r="170" spans="2:2">
      <c r="B170" s="62"/>
    </row>
    <row r="171" spans="2:2">
      <c r="B171" s="62"/>
    </row>
    <row r="172" spans="2:2">
      <c r="B172" s="62"/>
    </row>
    <row r="173" spans="2:2">
      <c r="B173" s="62"/>
    </row>
    <row r="174" spans="2:2">
      <c r="B174" s="62"/>
    </row>
    <row r="175" spans="2:2">
      <c r="B175" s="62"/>
    </row>
    <row r="176" spans="2:2">
      <c r="B176" s="62"/>
    </row>
    <row r="177" spans="2:2">
      <c r="B177" s="62"/>
    </row>
    <row r="178" spans="2:2">
      <c r="B178" s="62"/>
    </row>
    <row r="179" spans="2:2">
      <c r="B179" s="62"/>
    </row>
    <row r="180" spans="2:2">
      <c r="B180" s="62"/>
    </row>
    <row r="181" spans="2:2">
      <c r="B181" s="62"/>
    </row>
    <row r="182" spans="2:2">
      <c r="B182" s="62"/>
    </row>
    <row r="183" spans="2:2">
      <c r="B183" s="62"/>
    </row>
    <row r="184" spans="2:2">
      <c r="B184" s="62"/>
    </row>
    <row r="185" spans="2:2">
      <c r="B185" s="62"/>
    </row>
    <row r="186" spans="2:2">
      <c r="B186" s="62"/>
    </row>
    <row r="187" spans="2:2">
      <c r="B187" s="62"/>
    </row>
    <row r="188" spans="2:2">
      <c r="B188" s="62"/>
    </row>
    <row r="189" spans="2:2">
      <c r="B189" s="62"/>
    </row>
    <row r="190" spans="2:2">
      <c r="B190" s="62"/>
    </row>
    <row r="191" spans="2:2">
      <c r="B191" s="62"/>
    </row>
    <row r="192" spans="2:2">
      <c r="B192" s="62"/>
    </row>
    <row r="193" spans="2:2">
      <c r="B193" s="62"/>
    </row>
    <row r="194" spans="2:2">
      <c r="B194" s="62"/>
    </row>
    <row r="195" spans="2:2">
      <c r="B195" s="62"/>
    </row>
    <row r="196" spans="2:2">
      <c r="B196" s="62"/>
    </row>
    <row r="197" spans="2:2">
      <c r="B197" s="62"/>
    </row>
    <row r="198" spans="2:2">
      <c r="B198" s="62"/>
    </row>
    <row r="199" spans="2:2">
      <c r="B199" s="62"/>
    </row>
    <row r="200" spans="2:2">
      <c r="B200" s="62"/>
    </row>
    <row r="201" spans="2:2">
      <c r="B201" s="62"/>
    </row>
    <row r="202" spans="2:2">
      <c r="B202" s="62"/>
    </row>
    <row r="203" spans="2:2">
      <c r="B203" s="62"/>
    </row>
    <row r="204" spans="2:2">
      <c r="B204" s="62"/>
    </row>
    <row r="205" spans="2:2">
      <c r="B205" s="62"/>
    </row>
    <row r="206" spans="2:2">
      <c r="B206" s="62"/>
    </row>
    <row r="207" spans="2:2">
      <c r="B207" s="62"/>
    </row>
    <row r="208" spans="2:2">
      <c r="B208" s="62"/>
    </row>
    <row r="209" spans="2:2">
      <c r="B209" s="62"/>
    </row>
    <row r="210" spans="2:2">
      <c r="B210" s="62"/>
    </row>
    <row r="211" spans="2:2">
      <c r="B211" s="62"/>
    </row>
    <row r="212" spans="2:2">
      <c r="B212" s="62"/>
    </row>
    <row r="213" spans="2:2">
      <c r="B213" s="62"/>
    </row>
    <row r="214" spans="2:2">
      <c r="B214" s="62"/>
    </row>
    <row r="215" spans="2:2">
      <c r="B215" s="62"/>
    </row>
    <row r="216" spans="2:2">
      <c r="B216" s="62"/>
    </row>
    <row r="217" spans="2:2">
      <c r="B217" s="62"/>
    </row>
    <row r="218" spans="2:2">
      <c r="B218" s="62"/>
    </row>
    <row r="219" spans="2:2">
      <c r="B219" s="62"/>
    </row>
    <row r="220" spans="2:2">
      <c r="B220" s="62"/>
    </row>
    <row r="221" spans="2:2">
      <c r="B221" s="62"/>
    </row>
    <row r="222" spans="2:2">
      <c r="B222" s="62"/>
    </row>
    <row r="223" spans="2:2">
      <c r="B223" s="62"/>
    </row>
    <row r="224" spans="2:2">
      <c r="B224" s="62"/>
    </row>
    <row r="225" spans="2:2">
      <c r="B225" s="62"/>
    </row>
    <row r="226" spans="2:2">
      <c r="B226" s="62"/>
    </row>
    <row r="227" spans="2:2">
      <c r="B227" s="62"/>
    </row>
    <row r="228" spans="2:2">
      <c r="B228" s="62"/>
    </row>
    <row r="229" spans="2:2">
      <c r="B229" s="62"/>
    </row>
    <row r="230" spans="2:2">
      <c r="B230" s="62"/>
    </row>
    <row r="231" spans="2:2">
      <c r="B231" s="62"/>
    </row>
    <row r="232" spans="2:2">
      <c r="B232" s="62"/>
    </row>
    <row r="233" spans="2:2">
      <c r="B233" s="62"/>
    </row>
    <row r="234" spans="2:2">
      <c r="B234" s="62"/>
    </row>
    <row r="235" spans="2:2">
      <c r="B235" s="62"/>
    </row>
    <row r="236" spans="2:2">
      <c r="B236" s="62"/>
    </row>
    <row r="237" spans="2:2">
      <c r="B237" s="62"/>
    </row>
    <row r="238" spans="2:2">
      <c r="B238" s="62"/>
    </row>
    <row r="239" spans="2:2">
      <c r="B239" s="62"/>
    </row>
    <row r="240" spans="2:2">
      <c r="B240" s="62"/>
    </row>
    <row r="241" spans="2:2">
      <c r="B241" s="62"/>
    </row>
    <row r="242" spans="2:2">
      <c r="B242" s="62"/>
    </row>
    <row r="243" spans="2:2">
      <c r="B243" s="62"/>
    </row>
    <row r="244" spans="2:2">
      <c r="B244" s="62"/>
    </row>
    <row r="245" spans="2:2">
      <c r="B245" s="62"/>
    </row>
    <row r="246" spans="2:2">
      <c r="B246" s="62"/>
    </row>
    <row r="247" spans="2:2">
      <c r="B247" s="62"/>
    </row>
    <row r="248" spans="2:2">
      <c r="B248" s="62"/>
    </row>
    <row r="249" spans="2:2">
      <c r="B249" s="62"/>
    </row>
    <row r="250" spans="2:2">
      <c r="B250" s="62"/>
    </row>
    <row r="251" spans="2:2">
      <c r="B251" s="62"/>
    </row>
    <row r="252" spans="2:2">
      <c r="B252" s="62"/>
    </row>
    <row r="253" spans="2:2">
      <c r="B253" s="62"/>
    </row>
    <row r="254" spans="2:2">
      <c r="B254" s="62"/>
    </row>
    <row r="255" spans="2:2">
      <c r="B255" s="62"/>
    </row>
    <row r="256" spans="2:2">
      <c r="B256" s="62"/>
    </row>
    <row r="257" spans="2:2">
      <c r="B257" s="62"/>
    </row>
    <row r="258" spans="2:2">
      <c r="B258" s="62"/>
    </row>
    <row r="259" spans="2:2">
      <c r="B259" s="62"/>
    </row>
    <row r="260" spans="2:2">
      <c r="B260" s="62"/>
    </row>
    <row r="261" spans="2:2">
      <c r="B261" s="62"/>
    </row>
    <row r="262" spans="2:2">
      <c r="B262" s="62"/>
    </row>
    <row r="263" spans="2:2">
      <c r="B263" s="62"/>
    </row>
    <row r="264" spans="2:2">
      <c r="B264" s="62"/>
    </row>
    <row r="265" spans="2:2">
      <c r="B265" s="62"/>
    </row>
    <row r="266" spans="2:2">
      <c r="B266" s="62"/>
    </row>
    <row r="267" spans="2:2">
      <c r="B267" s="62"/>
    </row>
    <row r="268" spans="2:2">
      <c r="B268" s="62"/>
    </row>
    <row r="269" spans="2:2">
      <c r="B269" s="62"/>
    </row>
    <row r="270" spans="2:2">
      <c r="B270" s="62"/>
    </row>
    <row r="271" spans="2:2">
      <c r="B271" s="62"/>
    </row>
    <row r="272" spans="2:2">
      <c r="B272" s="62"/>
    </row>
    <row r="273" spans="2:2">
      <c r="B273" s="62"/>
    </row>
    <row r="274" spans="2:2">
      <c r="B274" s="62"/>
    </row>
    <row r="275" spans="2:2">
      <c r="B275" s="62"/>
    </row>
    <row r="276" spans="2:2">
      <c r="B276" s="62"/>
    </row>
    <row r="277" spans="2:2">
      <c r="B277" s="62"/>
    </row>
    <row r="278" spans="2:2">
      <c r="B278" s="62"/>
    </row>
    <row r="279" spans="2:2">
      <c r="B279" s="62"/>
    </row>
    <row r="280" spans="2:2">
      <c r="B280" s="62"/>
    </row>
    <row r="281" spans="2:2">
      <c r="B281" s="62"/>
    </row>
    <row r="282" spans="2:2">
      <c r="B282" s="62"/>
    </row>
    <row r="283" spans="2:2">
      <c r="B283" s="62"/>
    </row>
    <row r="284" spans="2:2">
      <c r="B284" s="62"/>
    </row>
    <row r="285" spans="2:2">
      <c r="B285" s="62"/>
    </row>
    <row r="286" spans="2:2">
      <c r="B286" s="62"/>
    </row>
    <row r="287" spans="2:2">
      <c r="B287" s="62"/>
    </row>
    <row r="288" spans="2:2">
      <c r="B288" s="62"/>
    </row>
    <row r="289" spans="2:2">
      <c r="B289" s="62"/>
    </row>
    <row r="290" spans="2:2">
      <c r="B290" s="62"/>
    </row>
    <row r="291" spans="2:2">
      <c r="B291" s="62"/>
    </row>
    <row r="292" spans="2:2">
      <c r="B292" s="62"/>
    </row>
    <row r="293" spans="2:2">
      <c r="B293" s="62"/>
    </row>
    <row r="294" spans="2:2">
      <c r="B294" s="62"/>
    </row>
    <row r="295" spans="2:2">
      <c r="B295" s="62"/>
    </row>
    <row r="296" spans="2:2">
      <c r="B296" s="62"/>
    </row>
    <row r="297" spans="2:2">
      <c r="B297" s="62"/>
    </row>
    <row r="298" spans="2:2">
      <c r="B298" s="62"/>
    </row>
    <row r="299" spans="2:2">
      <c r="B299" s="62"/>
    </row>
    <row r="300" spans="2:2">
      <c r="B300" s="62"/>
    </row>
    <row r="301" spans="2:2">
      <c r="B301" s="62"/>
    </row>
    <row r="302" spans="2:2">
      <c r="B302" s="62"/>
    </row>
    <row r="303" spans="2:2">
      <c r="B303" s="62"/>
    </row>
    <row r="304" spans="2:2">
      <c r="B304" s="62"/>
    </row>
    <row r="305" spans="2:2">
      <c r="B305" s="62"/>
    </row>
    <row r="306" spans="2:2">
      <c r="B306" s="62"/>
    </row>
    <row r="307" spans="2:2">
      <c r="B307" s="62"/>
    </row>
    <row r="308" spans="2:2">
      <c r="B308" s="62"/>
    </row>
    <row r="309" spans="2:2">
      <c r="B309" s="62"/>
    </row>
    <row r="310" spans="2:2">
      <c r="B310" s="62"/>
    </row>
    <row r="311" spans="2:2">
      <c r="B311" s="62"/>
    </row>
    <row r="312" spans="2:2">
      <c r="B312" s="62"/>
    </row>
    <row r="313" spans="2:2">
      <c r="B313" s="62"/>
    </row>
    <row r="314" spans="2:2">
      <c r="B314" s="62"/>
    </row>
    <row r="315" spans="2:2">
      <c r="B315" s="62"/>
    </row>
    <row r="316" spans="2:2">
      <c r="B316" s="62"/>
    </row>
    <row r="317" spans="2:2">
      <c r="B317" s="62"/>
    </row>
    <row r="318" spans="2:2">
      <c r="B318" s="62"/>
    </row>
    <row r="319" spans="2:2">
      <c r="B319" s="62"/>
    </row>
    <row r="320" spans="2:2">
      <c r="B320" s="62"/>
    </row>
    <row r="321" spans="2:2">
      <c r="B321" s="62"/>
    </row>
    <row r="322" spans="2:2">
      <c r="B322" s="62"/>
    </row>
    <row r="323" spans="2:2">
      <c r="B323" s="62"/>
    </row>
    <row r="324" spans="2:2">
      <c r="B324" s="62"/>
    </row>
    <row r="325" spans="2:2">
      <c r="B325" s="62"/>
    </row>
    <row r="326" spans="2:2">
      <c r="B326" s="62"/>
    </row>
    <row r="327" spans="2:2">
      <c r="B327" s="62"/>
    </row>
    <row r="328" spans="2:2">
      <c r="B328" s="62"/>
    </row>
    <row r="329" spans="2:2">
      <c r="B329" s="62"/>
    </row>
    <row r="330" spans="2:2">
      <c r="B330" s="62"/>
    </row>
    <row r="331" spans="2:2">
      <c r="B331" s="62"/>
    </row>
    <row r="332" spans="2:2">
      <c r="B332" s="62"/>
    </row>
    <row r="333" spans="2:2">
      <c r="B333" s="62"/>
    </row>
    <row r="334" spans="2:2">
      <c r="B334" s="62"/>
    </row>
    <row r="335" spans="2:2">
      <c r="B335" s="62"/>
    </row>
    <row r="336" spans="2:2">
      <c r="B336" s="62"/>
    </row>
    <row r="337" spans="2:2">
      <c r="B337" s="62"/>
    </row>
    <row r="338" spans="2:2">
      <c r="B338" s="62"/>
    </row>
    <row r="339" spans="2:2">
      <c r="B339" s="62"/>
    </row>
    <row r="340" spans="2:2">
      <c r="B340" s="62"/>
    </row>
    <row r="341" spans="2:2">
      <c r="B341" s="62"/>
    </row>
    <row r="342" spans="2:2">
      <c r="B342" s="62"/>
    </row>
    <row r="343" spans="2:2">
      <c r="B343" s="62"/>
    </row>
    <row r="344" spans="2:2">
      <c r="B344" s="62"/>
    </row>
    <row r="345" spans="2:2">
      <c r="B345" s="62"/>
    </row>
    <row r="346" spans="2:2">
      <c r="B346" s="62"/>
    </row>
    <row r="347" spans="2:2">
      <c r="B347" s="62"/>
    </row>
    <row r="348" spans="2:2">
      <c r="B348" s="62"/>
    </row>
    <row r="349" spans="2:2">
      <c r="B349" s="62"/>
    </row>
    <row r="350" spans="2:2">
      <c r="B350" s="62"/>
    </row>
    <row r="351" spans="2:2">
      <c r="B351" s="62"/>
    </row>
    <row r="352" spans="2:2">
      <c r="B352" s="62"/>
    </row>
    <row r="353" spans="2:2">
      <c r="B353" s="62"/>
    </row>
    <row r="354" spans="2:2">
      <c r="B354" s="62"/>
    </row>
    <row r="355" spans="2:2">
      <c r="B355" s="62"/>
    </row>
    <row r="356" spans="2:2">
      <c r="B356" s="62"/>
    </row>
    <row r="357" spans="2:2">
      <c r="B357" s="62"/>
    </row>
    <row r="358" spans="2:2">
      <c r="B358" s="62"/>
    </row>
    <row r="359" spans="2:2">
      <c r="B359" s="62"/>
    </row>
    <row r="360" spans="2:2">
      <c r="B360" s="62"/>
    </row>
    <row r="361" spans="2:2">
      <c r="B361" s="62"/>
    </row>
    <row r="362" spans="2:2">
      <c r="B362" s="62"/>
    </row>
    <row r="363" spans="2:2">
      <c r="B363" s="62"/>
    </row>
    <row r="364" spans="2:2">
      <c r="B364" s="62"/>
    </row>
    <row r="365" spans="2:2">
      <c r="B365" s="62"/>
    </row>
    <row r="366" spans="2:2">
      <c r="B366" s="62"/>
    </row>
    <row r="367" spans="2:2">
      <c r="B367" s="62"/>
    </row>
    <row r="368" spans="2:2">
      <c r="B368" s="62"/>
    </row>
    <row r="369" spans="2:2">
      <c r="B369" s="62"/>
    </row>
    <row r="370" spans="2:2">
      <c r="B370" s="62"/>
    </row>
    <row r="371" spans="2:2">
      <c r="B371" s="62"/>
    </row>
    <row r="372" spans="2:2">
      <c r="B372" s="62"/>
    </row>
    <row r="373" spans="2:2">
      <c r="B373" s="62"/>
    </row>
    <row r="374" spans="2:2">
      <c r="B374" s="62"/>
    </row>
    <row r="375" spans="2:2">
      <c r="B375" s="62"/>
    </row>
    <row r="376" spans="2:2">
      <c r="B376" s="62"/>
    </row>
    <row r="377" spans="2:2">
      <c r="B377" s="62"/>
    </row>
    <row r="378" spans="2:2">
      <c r="B378" s="62"/>
    </row>
    <row r="379" spans="2:2">
      <c r="B379" s="62"/>
    </row>
    <row r="380" spans="2:2">
      <c r="B380" s="62"/>
    </row>
    <row r="381" spans="2:2">
      <c r="B381" s="62"/>
    </row>
    <row r="382" spans="2:2">
      <c r="B382" s="62"/>
    </row>
    <row r="383" spans="2:2">
      <c r="B383" s="62"/>
    </row>
    <row r="384" spans="2:2">
      <c r="B384" s="62"/>
    </row>
    <row r="385" spans="2:2">
      <c r="B385" s="62"/>
    </row>
    <row r="386" spans="2:2">
      <c r="B386" s="62"/>
    </row>
    <row r="387" spans="2:2">
      <c r="B387" s="62"/>
    </row>
    <row r="388" spans="2:2">
      <c r="B388" s="62"/>
    </row>
    <row r="389" spans="2:2">
      <c r="B389" s="62"/>
    </row>
    <row r="390" spans="2:2">
      <c r="B390" s="62"/>
    </row>
    <row r="391" spans="2:2">
      <c r="B391" s="62"/>
    </row>
    <row r="392" spans="2:2">
      <c r="B392" s="62"/>
    </row>
    <row r="393" spans="2:2">
      <c r="B393" s="62"/>
    </row>
    <row r="394" spans="2:2">
      <c r="B394" s="62"/>
    </row>
    <row r="395" spans="2:2">
      <c r="B395" s="62"/>
    </row>
    <row r="396" spans="2:2">
      <c r="B396" s="62"/>
    </row>
    <row r="397" spans="2:2">
      <c r="B397" s="62"/>
    </row>
    <row r="398" spans="2:2">
      <c r="B398" s="62"/>
    </row>
    <row r="399" spans="2:2">
      <c r="B399" s="62"/>
    </row>
    <row r="400" spans="2:2">
      <c r="B400" s="62"/>
    </row>
    <row r="401" spans="2:2">
      <c r="B401" s="62"/>
    </row>
    <row r="402" spans="2:2">
      <c r="B402" s="62"/>
    </row>
    <row r="403" spans="2:2">
      <c r="B403" s="62"/>
    </row>
    <row r="404" spans="2:2">
      <c r="B404" s="62"/>
    </row>
    <row r="405" spans="2:2">
      <c r="B405" s="62"/>
    </row>
    <row r="406" spans="2:2">
      <c r="B406" s="62"/>
    </row>
    <row r="407" spans="2:2">
      <c r="B407" s="62"/>
    </row>
    <row r="408" spans="2:2">
      <c r="B408" s="62"/>
    </row>
    <row r="409" spans="2:2">
      <c r="B409" s="62"/>
    </row>
    <row r="410" spans="2:2">
      <c r="B410" s="62"/>
    </row>
    <row r="411" spans="2:2">
      <c r="B411" s="62"/>
    </row>
    <row r="412" spans="2:2">
      <c r="B412" s="62"/>
    </row>
    <row r="413" spans="2:2">
      <c r="B413" s="62"/>
    </row>
    <row r="414" spans="2:2">
      <c r="B414" s="62"/>
    </row>
    <row r="415" spans="2:2">
      <c r="B415" s="62"/>
    </row>
    <row r="416" spans="2:2">
      <c r="B416" s="62"/>
    </row>
    <row r="417" spans="2:2">
      <c r="B417" s="62"/>
    </row>
    <row r="418" spans="2:2">
      <c r="B418" s="62"/>
    </row>
    <row r="419" spans="2:2">
      <c r="B419" s="62"/>
    </row>
    <row r="420" spans="2:2">
      <c r="B420" s="62"/>
    </row>
    <row r="421" spans="2:2">
      <c r="B421" s="62"/>
    </row>
    <row r="422" spans="2:2">
      <c r="B422" s="62"/>
    </row>
    <row r="423" spans="2:2">
      <c r="B423" s="62"/>
    </row>
    <row r="424" spans="2:2">
      <c r="B424" s="62"/>
    </row>
    <row r="425" spans="2:2">
      <c r="B425" s="62"/>
    </row>
    <row r="426" spans="2:2">
      <c r="B426" s="62"/>
    </row>
    <row r="427" spans="2:2">
      <c r="B427" s="62"/>
    </row>
    <row r="428" spans="2:2">
      <c r="B428" s="62"/>
    </row>
    <row r="429" spans="2:2">
      <c r="B429" s="62"/>
    </row>
    <row r="430" spans="2:2">
      <c r="B430" s="62"/>
    </row>
    <row r="431" spans="2:2">
      <c r="B431" s="62"/>
    </row>
    <row r="432" spans="2:2">
      <c r="B432" s="62"/>
    </row>
    <row r="433" spans="2:2">
      <c r="B433" s="62"/>
    </row>
    <row r="434" spans="2:2">
      <c r="B434" s="62"/>
    </row>
    <row r="435" spans="2:2">
      <c r="B435" s="62"/>
    </row>
    <row r="436" spans="2:2">
      <c r="B436" s="62"/>
    </row>
    <row r="437" spans="2:2">
      <c r="B437" s="62"/>
    </row>
    <row r="438" spans="2:2">
      <c r="B438" s="62"/>
    </row>
    <row r="439" spans="2:2">
      <c r="B439" s="62"/>
    </row>
    <row r="440" spans="2:2">
      <c r="B440" s="62"/>
    </row>
    <row r="441" spans="2:2">
      <c r="B441" s="62"/>
    </row>
    <row r="442" spans="2:2">
      <c r="B442" s="62"/>
    </row>
    <row r="443" spans="2:2">
      <c r="B443" s="62"/>
    </row>
    <row r="444" spans="2:2">
      <c r="B444" s="62"/>
    </row>
    <row r="445" spans="2:2">
      <c r="B445" s="62"/>
    </row>
    <row r="446" spans="2:2">
      <c r="B446" s="62"/>
    </row>
    <row r="447" spans="2:2">
      <c r="B447" s="62"/>
    </row>
    <row r="448" spans="2:2">
      <c r="B448" s="62"/>
    </row>
    <row r="449" spans="2:2">
      <c r="B449" s="62"/>
    </row>
    <row r="450" spans="2:2">
      <c r="B450" s="62"/>
    </row>
    <row r="451" spans="2:2">
      <c r="B451" s="62"/>
    </row>
    <row r="452" spans="2:2">
      <c r="B452" s="62"/>
    </row>
    <row r="453" spans="2:2">
      <c r="B453" s="62"/>
    </row>
    <row r="454" spans="2:2">
      <c r="B454" s="62"/>
    </row>
    <row r="455" spans="2:2">
      <c r="B455" s="62"/>
    </row>
    <row r="456" spans="2:2">
      <c r="B456" s="62"/>
    </row>
    <row r="457" spans="2:2">
      <c r="B457" s="62"/>
    </row>
    <row r="458" spans="2:2">
      <c r="B458" s="62"/>
    </row>
    <row r="459" spans="2:2">
      <c r="B459" s="62"/>
    </row>
    <row r="460" spans="2:2">
      <c r="B460" s="62"/>
    </row>
    <row r="461" spans="2:2">
      <c r="B461" s="62"/>
    </row>
    <row r="462" spans="2:2">
      <c r="B462" s="62"/>
    </row>
    <row r="463" spans="2:2">
      <c r="B463" s="62"/>
    </row>
    <row r="464" spans="2:2">
      <c r="B464" s="62"/>
    </row>
    <row r="465" spans="2:2">
      <c r="B465" s="62"/>
    </row>
    <row r="466" spans="2:2">
      <c r="B466" s="62"/>
    </row>
    <row r="467" spans="2:2">
      <c r="B467" s="62"/>
    </row>
    <row r="468" spans="2:2">
      <c r="B468" s="62"/>
    </row>
    <row r="469" spans="2:2">
      <c r="B469" s="62"/>
    </row>
    <row r="470" spans="2:2">
      <c r="B470" s="62"/>
    </row>
    <row r="471" spans="2:2">
      <c r="B471" s="62"/>
    </row>
    <row r="472" spans="2:2">
      <c r="B472" s="62"/>
    </row>
    <row r="473" spans="2:2">
      <c r="B473" s="62"/>
    </row>
    <row r="474" spans="2:2">
      <c r="B474" s="62"/>
    </row>
    <row r="475" spans="2:2">
      <c r="B475" s="62"/>
    </row>
    <row r="476" spans="2:2">
      <c r="B476" s="62"/>
    </row>
    <row r="477" spans="2:2">
      <c r="B477" s="62"/>
    </row>
    <row r="478" spans="2:2">
      <c r="B478" s="62"/>
    </row>
    <row r="479" spans="2:2">
      <c r="B479" s="62"/>
    </row>
    <row r="480" spans="2:2">
      <c r="B480" s="62"/>
    </row>
    <row r="481" spans="2:2">
      <c r="B481" s="62"/>
    </row>
    <row r="482" spans="2:2">
      <c r="B482" s="62"/>
    </row>
    <row r="483" spans="2:2">
      <c r="B483" s="62"/>
    </row>
    <row r="484" spans="2:2">
      <c r="B484" s="62"/>
    </row>
    <row r="485" spans="2:2">
      <c r="B485" s="62"/>
    </row>
    <row r="486" spans="2:2">
      <c r="B486" s="62"/>
    </row>
    <row r="487" spans="2:2">
      <c r="B487" s="62"/>
    </row>
    <row r="488" spans="2:2">
      <c r="B488" s="62"/>
    </row>
    <row r="489" spans="2:2">
      <c r="B489" s="62"/>
    </row>
    <row r="490" spans="2:2">
      <c r="B490" s="62"/>
    </row>
    <row r="491" spans="2:2">
      <c r="B491" s="62"/>
    </row>
    <row r="492" spans="2:2">
      <c r="B492" s="62"/>
    </row>
    <row r="493" spans="2:2">
      <c r="B493" s="62"/>
    </row>
    <row r="494" spans="2:2">
      <c r="B494" s="62"/>
    </row>
    <row r="495" spans="2:2">
      <c r="B495" s="62"/>
    </row>
    <row r="496" spans="2:2">
      <c r="B496" s="62"/>
    </row>
    <row r="497" spans="2:2">
      <c r="B497" s="62"/>
    </row>
    <row r="498" spans="2:2">
      <c r="B498" s="62"/>
    </row>
    <row r="499" spans="2:2">
      <c r="B499" s="62"/>
    </row>
    <row r="500" spans="2:2">
      <c r="B500" s="62"/>
    </row>
    <row r="501" spans="2:2">
      <c r="B501" s="62"/>
    </row>
    <row r="502" spans="2:2">
      <c r="B502" s="62"/>
    </row>
    <row r="503" spans="2:2">
      <c r="B503" s="62"/>
    </row>
    <row r="504" spans="2:2">
      <c r="B504" s="62"/>
    </row>
    <row r="505" spans="2:2">
      <c r="B505" s="62"/>
    </row>
    <row r="506" spans="2:2">
      <c r="B506" s="62"/>
    </row>
    <row r="507" spans="2:2">
      <c r="B507" s="62"/>
    </row>
    <row r="508" spans="2:2">
      <c r="B508" s="62"/>
    </row>
    <row r="509" spans="2:2">
      <c r="B509" s="62"/>
    </row>
    <row r="510" spans="2:2">
      <c r="B510" s="62"/>
    </row>
    <row r="511" spans="2:2">
      <c r="B511" s="62"/>
    </row>
    <row r="512" spans="2:2">
      <c r="B512" s="62"/>
    </row>
    <row r="513" spans="2:2">
      <c r="B513" s="62"/>
    </row>
    <row r="514" spans="2:2">
      <c r="B514" s="62"/>
    </row>
    <row r="515" spans="2:2">
      <c r="B515" s="62"/>
    </row>
    <row r="516" spans="2:2">
      <c r="B516" s="62"/>
    </row>
    <row r="517" spans="2:2">
      <c r="B517" s="62"/>
    </row>
    <row r="518" spans="2:2">
      <c r="B518" s="62"/>
    </row>
    <row r="519" spans="2:2">
      <c r="B519" s="62"/>
    </row>
    <row r="520" spans="2:2">
      <c r="B520" s="62"/>
    </row>
    <row r="521" spans="2:2">
      <c r="B521" s="62"/>
    </row>
    <row r="522" spans="2:2">
      <c r="B522" s="62"/>
    </row>
    <row r="523" spans="2:2">
      <c r="B523" s="62"/>
    </row>
    <row r="524" spans="2:2">
      <c r="B524" s="62"/>
    </row>
    <row r="525" spans="2:2">
      <c r="B525" s="62"/>
    </row>
    <row r="526" spans="2:2">
      <c r="B526" s="62"/>
    </row>
    <row r="527" spans="2:2">
      <c r="B527" s="62"/>
    </row>
    <row r="528" spans="2:2">
      <c r="B528" s="62"/>
    </row>
    <row r="529" spans="2:2">
      <c r="B529" s="62"/>
    </row>
    <row r="530" spans="2:2">
      <c r="B530" s="62"/>
    </row>
    <row r="531" spans="2:2">
      <c r="B531" s="62"/>
    </row>
    <row r="532" spans="2:2">
      <c r="B532" s="62"/>
    </row>
    <row r="533" spans="2:2">
      <c r="B533" s="62"/>
    </row>
    <row r="534" spans="2:2">
      <c r="B534" s="62"/>
    </row>
    <row r="535" spans="2:2">
      <c r="B535" s="62"/>
    </row>
    <row r="536" spans="2:2">
      <c r="B536" s="62"/>
    </row>
    <row r="537" spans="2:2">
      <c r="B537" s="62"/>
    </row>
    <row r="538" spans="2:2">
      <c r="B538" s="62"/>
    </row>
    <row r="539" spans="2:2">
      <c r="B539" s="62"/>
    </row>
    <row r="540" spans="2:2">
      <c r="B540" s="62"/>
    </row>
    <row r="541" spans="2:2">
      <c r="B541" s="62"/>
    </row>
    <row r="542" spans="2:2">
      <c r="B542" s="62"/>
    </row>
    <row r="543" spans="2:2">
      <c r="B543" s="62"/>
    </row>
    <row r="544" spans="2:2">
      <c r="B544" s="62"/>
    </row>
    <row r="545" spans="2:2">
      <c r="B545" s="62"/>
    </row>
    <row r="546" spans="2:2">
      <c r="B546" s="62"/>
    </row>
    <row r="547" spans="2:2">
      <c r="B547" s="62"/>
    </row>
    <row r="548" spans="2:2">
      <c r="B548" s="62"/>
    </row>
    <row r="549" spans="2:2">
      <c r="B549" s="62"/>
    </row>
    <row r="550" spans="2:2">
      <c r="B550" s="62"/>
    </row>
    <row r="551" spans="2:2">
      <c r="B551" s="62"/>
    </row>
    <row r="552" spans="2:2">
      <c r="B552" s="62"/>
    </row>
    <row r="553" spans="2:2">
      <c r="B553" s="62"/>
    </row>
    <row r="554" spans="2:2">
      <c r="B554" s="62"/>
    </row>
    <row r="555" spans="2:2">
      <c r="B555" s="62"/>
    </row>
    <row r="556" spans="2:2">
      <c r="B556" s="62"/>
    </row>
    <row r="557" spans="2:2">
      <c r="B557" s="62"/>
    </row>
    <row r="558" spans="2:2">
      <c r="B558" s="62"/>
    </row>
    <row r="559" spans="2:2">
      <c r="B559" s="62"/>
    </row>
    <row r="560" spans="2:2">
      <c r="B560" s="62"/>
    </row>
    <row r="561" spans="2:2">
      <c r="B561" s="62"/>
    </row>
    <row r="562" spans="2:2">
      <c r="B562" s="62"/>
    </row>
    <row r="563" spans="2:2">
      <c r="B563" s="62"/>
    </row>
    <row r="564" spans="2:2">
      <c r="B564" s="62"/>
    </row>
    <row r="565" spans="2:2">
      <c r="B565" s="62"/>
    </row>
    <row r="566" spans="2:2">
      <c r="B566" s="62"/>
    </row>
    <row r="567" spans="2:2">
      <c r="B567" s="62"/>
    </row>
    <row r="568" spans="2:2">
      <c r="B568" s="62"/>
    </row>
    <row r="569" spans="2:2">
      <c r="B569" s="62"/>
    </row>
    <row r="570" spans="2:2">
      <c r="B570" s="62"/>
    </row>
    <row r="571" spans="2:2">
      <c r="B571" s="62"/>
    </row>
    <row r="572" spans="2:2">
      <c r="B572" s="62"/>
    </row>
    <row r="573" spans="2:2">
      <c r="B573" s="62"/>
    </row>
    <row r="574" spans="2:2">
      <c r="B574" s="62"/>
    </row>
    <row r="575" spans="2:2">
      <c r="B575" s="62"/>
    </row>
    <row r="576" spans="2:2">
      <c r="B576" s="62"/>
    </row>
    <row r="577" spans="2:2">
      <c r="B577" s="62"/>
    </row>
    <row r="578" spans="2:2">
      <c r="B578" s="62"/>
    </row>
    <row r="579" spans="2:2">
      <c r="B579" s="62"/>
    </row>
    <row r="580" spans="2:2">
      <c r="B580" s="62"/>
    </row>
    <row r="581" spans="2:2">
      <c r="B581" s="62"/>
    </row>
    <row r="582" spans="2:2">
      <c r="B582" s="62"/>
    </row>
    <row r="583" spans="2:2">
      <c r="B583" s="62"/>
    </row>
    <row r="584" spans="2:2">
      <c r="B584" s="62"/>
    </row>
    <row r="585" spans="2:2">
      <c r="B585" s="62"/>
    </row>
    <row r="586" spans="2:2">
      <c r="B586" s="62"/>
    </row>
    <row r="587" spans="2:2">
      <c r="B587" s="62"/>
    </row>
    <row r="588" spans="2:2">
      <c r="B588" s="62"/>
    </row>
    <row r="589" spans="2:2">
      <c r="B589" s="62"/>
    </row>
    <row r="590" spans="2:2">
      <c r="B590" s="62"/>
    </row>
    <row r="591" spans="2:2">
      <c r="B591" s="62"/>
    </row>
  </sheetData>
  <mergeCells count="2">
    <mergeCell ref="B4:D4"/>
    <mergeCell ref="K3:N3"/>
  </mergeCells>
  <conditionalFormatting sqref="G42">
    <cfRule type="cellIs" dxfId="705" priority="1" stopIfTrue="1" operator="equal">
      <formula>"Less than 6 months"</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U59"/>
  <sheetViews>
    <sheetView zoomScale="70" zoomScaleNormal="70" workbookViewId="0">
      <selection activeCell="A2" sqref="A2"/>
    </sheetView>
  </sheetViews>
  <sheetFormatPr defaultColWidth="12.28515625" defaultRowHeight="15"/>
  <cols>
    <col min="1" max="16384" width="12.28515625" style="1"/>
  </cols>
  <sheetData>
    <row r="1" spans="1:130" ht="36">
      <c r="A1" s="127" t="s">
        <v>234</v>
      </c>
      <c r="B1" s="122"/>
      <c r="C1" s="122"/>
      <c r="D1" s="122"/>
      <c r="E1" s="122"/>
    </row>
    <row r="3" spans="1:130" ht="72" customHeight="1">
      <c r="B3" s="160" t="s">
        <v>130</v>
      </c>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S3" s="167" t="s">
        <v>129</v>
      </c>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J3" s="160" t="s">
        <v>128</v>
      </c>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row>
    <row r="4" spans="1:130">
      <c r="B4" s="15"/>
      <c r="C4" s="161" t="s">
        <v>24</v>
      </c>
      <c r="D4" s="161"/>
      <c r="E4" s="161"/>
      <c r="F4" s="161"/>
      <c r="G4" s="161"/>
      <c r="H4" s="161"/>
      <c r="I4" s="161"/>
      <c r="J4" s="162"/>
      <c r="L4" s="11"/>
      <c r="M4" s="163" t="s">
        <v>25</v>
      </c>
      <c r="N4" s="163"/>
      <c r="O4" s="163"/>
      <c r="P4" s="163"/>
      <c r="Q4" s="163"/>
      <c r="R4" s="163"/>
      <c r="S4" s="163"/>
      <c r="T4" s="164"/>
      <c r="W4" s="165" t="s">
        <v>26</v>
      </c>
      <c r="X4" s="165"/>
      <c r="Y4" s="165"/>
      <c r="Z4" s="165"/>
      <c r="AA4" s="165"/>
      <c r="AB4" s="165"/>
      <c r="AC4" s="165"/>
      <c r="AD4" s="165"/>
      <c r="AG4" s="166" t="s">
        <v>12</v>
      </c>
      <c r="AH4" s="166"/>
      <c r="AI4" s="166"/>
      <c r="AJ4" s="166"/>
      <c r="AK4" s="166"/>
      <c r="AL4" s="166"/>
      <c r="AM4" s="166"/>
      <c r="AN4" s="166"/>
      <c r="AO4" s="166"/>
      <c r="AP4" s="166"/>
      <c r="AQ4" s="166"/>
      <c r="AS4" s="15"/>
      <c r="AT4" s="161" t="s">
        <v>8</v>
      </c>
      <c r="AU4" s="161"/>
      <c r="AV4" s="161"/>
      <c r="AW4" s="161"/>
      <c r="AX4" s="161"/>
      <c r="AY4" s="161"/>
      <c r="AZ4" s="161"/>
      <c r="BA4" s="162"/>
      <c r="BC4" s="11"/>
      <c r="BD4" s="163" t="s">
        <v>9</v>
      </c>
      <c r="BE4" s="163"/>
      <c r="BF4" s="163"/>
      <c r="BG4" s="163"/>
      <c r="BH4" s="163"/>
      <c r="BI4" s="163"/>
      <c r="BJ4" s="163"/>
      <c r="BK4" s="164"/>
      <c r="BN4" s="165" t="s">
        <v>10</v>
      </c>
      <c r="BO4" s="165"/>
      <c r="BP4" s="165"/>
      <c r="BQ4" s="165"/>
      <c r="BR4" s="165"/>
      <c r="BS4" s="165"/>
      <c r="BT4" s="165"/>
      <c r="BU4" s="165"/>
      <c r="BX4" s="166" t="s">
        <v>12</v>
      </c>
      <c r="BY4" s="166"/>
      <c r="BZ4" s="166"/>
      <c r="CA4" s="166"/>
      <c r="CB4" s="166"/>
      <c r="CC4" s="166"/>
      <c r="CD4" s="166"/>
      <c r="CE4" s="166"/>
      <c r="CF4" s="166"/>
      <c r="CG4" s="166"/>
      <c r="CH4" s="166"/>
      <c r="CJ4" s="15"/>
      <c r="CK4" s="161" t="s">
        <v>8</v>
      </c>
      <c r="CL4" s="161"/>
      <c r="CM4" s="161"/>
      <c r="CN4" s="161"/>
      <c r="CO4" s="161"/>
      <c r="CP4" s="161"/>
      <c r="CQ4" s="161"/>
      <c r="CR4" s="162"/>
      <c r="CT4" s="11"/>
      <c r="CU4" s="163" t="s">
        <v>9</v>
      </c>
      <c r="CV4" s="163"/>
      <c r="CW4" s="163"/>
      <c r="CX4" s="163"/>
      <c r="CY4" s="163"/>
      <c r="CZ4" s="163"/>
      <c r="DA4" s="163"/>
      <c r="DB4" s="164"/>
      <c r="DE4" s="165" t="s">
        <v>10</v>
      </c>
      <c r="DF4" s="165"/>
      <c r="DG4" s="165"/>
      <c r="DH4" s="165"/>
      <c r="DI4" s="165"/>
      <c r="DJ4" s="165"/>
      <c r="DK4" s="165"/>
      <c r="DL4" s="165"/>
      <c r="DO4" s="166" t="s">
        <v>12</v>
      </c>
      <c r="DP4" s="166"/>
      <c r="DQ4" s="166"/>
      <c r="DR4" s="166"/>
      <c r="DS4" s="166"/>
      <c r="DT4" s="166"/>
      <c r="DU4" s="166"/>
      <c r="DV4" s="166"/>
      <c r="DW4" s="166"/>
      <c r="DX4" s="166"/>
      <c r="DY4" s="166"/>
    </row>
    <row r="5" spans="1:130" ht="14.45" customHeight="1">
      <c r="B5" s="13" t="s">
        <v>0</v>
      </c>
      <c r="C5" s="13" t="s">
        <v>27</v>
      </c>
      <c r="D5" s="13" t="s">
        <v>28</v>
      </c>
      <c r="E5" s="13" t="s">
        <v>2</v>
      </c>
      <c r="F5" s="13" t="s">
        <v>3</v>
      </c>
      <c r="G5" s="13" t="s">
        <v>4</v>
      </c>
      <c r="H5" s="13" t="s">
        <v>5</v>
      </c>
      <c r="I5" s="13" t="s">
        <v>6</v>
      </c>
      <c r="J5" s="13" t="s">
        <v>7</v>
      </c>
      <c r="L5" s="12" t="s">
        <v>0</v>
      </c>
      <c r="M5" s="13" t="s">
        <v>27</v>
      </c>
      <c r="N5" s="13" t="s">
        <v>28</v>
      </c>
      <c r="O5" s="13" t="s">
        <v>2</v>
      </c>
      <c r="P5" s="13" t="s">
        <v>3</v>
      </c>
      <c r="Q5" s="13" t="s">
        <v>4</v>
      </c>
      <c r="R5" s="13" t="s">
        <v>5</v>
      </c>
      <c r="S5" s="13" t="s">
        <v>6</v>
      </c>
      <c r="T5" s="13" t="s">
        <v>7</v>
      </c>
      <c r="U5" s="80" t="s">
        <v>231</v>
      </c>
      <c r="V5" s="18" t="s">
        <v>0</v>
      </c>
      <c r="W5" s="13" t="s">
        <v>27</v>
      </c>
      <c r="X5" s="13" t="s">
        <v>28</v>
      </c>
      <c r="Y5" s="13" t="s">
        <v>2</v>
      </c>
      <c r="Z5" s="13" t="s">
        <v>3</v>
      </c>
      <c r="AA5" s="13" t="s">
        <v>4</v>
      </c>
      <c r="AB5" s="13" t="s">
        <v>5</v>
      </c>
      <c r="AC5" s="13" t="s">
        <v>6</v>
      </c>
      <c r="AD5" s="13" t="s">
        <v>7</v>
      </c>
      <c r="AF5" s="18" t="s">
        <v>0</v>
      </c>
      <c r="AG5" s="19" t="s">
        <v>13</v>
      </c>
      <c r="AH5" s="19" t="s">
        <v>14</v>
      </c>
      <c r="AI5" s="19" t="s">
        <v>15</v>
      </c>
      <c r="AJ5" s="19" t="s">
        <v>16</v>
      </c>
      <c r="AK5" s="19" t="s">
        <v>17</v>
      </c>
      <c r="AL5" s="19" t="s">
        <v>18</v>
      </c>
      <c r="AM5" s="19" t="s">
        <v>19</v>
      </c>
      <c r="AN5" s="19" t="s">
        <v>20</v>
      </c>
      <c r="AO5" s="19" t="s">
        <v>21</v>
      </c>
      <c r="AP5" s="19" t="s">
        <v>22</v>
      </c>
      <c r="AQ5" s="19" t="s">
        <v>23</v>
      </c>
      <c r="AR5" s="19" t="s">
        <v>114</v>
      </c>
      <c r="AS5" s="13" t="s">
        <v>0</v>
      </c>
      <c r="AT5" s="13" t="s">
        <v>27</v>
      </c>
      <c r="AU5" s="13" t="s">
        <v>28</v>
      </c>
      <c r="AV5" s="13" t="s">
        <v>2</v>
      </c>
      <c r="AW5" s="13" t="s">
        <v>3</v>
      </c>
      <c r="AX5" s="13" t="s">
        <v>4</v>
      </c>
      <c r="AY5" s="13" t="s">
        <v>5</v>
      </c>
      <c r="AZ5" s="13" t="s">
        <v>6</v>
      </c>
      <c r="BA5" s="13" t="s">
        <v>7</v>
      </c>
      <c r="BC5" s="12" t="s">
        <v>0</v>
      </c>
      <c r="BD5" s="13" t="s">
        <v>27</v>
      </c>
      <c r="BE5" s="13" t="s">
        <v>28</v>
      </c>
      <c r="BF5" s="13" t="s">
        <v>2</v>
      </c>
      <c r="BG5" s="13" t="s">
        <v>3</v>
      </c>
      <c r="BH5" s="13" t="s">
        <v>4</v>
      </c>
      <c r="BI5" s="13" t="s">
        <v>5</v>
      </c>
      <c r="BJ5" s="13" t="s">
        <v>6</v>
      </c>
      <c r="BK5" s="13" t="s">
        <v>7</v>
      </c>
      <c r="BM5" s="18" t="s">
        <v>0</v>
      </c>
      <c r="BN5" s="13" t="s">
        <v>27</v>
      </c>
      <c r="BO5" s="13" t="s">
        <v>28</v>
      </c>
      <c r="BP5" s="13" t="s">
        <v>2</v>
      </c>
      <c r="BQ5" s="13" t="s">
        <v>3</v>
      </c>
      <c r="BR5" s="13" t="s">
        <v>4</v>
      </c>
      <c r="BS5" s="13" t="s">
        <v>5</v>
      </c>
      <c r="BT5" s="13" t="s">
        <v>6</v>
      </c>
      <c r="BU5" s="13" t="s">
        <v>7</v>
      </c>
      <c r="BW5" s="18" t="s">
        <v>0</v>
      </c>
      <c r="BX5" s="19" t="s">
        <v>13</v>
      </c>
      <c r="BY5" s="19" t="s">
        <v>14</v>
      </c>
      <c r="BZ5" s="19" t="s">
        <v>15</v>
      </c>
      <c r="CA5" s="19" t="s">
        <v>16</v>
      </c>
      <c r="CB5" s="19" t="s">
        <v>17</v>
      </c>
      <c r="CC5" s="19" t="s">
        <v>18</v>
      </c>
      <c r="CD5" s="19" t="s">
        <v>19</v>
      </c>
      <c r="CE5" s="19" t="s">
        <v>20</v>
      </c>
      <c r="CF5" s="19" t="s">
        <v>21</v>
      </c>
      <c r="CG5" s="19" t="s">
        <v>22</v>
      </c>
      <c r="CH5" s="19" t="s">
        <v>23</v>
      </c>
      <c r="CJ5" s="13" t="s">
        <v>0</v>
      </c>
      <c r="CK5" s="13" t="s">
        <v>27</v>
      </c>
      <c r="CL5" s="13" t="s">
        <v>28</v>
      </c>
      <c r="CM5" s="13" t="s">
        <v>2</v>
      </c>
      <c r="CN5" s="13" t="s">
        <v>3</v>
      </c>
      <c r="CO5" s="13" t="s">
        <v>4</v>
      </c>
      <c r="CP5" s="13" t="s">
        <v>5</v>
      </c>
      <c r="CQ5" s="13" t="s">
        <v>6</v>
      </c>
      <c r="CR5" s="13" t="s">
        <v>7</v>
      </c>
      <c r="CS5" s="81" t="s">
        <v>113</v>
      </c>
      <c r="CT5" s="12" t="s">
        <v>0</v>
      </c>
      <c r="CU5" s="13" t="s">
        <v>27</v>
      </c>
      <c r="CV5" s="13" t="s">
        <v>28</v>
      </c>
      <c r="CW5" s="13" t="s">
        <v>2</v>
      </c>
      <c r="CX5" s="13" t="s">
        <v>3</v>
      </c>
      <c r="CY5" s="13" t="s">
        <v>4</v>
      </c>
      <c r="CZ5" s="13" t="s">
        <v>5</v>
      </c>
      <c r="DA5" s="13" t="s">
        <v>6</v>
      </c>
      <c r="DB5" s="13" t="s">
        <v>7</v>
      </c>
      <c r="DD5" s="18" t="s">
        <v>0</v>
      </c>
      <c r="DE5" s="13" t="s">
        <v>27</v>
      </c>
      <c r="DF5" s="13" t="s">
        <v>28</v>
      </c>
      <c r="DG5" s="13" t="s">
        <v>2</v>
      </c>
      <c r="DH5" s="13" t="s">
        <v>3</v>
      </c>
      <c r="DI5" s="13" t="s">
        <v>4</v>
      </c>
      <c r="DJ5" s="13" t="s">
        <v>5</v>
      </c>
      <c r="DK5" s="13" t="s">
        <v>6</v>
      </c>
      <c r="DL5" s="13" t="s">
        <v>7</v>
      </c>
      <c r="DN5" s="18" t="s">
        <v>0</v>
      </c>
      <c r="DO5" s="19" t="s">
        <v>13</v>
      </c>
      <c r="DP5" s="19" t="s">
        <v>14</v>
      </c>
      <c r="DQ5" s="19" t="s">
        <v>15</v>
      </c>
      <c r="DR5" s="19" t="s">
        <v>16</v>
      </c>
      <c r="DS5" s="19" t="s">
        <v>17</v>
      </c>
      <c r="DT5" s="19" t="s">
        <v>18</v>
      </c>
      <c r="DU5" s="19" t="s">
        <v>19</v>
      </c>
      <c r="DV5" s="19" t="s">
        <v>20</v>
      </c>
      <c r="DW5" s="19" t="s">
        <v>21</v>
      </c>
      <c r="DX5" s="19" t="s">
        <v>22</v>
      </c>
      <c r="DY5" s="19" t="s">
        <v>23</v>
      </c>
      <c r="DZ5" s="82" t="s">
        <v>114</v>
      </c>
    </row>
    <row r="6" spans="1:130">
      <c r="B6" s="9">
        <v>1</v>
      </c>
      <c r="C6" s="36">
        <v>0.25</v>
      </c>
      <c r="D6" s="36">
        <v>0</v>
      </c>
      <c r="E6" s="36">
        <v>0.25</v>
      </c>
      <c r="F6" s="36">
        <v>1</v>
      </c>
      <c r="G6" s="36">
        <v>0</v>
      </c>
      <c r="H6" s="36">
        <v>0.25</v>
      </c>
      <c r="I6" s="36">
        <v>1</v>
      </c>
      <c r="J6" s="36">
        <v>1</v>
      </c>
      <c r="L6" s="9">
        <v>1</v>
      </c>
      <c r="M6" s="6">
        <v>173</v>
      </c>
      <c r="N6" s="6">
        <v>180</v>
      </c>
      <c r="O6" s="6">
        <v>180</v>
      </c>
      <c r="P6" s="6">
        <v>180</v>
      </c>
      <c r="Q6" s="6">
        <v>139</v>
      </c>
      <c r="R6" s="6">
        <v>90</v>
      </c>
      <c r="S6" s="6">
        <v>149</v>
      </c>
      <c r="T6" s="7">
        <v>116</v>
      </c>
      <c r="U6" s="83"/>
      <c r="V6" s="2">
        <v>1</v>
      </c>
      <c r="W6" s="3">
        <v>4</v>
      </c>
      <c r="X6" s="3">
        <v>3</v>
      </c>
      <c r="Y6" s="3">
        <v>4</v>
      </c>
      <c r="Z6" s="3">
        <v>2</v>
      </c>
      <c r="AA6" s="3">
        <v>2</v>
      </c>
      <c r="AB6" s="3">
        <v>4</v>
      </c>
      <c r="AC6" s="3">
        <v>3</v>
      </c>
      <c r="AD6" s="3">
        <v>4</v>
      </c>
      <c r="AF6" s="2">
        <v>1</v>
      </c>
      <c r="AG6" s="3">
        <v>4</v>
      </c>
      <c r="AH6" s="3">
        <v>2</v>
      </c>
      <c r="AI6" s="3">
        <v>4</v>
      </c>
      <c r="AJ6" s="3">
        <v>2</v>
      </c>
      <c r="AK6" s="3">
        <v>3</v>
      </c>
      <c r="AL6" s="3">
        <v>2</v>
      </c>
      <c r="AM6" s="3">
        <v>5</v>
      </c>
      <c r="AN6" s="3">
        <v>2</v>
      </c>
      <c r="AO6" s="21">
        <v>4</v>
      </c>
      <c r="AP6" s="21">
        <v>3</v>
      </c>
      <c r="AQ6" s="21">
        <f t="shared" ref="AQ6:AQ29" si="0">((AG6-1)+(5-AH6)+(AI6-1)+(5-AJ6)+(AK6-1)+(5-AL6)+(AM6-1)+(5-AN6)+(AO6-1)+(5-AP6))*2.5</f>
        <v>72.5</v>
      </c>
      <c r="AR6" s="21"/>
      <c r="AS6" s="9">
        <v>1</v>
      </c>
      <c r="AT6" s="33">
        <v>1</v>
      </c>
      <c r="AU6" s="33">
        <v>0</v>
      </c>
      <c r="AV6" s="33">
        <v>0</v>
      </c>
      <c r="AW6" s="33">
        <v>0</v>
      </c>
      <c r="AX6" s="33">
        <v>0</v>
      </c>
      <c r="AY6" s="33">
        <v>0</v>
      </c>
      <c r="AZ6" s="33">
        <v>0</v>
      </c>
      <c r="BA6" s="38">
        <v>1</v>
      </c>
      <c r="BC6" s="9">
        <v>1</v>
      </c>
      <c r="BD6" s="6">
        <v>213</v>
      </c>
      <c r="BE6" s="6">
        <v>180</v>
      </c>
      <c r="BF6" s="6">
        <v>180</v>
      </c>
      <c r="BG6" s="6">
        <v>151</v>
      </c>
      <c r="BH6" s="6">
        <v>161</v>
      </c>
      <c r="BI6" s="27">
        <v>180</v>
      </c>
      <c r="BJ6" s="6">
        <v>169</v>
      </c>
      <c r="BK6" s="7">
        <v>180</v>
      </c>
      <c r="BM6" s="2">
        <v>1</v>
      </c>
      <c r="BN6" s="3">
        <v>4</v>
      </c>
      <c r="BO6" s="3">
        <v>1</v>
      </c>
      <c r="BP6" s="3">
        <v>1</v>
      </c>
      <c r="BQ6" s="3">
        <v>1</v>
      </c>
      <c r="BR6" s="3">
        <v>2</v>
      </c>
      <c r="BS6" s="3">
        <v>1</v>
      </c>
      <c r="BT6" s="3">
        <v>2</v>
      </c>
      <c r="BU6" s="3">
        <v>2</v>
      </c>
      <c r="BW6" s="2">
        <v>1</v>
      </c>
      <c r="BX6" s="3">
        <v>4</v>
      </c>
      <c r="BY6" s="3">
        <v>3</v>
      </c>
      <c r="BZ6" s="3">
        <v>2</v>
      </c>
      <c r="CA6" s="3">
        <v>2</v>
      </c>
      <c r="CB6" s="3">
        <v>1</v>
      </c>
      <c r="CC6" s="3">
        <v>2</v>
      </c>
      <c r="CD6" s="3">
        <v>1</v>
      </c>
      <c r="CE6" s="3">
        <v>2</v>
      </c>
      <c r="CF6" s="21">
        <v>1</v>
      </c>
      <c r="CG6" s="21">
        <v>5</v>
      </c>
      <c r="CH6" s="21">
        <f t="shared" ref="CH6:CH38" si="1">((BX6-1)+(5-BY6)+(BZ6-1)+(5-CA6)+(CB6-1)+(5-CC6)+(CD6-1)+(5-CE6)+(CF6-1)+(5-CG6))*2.5</f>
        <v>37.5</v>
      </c>
      <c r="CJ6" s="9">
        <v>1</v>
      </c>
      <c r="CK6" s="33">
        <v>0</v>
      </c>
      <c r="CL6" s="33">
        <v>0</v>
      </c>
      <c r="CM6" s="33">
        <v>0</v>
      </c>
      <c r="CN6" s="33">
        <v>1</v>
      </c>
      <c r="CO6" s="33">
        <v>0</v>
      </c>
      <c r="CP6" s="33">
        <v>0</v>
      </c>
      <c r="CQ6" s="33">
        <v>0</v>
      </c>
      <c r="CR6" s="34">
        <v>0</v>
      </c>
      <c r="CS6" s="84"/>
      <c r="CT6" s="9">
        <v>1</v>
      </c>
      <c r="CU6" s="6">
        <v>180</v>
      </c>
      <c r="CV6" s="6">
        <v>141</v>
      </c>
      <c r="CW6" s="6">
        <v>139</v>
      </c>
      <c r="CX6" s="6">
        <v>96</v>
      </c>
      <c r="CY6" s="6">
        <v>180</v>
      </c>
      <c r="CZ6" s="6">
        <v>129</v>
      </c>
      <c r="DA6" s="6">
        <v>164</v>
      </c>
      <c r="DB6" s="7">
        <v>180</v>
      </c>
      <c r="DD6" s="2">
        <v>1</v>
      </c>
      <c r="DE6" s="3">
        <v>1</v>
      </c>
      <c r="DF6" s="3">
        <v>3</v>
      </c>
      <c r="DG6" s="3">
        <v>2</v>
      </c>
      <c r="DH6" s="3">
        <v>3</v>
      </c>
      <c r="DI6" s="3">
        <v>1</v>
      </c>
      <c r="DJ6" s="3">
        <v>1</v>
      </c>
      <c r="DK6" s="3">
        <v>1</v>
      </c>
      <c r="DL6" s="3">
        <v>1</v>
      </c>
      <c r="DN6" s="2">
        <v>1</v>
      </c>
      <c r="DO6" s="3">
        <v>5</v>
      </c>
      <c r="DP6" s="3">
        <v>4</v>
      </c>
      <c r="DQ6" s="3">
        <v>1</v>
      </c>
      <c r="DR6" s="3">
        <v>2</v>
      </c>
      <c r="DS6" s="3">
        <v>2</v>
      </c>
      <c r="DT6" s="3">
        <v>2</v>
      </c>
      <c r="DU6" s="3">
        <v>2</v>
      </c>
      <c r="DV6" s="3">
        <v>2</v>
      </c>
      <c r="DW6" s="21">
        <v>2</v>
      </c>
      <c r="DX6" s="21">
        <v>5</v>
      </c>
      <c r="DY6" s="21">
        <f t="shared" ref="DY6:DY36" si="2">((DO6-1)+(5-DP6)+(DQ6-1)+(5-DR6)+(DS6-1)+(5-DT6)+(DU6-1)+(5-DV6)+(DW6-1)+(5-DX6))*2.5</f>
        <v>42.5</v>
      </c>
      <c r="DZ6" s="21"/>
    </row>
    <row r="7" spans="1:130">
      <c r="B7" s="9">
        <v>2</v>
      </c>
      <c r="C7" s="36">
        <v>0.25</v>
      </c>
      <c r="D7" s="33">
        <v>0.25</v>
      </c>
      <c r="E7" s="33">
        <v>0.25</v>
      </c>
      <c r="F7" s="33">
        <v>1</v>
      </c>
      <c r="G7" s="33">
        <v>1</v>
      </c>
      <c r="H7" s="33">
        <v>1</v>
      </c>
      <c r="I7" s="33">
        <v>1</v>
      </c>
      <c r="J7" s="34">
        <v>1</v>
      </c>
      <c r="L7" s="9">
        <v>2</v>
      </c>
      <c r="M7" s="6">
        <v>300</v>
      </c>
      <c r="N7" s="6">
        <v>180</v>
      </c>
      <c r="O7" s="6">
        <v>180</v>
      </c>
      <c r="P7" s="6">
        <v>177</v>
      </c>
      <c r="Q7" s="6">
        <v>83</v>
      </c>
      <c r="R7" s="6">
        <v>53</v>
      </c>
      <c r="S7" s="6">
        <v>79</v>
      </c>
      <c r="T7" s="7">
        <v>54</v>
      </c>
      <c r="U7" s="83"/>
      <c r="V7" s="2">
        <v>2</v>
      </c>
      <c r="W7" s="3">
        <v>3</v>
      </c>
      <c r="X7" s="3">
        <v>3</v>
      </c>
      <c r="Y7" s="3">
        <v>3</v>
      </c>
      <c r="Z7" s="3">
        <v>3</v>
      </c>
      <c r="AA7" s="3">
        <v>4</v>
      </c>
      <c r="AB7" s="3">
        <v>4</v>
      </c>
      <c r="AC7" s="3">
        <v>4</v>
      </c>
      <c r="AD7" s="3">
        <v>4</v>
      </c>
      <c r="AF7" s="2">
        <v>2</v>
      </c>
      <c r="AG7" s="3">
        <v>4</v>
      </c>
      <c r="AH7" s="3">
        <v>2</v>
      </c>
      <c r="AI7" s="3">
        <v>4</v>
      </c>
      <c r="AJ7" s="3">
        <v>1</v>
      </c>
      <c r="AK7" s="3">
        <v>4</v>
      </c>
      <c r="AL7" s="3">
        <v>4</v>
      </c>
      <c r="AM7" s="3">
        <v>3</v>
      </c>
      <c r="AN7" s="3">
        <v>2</v>
      </c>
      <c r="AO7" s="3">
        <v>4</v>
      </c>
      <c r="AP7" s="3">
        <v>2</v>
      </c>
      <c r="AQ7" s="3">
        <f t="shared" si="0"/>
        <v>70</v>
      </c>
      <c r="AR7" s="3"/>
      <c r="AS7" s="9">
        <v>2</v>
      </c>
      <c r="AT7" s="33">
        <v>0</v>
      </c>
      <c r="AU7" s="33">
        <v>0</v>
      </c>
      <c r="AV7" s="33">
        <v>0</v>
      </c>
      <c r="AW7" s="33">
        <v>0</v>
      </c>
      <c r="AX7" s="33">
        <v>1</v>
      </c>
      <c r="AY7" s="33">
        <v>0</v>
      </c>
      <c r="AZ7" s="33">
        <v>0.25</v>
      </c>
      <c r="BA7" s="34">
        <v>1</v>
      </c>
      <c r="BC7" s="9">
        <v>2</v>
      </c>
      <c r="BD7" s="26">
        <v>300</v>
      </c>
      <c r="BE7" s="6">
        <v>180</v>
      </c>
      <c r="BF7" s="6">
        <v>180</v>
      </c>
      <c r="BG7" s="6">
        <v>180</v>
      </c>
      <c r="BH7" s="6">
        <v>169</v>
      </c>
      <c r="BI7" s="6">
        <v>177</v>
      </c>
      <c r="BJ7" s="6">
        <v>180</v>
      </c>
      <c r="BK7" s="7">
        <v>83</v>
      </c>
      <c r="BM7" s="2">
        <v>2</v>
      </c>
      <c r="BN7" s="3">
        <v>3</v>
      </c>
      <c r="BO7" s="3">
        <v>2</v>
      </c>
      <c r="BP7" s="3">
        <v>2</v>
      </c>
      <c r="BQ7" s="3">
        <v>1</v>
      </c>
      <c r="BR7" s="3">
        <v>4</v>
      </c>
      <c r="BS7" s="3">
        <v>1</v>
      </c>
      <c r="BT7" s="3">
        <v>2</v>
      </c>
      <c r="BU7" s="3">
        <v>2</v>
      </c>
      <c r="BW7" s="2">
        <v>2</v>
      </c>
      <c r="BX7" s="3">
        <v>1</v>
      </c>
      <c r="BY7" s="3">
        <v>1</v>
      </c>
      <c r="BZ7" s="3">
        <v>1</v>
      </c>
      <c r="CA7" s="3">
        <v>3</v>
      </c>
      <c r="CB7" s="3">
        <v>1</v>
      </c>
      <c r="CC7" s="3">
        <v>5</v>
      </c>
      <c r="CD7" s="3">
        <v>1</v>
      </c>
      <c r="CE7" s="3">
        <v>5</v>
      </c>
      <c r="CF7" s="3">
        <v>2</v>
      </c>
      <c r="CG7" s="3">
        <v>5</v>
      </c>
      <c r="CH7" s="21">
        <f t="shared" si="1"/>
        <v>17.5</v>
      </c>
      <c r="CJ7" s="9">
        <v>2</v>
      </c>
      <c r="CK7" s="33">
        <v>0</v>
      </c>
      <c r="CL7" s="33">
        <v>0.25</v>
      </c>
      <c r="CM7" s="33">
        <v>0.25</v>
      </c>
      <c r="CN7" s="33">
        <v>1</v>
      </c>
      <c r="CO7" s="33">
        <v>0</v>
      </c>
      <c r="CP7" s="33">
        <v>0</v>
      </c>
      <c r="CQ7" s="33">
        <v>1</v>
      </c>
      <c r="CR7" s="34">
        <v>1</v>
      </c>
      <c r="CS7" s="84"/>
      <c r="CT7" s="9">
        <v>2</v>
      </c>
      <c r="CU7" s="6">
        <v>300</v>
      </c>
      <c r="CV7" s="6">
        <v>180</v>
      </c>
      <c r="CW7" s="6">
        <v>180</v>
      </c>
      <c r="CX7" s="6">
        <v>180</v>
      </c>
      <c r="CY7" s="6">
        <v>180</v>
      </c>
      <c r="CZ7" s="6">
        <v>180</v>
      </c>
      <c r="DA7" s="6">
        <v>180</v>
      </c>
      <c r="DB7" s="7">
        <v>85</v>
      </c>
      <c r="DD7" s="2">
        <v>2</v>
      </c>
      <c r="DE7" s="3">
        <v>1</v>
      </c>
      <c r="DF7" s="3">
        <v>2</v>
      </c>
      <c r="DG7" s="3">
        <v>2</v>
      </c>
      <c r="DH7" s="3">
        <v>2</v>
      </c>
      <c r="DI7" s="3">
        <v>3</v>
      </c>
      <c r="DJ7" s="3">
        <v>2</v>
      </c>
      <c r="DK7" s="3">
        <v>3</v>
      </c>
      <c r="DL7" s="3">
        <v>4</v>
      </c>
      <c r="DN7" s="2">
        <v>2</v>
      </c>
      <c r="DO7" s="3">
        <v>3</v>
      </c>
      <c r="DP7" s="3">
        <v>4</v>
      </c>
      <c r="DQ7" s="3">
        <v>2</v>
      </c>
      <c r="DR7" s="3">
        <v>1</v>
      </c>
      <c r="DS7" s="3">
        <v>3</v>
      </c>
      <c r="DT7" s="3">
        <v>3</v>
      </c>
      <c r="DU7" s="3">
        <v>2</v>
      </c>
      <c r="DV7" s="3">
        <v>3</v>
      </c>
      <c r="DW7" s="3">
        <v>2</v>
      </c>
      <c r="DX7" s="3">
        <v>3</v>
      </c>
      <c r="DY7" s="3">
        <f t="shared" si="2"/>
        <v>45</v>
      </c>
      <c r="DZ7" s="3"/>
    </row>
    <row r="8" spans="1:130">
      <c r="B8" s="9">
        <v>3</v>
      </c>
      <c r="C8" s="33">
        <v>0</v>
      </c>
      <c r="D8" s="33">
        <v>0</v>
      </c>
      <c r="E8" s="33">
        <v>0</v>
      </c>
      <c r="F8" s="33">
        <v>0</v>
      </c>
      <c r="G8" s="33">
        <v>1</v>
      </c>
      <c r="H8" s="33">
        <v>0.25</v>
      </c>
      <c r="I8" s="33">
        <v>0.25</v>
      </c>
      <c r="J8" s="34">
        <v>0</v>
      </c>
      <c r="L8" s="9">
        <v>3</v>
      </c>
      <c r="M8" s="6">
        <v>300</v>
      </c>
      <c r="N8" s="6">
        <v>108</v>
      </c>
      <c r="O8" s="6">
        <v>163</v>
      </c>
      <c r="P8" s="6">
        <v>156</v>
      </c>
      <c r="Q8" s="6">
        <v>120</v>
      </c>
      <c r="R8" s="6">
        <v>40</v>
      </c>
      <c r="S8" s="6">
        <v>48</v>
      </c>
      <c r="T8" s="7">
        <v>132</v>
      </c>
      <c r="U8" s="83"/>
      <c r="V8" s="2">
        <v>3</v>
      </c>
      <c r="W8" s="3">
        <v>1</v>
      </c>
      <c r="X8" s="3">
        <v>1</v>
      </c>
      <c r="Y8" s="3">
        <v>1</v>
      </c>
      <c r="Z8" s="3">
        <v>1</v>
      </c>
      <c r="AA8" s="3">
        <v>3</v>
      </c>
      <c r="AB8" s="3">
        <v>4</v>
      </c>
      <c r="AC8" s="3">
        <v>5</v>
      </c>
      <c r="AD8" s="3">
        <v>1</v>
      </c>
      <c r="AF8" s="2">
        <v>3</v>
      </c>
      <c r="AG8" s="3">
        <v>2</v>
      </c>
      <c r="AH8" s="3">
        <v>4</v>
      </c>
      <c r="AI8" s="3">
        <v>2</v>
      </c>
      <c r="AJ8" s="3">
        <v>4</v>
      </c>
      <c r="AK8" s="3">
        <v>1</v>
      </c>
      <c r="AL8" s="3">
        <v>5</v>
      </c>
      <c r="AM8" s="3">
        <v>1</v>
      </c>
      <c r="AN8" s="3">
        <v>4</v>
      </c>
      <c r="AO8" s="3">
        <v>2</v>
      </c>
      <c r="AP8" s="3">
        <v>4</v>
      </c>
      <c r="AQ8" s="3">
        <f t="shared" si="0"/>
        <v>17.5</v>
      </c>
      <c r="AR8" s="3"/>
      <c r="AS8" s="9">
        <v>3</v>
      </c>
      <c r="AT8" s="33">
        <v>1</v>
      </c>
      <c r="AU8" s="33">
        <v>0</v>
      </c>
      <c r="AV8" s="33">
        <v>0</v>
      </c>
      <c r="AW8" s="33">
        <v>0</v>
      </c>
      <c r="AX8" s="33">
        <v>0</v>
      </c>
      <c r="AY8" s="33">
        <v>0</v>
      </c>
      <c r="AZ8" s="33">
        <v>0.25</v>
      </c>
      <c r="BA8" s="34">
        <v>0</v>
      </c>
      <c r="BC8" s="9">
        <v>3</v>
      </c>
      <c r="BD8" s="6">
        <v>266</v>
      </c>
      <c r="BE8" s="6">
        <v>120</v>
      </c>
      <c r="BF8" s="6">
        <v>127</v>
      </c>
      <c r="BG8" s="6">
        <v>91</v>
      </c>
      <c r="BH8" s="6">
        <v>100</v>
      </c>
      <c r="BI8" s="6">
        <v>102</v>
      </c>
      <c r="BJ8" s="6">
        <v>90</v>
      </c>
      <c r="BK8" s="7">
        <v>180</v>
      </c>
      <c r="BM8" s="2">
        <v>3</v>
      </c>
      <c r="BN8" s="3">
        <v>4</v>
      </c>
      <c r="BO8" s="3">
        <v>1</v>
      </c>
      <c r="BP8" s="3">
        <v>1</v>
      </c>
      <c r="BQ8" s="3">
        <v>1</v>
      </c>
      <c r="BR8" s="3">
        <v>1</v>
      </c>
      <c r="BS8" s="3">
        <v>1</v>
      </c>
      <c r="BT8" s="3">
        <v>3</v>
      </c>
      <c r="BU8" s="3">
        <v>1</v>
      </c>
      <c r="BW8" s="2">
        <v>3</v>
      </c>
      <c r="BX8" s="3">
        <v>2</v>
      </c>
      <c r="BY8" s="3">
        <v>5</v>
      </c>
      <c r="BZ8" s="3">
        <v>1</v>
      </c>
      <c r="CA8" s="3">
        <v>5</v>
      </c>
      <c r="CB8" s="3">
        <v>3</v>
      </c>
      <c r="CC8" s="3">
        <v>4</v>
      </c>
      <c r="CD8" s="3">
        <v>1</v>
      </c>
      <c r="CE8" s="3">
        <v>1</v>
      </c>
      <c r="CF8" s="3">
        <v>1</v>
      </c>
      <c r="CG8" s="3">
        <v>5</v>
      </c>
      <c r="CH8" s="3">
        <f t="shared" si="1"/>
        <v>20</v>
      </c>
      <c r="CJ8" s="9">
        <v>3</v>
      </c>
      <c r="CK8" s="33">
        <v>0</v>
      </c>
      <c r="CL8" s="33">
        <v>0</v>
      </c>
      <c r="CM8" s="33">
        <v>0.25</v>
      </c>
      <c r="CN8" s="33">
        <v>0.25</v>
      </c>
      <c r="CO8" s="33">
        <v>0</v>
      </c>
      <c r="CP8" s="33">
        <v>0.25</v>
      </c>
      <c r="CQ8" s="33">
        <v>0</v>
      </c>
      <c r="CR8" s="34">
        <v>1</v>
      </c>
      <c r="CS8" s="84"/>
      <c r="CT8" s="9">
        <v>3</v>
      </c>
      <c r="CU8" s="6">
        <v>300</v>
      </c>
      <c r="CV8" s="6">
        <v>180</v>
      </c>
      <c r="CW8" s="6">
        <v>180</v>
      </c>
      <c r="CX8" s="6">
        <v>107</v>
      </c>
      <c r="CY8" s="6">
        <v>180</v>
      </c>
      <c r="CZ8" s="6">
        <v>144</v>
      </c>
      <c r="DA8" s="6">
        <v>90</v>
      </c>
      <c r="DB8" s="7">
        <v>84</v>
      </c>
      <c r="DD8" s="2">
        <v>3</v>
      </c>
      <c r="DE8" s="3">
        <v>1</v>
      </c>
      <c r="DF8" s="3">
        <v>2</v>
      </c>
      <c r="DG8" s="3">
        <v>4</v>
      </c>
      <c r="DH8" s="3">
        <v>4</v>
      </c>
      <c r="DI8" s="3">
        <v>1</v>
      </c>
      <c r="DJ8" s="3">
        <v>3</v>
      </c>
      <c r="DK8" s="3">
        <v>1</v>
      </c>
      <c r="DL8" s="3">
        <v>4</v>
      </c>
      <c r="DN8" s="2">
        <v>3</v>
      </c>
      <c r="DO8" s="3">
        <v>3</v>
      </c>
      <c r="DP8" s="3">
        <v>3</v>
      </c>
      <c r="DQ8" s="3">
        <v>4</v>
      </c>
      <c r="DR8" s="3">
        <v>3</v>
      </c>
      <c r="DS8" s="3">
        <v>3</v>
      </c>
      <c r="DT8" s="3">
        <v>2</v>
      </c>
      <c r="DU8" s="3">
        <v>2</v>
      </c>
      <c r="DV8" s="3">
        <v>3</v>
      </c>
      <c r="DW8" s="3">
        <v>2</v>
      </c>
      <c r="DX8" s="3">
        <v>4</v>
      </c>
      <c r="DY8" s="3">
        <f t="shared" si="2"/>
        <v>47.5</v>
      </c>
      <c r="DZ8" s="3"/>
    </row>
    <row r="9" spans="1:130">
      <c r="B9" s="9">
        <v>4</v>
      </c>
      <c r="C9" s="33">
        <v>0</v>
      </c>
      <c r="D9" s="33">
        <v>0</v>
      </c>
      <c r="E9" s="33">
        <v>0</v>
      </c>
      <c r="F9" s="33">
        <v>1</v>
      </c>
      <c r="G9" s="33">
        <v>0</v>
      </c>
      <c r="H9" s="33">
        <v>0.25</v>
      </c>
      <c r="I9" s="33">
        <v>0</v>
      </c>
      <c r="J9" s="34">
        <v>0.25</v>
      </c>
      <c r="L9" s="9">
        <v>4</v>
      </c>
      <c r="M9" s="6">
        <v>222</v>
      </c>
      <c r="N9" s="6">
        <v>170</v>
      </c>
      <c r="O9" s="6">
        <v>90</v>
      </c>
      <c r="P9" s="6">
        <v>138</v>
      </c>
      <c r="Q9" s="6">
        <v>52</v>
      </c>
      <c r="R9" s="6">
        <v>51</v>
      </c>
      <c r="S9" s="6">
        <v>93</v>
      </c>
      <c r="T9" s="7">
        <v>137</v>
      </c>
      <c r="U9" s="83"/>
      <c r="V9" s="2">
        <v>4</v>
      </c>
      <c r="W9" s="3">
        <v>2</v>
      </c>
      <c r="X9" s="3">
        <v>1</v>
      </c>
      <c r="Y9" s="3">
        <v>1</v>
      </c>
      <c r="Z9" s="3">
        <v>1</v>
      </c>
      <c r="AA9" s="3">
        <v>3</v>
      </c>
      <c r="AB9" s="3">
        <v>3</v>
      </c>
      <c r="AC9" s="3">
        <v>1</v>
      </c>
      <c r="AD9" s="3">
        <v>1</v>
      </c>
      <c r="AF9" s="2">
        <v>4</v>
      </c>
      <c r="AG9" s="3">
        <v>1</v>
      </c>
      <c r="AH9" s="3">
        <v>5</v>
      </c>
      <c r="AI9" s="3">
        <v>1</v>
      </c>
      <c r="AJ9" s="3">
        <v>5</v>
      </c>
      <c r="AK9" s="3">
        <v>1</v>
      </c>
      <c r="AL9" s="3">
        <v>5</v>
      </c>
      <c r="AM9" s="3">
        <v>1</v>
      </c>
      <c r="AN9" s="3">
        <v>5</v>
      </c>
      <c r="AO9" s="3">
        <v>1</v>
      </c>
      <c r="AP9" s="3">
        <v>5</v>
      </c>
      <c r="AQ9" s="3">
        <f t="shared" si="0"/>
        <v>0</v>
      </c>
      <c r="AR9" s="3"/>
      <c r="AS9" s="9">
        <v>4</v>
      </c>
      <c r="AT9" s="33">
        <v>0</v>
      </c>
      <c r="AU9" s="33">
        <v>0</v>
      </c>
      <c r="AV9" s="33">
        <v>0.25</v>
      </c>
      <c r="AW9" s="33">
        <v>0</v>
      </c>
      <c r="AX9" s="33">
        <v>0</v>
      </c>
      <c r="AY9" s="33">
        <v>0</v>
      </c>
      <c r="AZ9" s="33">
        <v>0</v>
      </c>
      <c r="BA9" s="34">
        <v>0</v>
      </c>
      <c r="BC9" s="9">
        <v>4</v>
      </c>
      <c r="BD9" s="6">
        <v>288</v>
      </c>
      <c r="BE9" s="6">
        <v>180</v>
      </c>
      <c r="BF9" s="6">
        <v>143</v>
      </c>
      <c r="BG9" s="6">
        <v>102</v>
      </c>
      <c r="BH9" s="6">
        <v>180</v>
      </c>
      <c r="BI9" s="6">
        <v>87</v>
      </c>
      <c r="BJ9" s="6">
        <v>104</v>
      </c>
      <c r="BK9" s="7">
        <v>180</v>
      </c>
      <c r="BM9" s="2">
        <v>4</v>
      </c>
      <c r="BN9" s="3">
        <v>2</v>
      </c>
      <c r="BO9" s="3">
        <v>2</v>
      </c>
      <c r="BP9" s="3">
        <v>4</v>
      </c>
      <c r="BQ9" s="3">
        <v>1</v>
      </c>
      <c r="BR9" s="3">
        <v>2</v>
      </c>
      <c r="BS9" s="3">
        <v>1</v>
      </c>
      <c r="BT9" s="3">
        <v>1</v>
      </c>
      <c r="BU9" s="3">
        <v>1</v>
      </c>
      <c r="BW9" s="2">
        <v>4</v>
      </c>
      <c r="BX9" s="3">
        <v>1</v>
      </c>
      <c r="BY9" s="3">
        <v>5</v>
      </c>
      <c r="BZ9" s="3">
        <v>1</v>
      </c>
      <c r="CA9" s="3">
        <v>5</v>
      </c>
      <c r="CB9" s="3">
        <v>1</v>
      </c>
      <c r="CC9" s="3">
        <v>5</v>
      </c>
      <c r="CD9" s="3">
        <v>1</v>
      </c>
      <c r="CE9" s="3">
        <v>5</v>
      </c>
      <c r="CF9" s="3">
        <v>1</v>
      </c>
      <c r="CG9" s="3">
        <v>5</v>
      </c>
      <c r="CH9" s="3">
        <f t="shared" si="1"/>
        <v>0</v>
      </c>
      <c r="CJ9" s="9">
        <v>4</v>
      </c>
      <c r="CK9" s="33">
        <v>0</v>
      </c>
      <c r="CL9" s="33">
        <v>0</v>
      </c>
      <c r="CM9" s="33">
        <v>0</v>
      </c>
      <c r="CN9" s="33">
        <v>0</v>
      </c>
      <c r="CO9" s="33">
        <v>0</v>
      </c>
      <c r="CP9" s="33">
        <v>1</v>
      </c>
      <c r="CQ9" s="33">
        <v>0</v>
      </c>
      <c r="CR9" s="34">
        <v>1</v>
      </c>
      <c r="CS9" s="84"/>
      <c r="CT9" s="9">
        <v>4</v>
      </c>
      <c r="CU9" s="6">
        <v>262</v>
      </c>
      <c r="CV9" s="6">
        <v>180</v>
      </c>
      <c r="CW9" s="6">
        <v>103</v>
      </c>
      <c r="CX9" s="6">
        <v>130</v>
      </c>
      <c r="CY9" s="6">
        <v>68</v>
      </c>
      <c r="CZ9" s="6">
        <v>105</v>
      </c>
      <c r="DA9" s="6">
        <v>94</v>
      </c>
      <c r="DB9" s="7">
        <v>110</v>
      </c>
      <c r="DD9" s="2">
        <v>4</v>
      </c>
      <c r="DE9" s="3">
        <v>1</v>
      </c>
      <c r="DF9" s="3">
        <v>1</v>
      </c>
      <c r="DG9" s="3">
        <v>1</v>
      </c>
      <c r="DH9" s="3">
        <v>1</v>
      </c>
      <c r="DI9" s="3">
        <v>1</v>
      </c>
      <c r="DJ9" s="3">
        <v>3</v>
      </c>
      <c r="DK9" s="3">
        <v>1</v>
      </c>
      <c r="DL9" s="3">
        <v>5</v>
      </c>
      <c r="DN9" s="2">
        <v>4</v>
      </c>
      <c r="DO9" s="3">
        <v>1</v>
      </c>
      <c r="DP9" s="3">
        <v>4</v>
      </c>
      <c r="DQ9" s="3">
        <v>1</v>
      </c>
      <c r="DR9" s="3">
        <v>5</v>
      </c>
      <c r="DS9" s="3">
        <v>2</v>
      </c>
      <c r="DT9" s="3">
        <v>4</v>
      </c>
      <c r="DU9" s="3">
        <v>1</v>
      </c>
      <c r="DV9" s="3">
        <v>5</v>
      </c>
      <c r="DW9" s="3">
        <v>1</v>
      </c>
      <c r="DX9" s="3">
        <v>5</v>
      </c>
      <c r="DY9" s="3">
        <f t="shared" si="2"/>
        <v>7.5</v>
      </c>
      <c r="DZ9" s="3"/>
    </row>
    <row r="10" spans="1:130">
      <c r="B10" s="9">
        <v>5</v>
      </c>
      <c r="C10" s="33">
        <v>0</v>
      </c>
      <c r="D10" s="33">
        <v>0</v>
      </c>
      <c r="E10" s="33">
        <v>0</v>
      </c>
      <c r="F10" s="33">
        <v>0</v>
      </c>
      <c r="G10" s="33">
        <v>0</v>
      </c>
      <c r="H10" s="33">
        <v>1</v>
      </c>
      <c r="I10" s="33">
        <v>1</v>
      </c>
      <c r="J10" s="34">
        <v>0.25</v>
      </c>
      <c r="L10" s="9">
        <v>5</v>
      </c>
      <c r="M10" s="6">
        <v>113</v>
      </c>
      <c r="N10" s="6">
        <v>108</v>
      </c>
      <c r="O10" s="6">
        <v>47</v>
      </c>
      <c r="P10" s="6">
        <v>54</v>
      </c>
      <c r="Q10" s="6">
        <v>56</v>
      </c>
      <c r="R10" s="6">
        <v>32</v>
      </c>
      <c r="S10" s="6">
        <v>53</v>
      </c>
      <c r="T10" s="7">
        <v>14</v>
      </c>
      <c r="U10" s="83"/>
      <c r="V10" s="2">
        <v>5</v>
      </c>
      <c r="W10" s="3">
        <v>2</v>
      </c>
      <c r="X10" s="3">
        <v>3</v>
      </c>
      <c r="Y10" s="3">
        <v>4</v>
      </c>
      <c r="Z10" s="3">
        <v>3</v>
      </c>
      <c r="AA10" s="3">
        <v>2</v>
      </c>
      <c r="AB10" s="3">
        <v>5</v>
      </c>
      <c r="AC10" s="3">
        <v>3</v>
      </c>
      <c r="AD10" s="3">
        <v>5</v>
      </c>
      <c r="AF10" s="2">
        <v>5</v>
      </c>
      <c r="AG10" s="3">
        <v>3</v>
      </c>
      <c r="AH10" s="3">
        <v>2</v>
      </c>
      <c r="AI10" s="3">
        <v>3</v>
      </c>
      <c r="AJ10" s="3">
        <v>5</v>
      </c>
      <c r="AK10" s="3">
        <v>3</v>
      </c>
      <c r="AL10" s="3">
        <v>3</v>
      </c>
      <c r="AM10" s="3">
        <v>4</v>
      </c>
      <c r="AN10" s="3">
        <v>4</v>
      </c>
      <c r="AO10" s="3">
        <v>3</v>
      </c>
      <c r="AP10" s="3">
        <v>5</v>
      </c>
      <c r="AQ10" s="3">
        <f t="shared" si="0"/>
        <v>42.5</v>
      </c>
      <c r="AR10" s="3"/>
      <c r="AS10" s="9">
        <v>5</v>
      </c>
      <c r="AT10" s="33">
        <v>0</v>
      </c>
      <c r="AU10" s="33">
        <v>0</v>
      </c>
      <c r="AV10" s="33">
        <v>0</v>
      </c>
      <c r="AW10" s="33">
        <v>0</v>
      </c>
      <c r="AX10" s="33">
        <v>0</v>
      </c>
      <c r="AY10" s="33">
        <v>0</v>
      </c>
      <c r="AZ10" s="33">
        <v>0</v>
      </c>
      <c r="BA10" s="34">
        <v>0</v>
      </c>
      <c r="BC10" s="9">
        <v>5</v>
      </c>
      <c r="BD10" s="6">
        <v>112</v>
      </c>
      <c r="BE10" s="6">
        <v>58</v>
      </c>
      <c r="BF10" s="6">
        <v>61</v>
      </c>
      <c r="BG10" s="6">
        <v>49</v>
      </c>
      <c r="BH10" s="6">
        <v>46</v>
      </c>
      <c r="BI10" s="6">
        <v>68</v>
      </c>
      <c r="BJ10" s="6">
        <v>50</v>
      </c>
      <c r="BK10" s="7">
        <v>35</v>
      </c>
      <c r="BM10" s="2">
        <v>5</v>
      </c>
      <c r="BN10" s="3">
        <v>3</v>
      </c>
      <c r="BO10" s="3">
        <v>2</v>
      </c>
      <c r="BP10" s="3">
        <v>2</v>
      </c>
      <c r="BQ10" s="3">
        <v>1</v>
      </c>
      <c r="BR10" s="3">
        <v>2</v>
      </c>
      <c r="BS10" s="3">
        <v>2</v>
      </c>
      <c r="BT10" s="3">
        <v>2</v>
      </c>
      <c r="BU10" s="3">
        <v>2</v>
      </c>
      <c r="BW10" s="2">
        <v>5</v>
      </c>
      <c r="BX10" s="3">
        <v>2</v>
      </c>
      <c r="BY10" s="3">
        <v>2</v>
      </c>
      <c r="BZ10" s="3">
        <v>2</v>
      </c>
      <c r="CA10" s="3">
        <v>5</v>
      </c>
      <c r="CB10" s="3">
        <v>4</v>
      </c>
      <c r="CC10" s="3">
        <v>3</v>
      </c>
      <c r="CD10" s="3">
        <v>4</v>
      </c>
      <c r="CE10" s="3">
        <v>3</v>
      </c>
      <c r="CF10" s="3">
        <v>2</v>
      </c>
      <c r="CG10" s="3">
        <v>5</v>
      </c>
      <c r="CH10" s="3">
        <f t="shared" si="1"/>
        <v>40</v>
      </c>
      <c r="CJ10" s="9">
        <v>5</v>
      </c>
      <c r="CK10" s="33">
        <v>0</v>
      </c>
      <c r="CL10" s="33">
        <v>0</v>
      </c>
      <c r="CM10" s="33">
        <v>0</v>
      </c>
      <c r="CN10" s="33">
        <v>0</v>
      </c>
      <c r="CO10" s="33">
        <v>0</v>
      </c>
      <c r="CP10" s="33">
        <v>0.25</v>
      </c>
      <c r="CQ10" s="33">
        <v>0</v>
      </c>
      <c r="CR10" s="34">
        <v>0</v>
      </c>
      <c r="CS10" s="84"/>
      <c r="CT10" s="9">
        <v>5</v>
      </c>
      <c r="CU10" s="6">
        <v>89</v>
      </c>
      <c r="CV10" s="6">
        <v>40</v>
      </c>
      <c r="CW10" s="6">
        <v>56</v>
      </c>
      <c r="CX10" s="6">
        <v>46</v>
      </c>
      <c r="CY10" s="6">
        <v>25</v>
      </c>
      <c r="CZ10" s="6">
        <v>45</v>
      </c>
      <c r="DA10" s="6">
        <v>37</v>
      </c>
      <c r="DB10" s="7">
        <v>36</v>
      </c>
      <c r="DD10" s="2">
        <v>5</v>
      </c>
      <c r="DE10" s="3">
        <v>3</v>
      </c>
      <c r="DF10" s="3">
        <v>3</v>
      </c>
      <c r="DG10" s="3">
        <v>3</v>
      </c>
      <c r="DH10" s="3">
        <v>4</v>
      </c>
      <c r="DI10" s="3">
        <v>2</v>
      </c>
      <c r="DJ10" s="3">
        <v>4</v>
      </c>
      <c r="DK10" s="3">
        <v>1</v>
      </c>
      <c r="DL10" s="3">
        <v>1</v>
      </c>
      <c r="DN10" s="2">
        <v>5</v>
      </c>
      <c r="DO10" s="3">
        <v>3</v>
      </c>
      <c r="DP10" s="3">
        <v>4</v>
      </c>
      <c r="DQ10" s="3">
        <v>3</v>
      </c>
      <c r="DR10" s="3">
        <v>4</v>
      </c>
      <c r="DS10" s="3">
        <v>4</v>
      </c>
      <c r="DT10" s="3">
        <v>3</v>
      </c>
      <c r="DU10" s="3">
        <v>5</v>
      </c>
      <c r="DV10" s="3">
        <v>3</v>
      </c>
      <c r="DW10" s="3">
        <v>3</v>
      </c>
      <c r="DX10" s="3">
        <v>4</v>
      </c>
      <c r="DY10" s="3">
        <f t="shared" si="2"/>
        <v>50</v>
      </c>
      <c r="DZ10" s="3"/>
    </row>
    <row r="11" spans="1:130">
      <c r="B11" s="9">
        <v>6</v>
      </c>
      <c r="C11" s="33">
        <v>0</v>
      </c>
      <c r="D11" s="33">
        <v>0.25</v>
      </c>
      <c r="E11" s="33">
        <v>0.25</v>
      </c>
      <c r="F11" s="33">
        <v>0</v>
      </c>
      <c r="G11" s="33">
        <v>1</v>
      </c>
      <c r="H11" s="33">
        <v>1</v>
      </c>
      <c r="I11" s="33">
        <v>1</v>
      </c>
      <c r="J11" s="34">
        <v>0.25</v>
      </c>
      <c r="L11" s="9">
        <v>6</v>
      </c>
      <c r="M11" s="6">
        <v>300</v>
      </c>
      <c r="N11" s="6">
        <v>180</v>
      </c>
      <c r="O11" s="6">
        <v>51</v>
      </c>
      <c r="P11" s="6">
        <v>180</v>
      </c>
      <c r="Q11" s="6">
        <v>180</v>
      </c>
      <c r="R11" s="6">
        <v>180</v>
      </c>
      <c r="S11" s="6">
        <v>79</v>
      </c>
      <c r="T11" s="7">
        <v>36</v>
      </c>
      <c r="U11" s="83"/>
      <c r="V11" s="2">
        <v>6</v>
      </c>
      <c r="W11" s="3">
        <v>1</v>
      </c>
      <c r="X11" s="3">
        <v>2</v>
      </c>
      <c r="Y11" s="3">
        <v>3</v>
      </c>
      <c r="Z11" s="3">
        <v>1</v>
      </c>
      <c r="AA11" s="3">
        <v>4</v>
      </c>
      <c r="AB11" s="3">
        <v>4</v>
      </c>
      <c r="AC11" s="3">
        <v>1</v>
      </c>
      <c r="AD11" s="3">
        <v>4</v>
      </c>
      <c r="AF11" s="2">
        <v>6</v>
      </c>
      <c r="AG11" s="3">
        <v>3</v>
      </c>
      <c r="AH11" s="3">
        <v>5</v>
      </c>
      <c r="AI11" s="3">
        <v>1</v>
      </c>
      <c r="AJ11" s="3">
        <v>5</v>
      </c>
      <c r="AK11" s="3">
        <v>1</v>
      </c>
      <c r="AL11" s="3">
        <v>3</v>
      </c>
      <c r="AM11" s="3">
        <v>3</v>
      </c>
      <c r="AN11" s="3">
        <v>5</v>
      </c>
      <c r="AO11" s="3">
        <v>1</v>
      </c>
      <c r="AP11" s="3">
        <v>5</v>
      </c>
      <c r="AQ11" s="3">
        <f t="shared" si="0"/>
        <v>15</v>
      </c>
      <c r="AR11" s="3"/>
      <c r="AS11" s="9">
        <v>6</v>
      </c>
      <c r="AT11" s="33">
        <v>0.25</v>
      </c>
      <c r="AU11" s="33">
        <v>0.25</v>
      </c>
      <c r="AV11" s="33">
        <v>0.25</v>
      </c>
      <c r="AW11" s="33">
        <v>0</v>
      </c>
      <c r="AX11" s="33">
        <v>0.25</v>
      </c>
      <c r="AY11" s="33">
        <v>0</v>
      </c>
      <c r="AZ11" s="33">
        <v>0</v>
      </c>
      <c r="BA11" s="34">
        <v>1</v>
      </c>
      <c r="BC11" s="9">
        <v>6</v>
      </c>
      <c r="BD11" s="6">
        <v>300</v>
      </c>
      <c r="BE11" s="6">
        <v>155</v>
      </c>
      <c r="BF11" s="6">
        <v>61</v>
      </c>
      <c r="BG11" s="6">
        <v>66</v>
      </c>
      <c r="BH11" s="6">
        <v>95</v>
      </c>
      <c r="BI11" s="6">
        <v>84</v>
      </c>
      <c r="BJ11" s="6">
        <v>71</v>
      </c>
      <c r="BK11" s="7">
        <v>59</v>
      </c>
      <c r="BM11" s="2">
        <v>6</v>
      </c>
      <c r="BN11" s="3">
        <v>3</v>
      </c>
      <c r="BO11" s="3">
        <v>2</v>
      </c>
      <c r="BP11" s="3">
        <v>2</v>
      </c>
      <c r="BQ11" s="3">
        <v>1</v>
      </c>
      <c r="BR11" s="3">
        <v>3</v>
      </c>
      <c r="BS11" s="3">
        <v>1</v>
      </c>
      <c r="BT11" s="3">
        <v>1</v>
      </c>
      <c r="BU11" s="3">
        <v>3</v>
      </c>
      <c r="BW11" s="2">
        <v>6</v>
      </c>
      <c r="BX11" s="3">
        <v>3</v>
      </c>
      <c r="BY11" s="3">
        <v>3</v>
      </c>
      <c r="BZ11" s="3">
        <v>1</v>
      </c>
      <c r="CA11" s="3">
        <v>5</v>
      </c>
      <c r="CB11" s="3">
        <v>5</v>
      </c>
      <c r="CC11" s="3">
        <v>3</v>
      </c>
      <c r="CD11" s="3">
        <v>3</v>
      </c>
      <c r="CE11" s="3">
        <v>5</v>
      </c>
      <c r="CF11" s="3">
        <v>1</v>
      </c>
      <c r="CG11" s="3">
        <v>5</v>
      </c>
      <c r="CH11" s="3">
        <f t="shared" si="1"/>
        <v>30</v>
      </c>
      <c r="CJ11" s="9">
        <v>6</v>
      </c>
      <c r="CK11" s="33">
        <v>0</v>
      </c>
      <c r="CL11" s="33">
        <v>0</v>
      </c>
      <c r="CM11" s="33">
        <v>0</v>
      </c>
      <c r="CN11" s="33">
        <v>0</v>
      </c>
      <c r="CO11" s="33">
        <v>0.25</v>
      </c>
      <c r="CP11" s="33">
        <v>0</v>
      </c>
      <c r="CQ11" s="33">
        <v>0.25</v>
      </c>
      <c r="CR11" s="34">
        <v>0.25</v>
      </c>
      <c r="CS11" s="84"/>
      <c r="CT11" s="9">
        <v>6</v>
      </c>
      <c r="CU11" s="6">
        <v>78</v>
      </c>
      <c r="CV11" s="6">
        <v>73</v>
      </c>
      <c r="CW11" s="6">
        <v>153</v>
      </c>
      <c r="CX11" s="6">
        <v>35</v>
      </c>
      <c r="CY11" s="6">
        <v>35</v>
      </c>
      <c r="CZ11" s="6">
        <v>5</v>
      </c>
      <c r="DA11" s="6">
        <v>85</v>
      </c>
      <c r="DB11" s="7">
        <v>31</v>
      </c>
      <c r="DD11" s="2">
        <v>6</v>
      </c>
      <c r="DE11" s="3">
        <v>1</v>
      </c>
      <c r="DF11" s="3">
        <v>1</v>
      </c>
      <c r="DG11" s="3">
        <v>1</v>
      </c>
      <c r="DH11" s="3">
        <v>1</v>
      </c>
      <c r="DI11" s="3">
        <v>3</v>
      </c>
      <c r="DJ11" s="3">
        <v>1</v>
      </c>
      <c r="DK11" s="3">
        <v>3</v>
      </c>
      <c r="DL11" s="3">
        <v>4</v>
      </c>
      <c r="DN11" s="2">
        <v>6</v>
      </c>
      <c r="DO11" s="3">
        <v>3</v>
      </c>
      <c r="DP11" s="3">
        <v>3</v>
      </c>
      <c r="DQ11" s="3">
        <v>1</v>
      </c>
      <c r="DR11" s="3">
        <v>5</v>
      </c>
      <c r="DS11" s="3">
        <v>3</v>
      </c>
      <c r="DT11" s="3">
        <v>3</v>
      </c>
      <c r="DU11" s="3">
        <v>3</v>
      </c>
      <c r="DV11" s="3">
        <v>1</v>
      </c>
      <c r="DW11" s="3">
        <v>5</v>
      </c>
      <c r="DX11" s="3">
        <v>5</v>
      </c>
      <c r="DY11" s="3">
        <f t="shared" si="2"/>
        <v>45</v>
      </c>
      <c r="DZ11" s="3"/>
    </row>
    <row r="12" spans="1:130">
      <c r="B12" s="9">
        <v>7</v>
      </c>
      <c r="C12" s="33">
        <v>0.25</v>
      </c>
      <c r="D12" s="33">
        <v>0.25</v>
      </c>
      <c r="E12" s="33">
        <v>0</v>
      </c>
      <c r="F12" s="33">
        <v>0.25</v>
      </c>
      <c r="G12" s="33">
        <v>0.25</v>
      </c>
      <c r="H12" s="33">
        <v>1</v>
      </c>
      <c r="I12" s="33">
        <v>0</v>
      </c>
      <c r="J12" s="34">
        <v>0</v>
      </c>
      <c r="L12" s="9">
        <v>7</v>
      </c>
      <c r="M12" s="6">
        <v>300</v>
      </c>
      <c r="N12" s="6">
        <v>180</v>
      </c>
      <c r="O12" s="6">
        <v>179</v>
      </c>
      <c r="P12" s="6">
        <v>119</v>
      </c>
      <c r="Q12" s="6">
        <v>117</v>
      </c>
      <c r="R12" s="6">
        <v>32</v>
      </c>
      <c r="S12" s="6">
        <v>70</v>
      </c>
      <c r="T12" s="7">
        <v>180</v>
      </c>
      <c r="U12" s="83"/>
      <c r="V12" s="2">
        <v>7</v>
      </c>
      <c r="W12" s="3">
        <v>3</v>
      </c>
      <c r="X12" s="3">
        <v>1</v>
      </c>
      <c r="Y12" s="3">
        <v>1</v>
      </c>
      <c r="Z12" s="3">
        <v>1</v>
      </c>
      <c r="AA12" s="3">
        <v>3</v>
      </c>
      <c r="AB12" s="3">
        <v>5</v>
      </c>
      <c r="AC12" s="3">
        <v>1</v>
      </c>
      <c r="AD12" s="3">
        <v>1</v>
      </c>
      <c r="AF12" s="2">
        <v>7</v>
      </c>
      <c r="AG12" s="3">
        <v>3</v>
      </c>
      <c r="AH12" s="3">
        <v>3</v>
      </c>
      <c r="AI12" s="3">
        <v>4</v>
      </c>
      <c r="AJ12" s="3">
        <v>2</v>
      </c>
      <c r="AK12" s="3">
        <v>3</v>
      </c>
      <c r="AL12" s="3">
        <v>2</v>
      </c>
      <c r="AM12" s="3">
        <v>4</v>
      </c>
      <c r="AN12" s="3">
        <v>2</v>
      </c>
      <c r="AO12" s="3">
        <v>3</v>
      </c>
      <c r="AP12" s="3">
        <v>3</v>
      </c>
      <c r="AQ12" s="3">
        <f t="shared" si="0"/>
        <v>62.5</v>
      </c>
      <c r="AR12" s="3"/>
      <c r="AS12" s="9">
        <v>7</v>
      </c>
      <c r="AT12" s="33">
        <v>0</v>
      </c>
      <c r="AU12" s="33">
        <v>0.25</v>
      </c>
      <c r="AV12" s="33">
        <v>0</v>
      </c>
      <c r="AW12" s="33">
        <v>1</v>
      </c>
      <c r="AX12" s="33">
        <v>0</v>
      </c>
      <c r="AY12" s="33">
        <v>1</v>
      </c>
      <c r="AZ12" s="33">
        <v>0.25</v>
      </c>
      <c r="BA12" s="34">
        <v>1</v>
      </c>
      <c r="BC12" s="9">
        <v>7</v>
      </c>
      <c r="BD12" s="6">
        <v>213</v>
      </c>
      <c r="BE12" s="6">
        <v>180</v>
      </c>
      <c r="BF12" s="6">
        <v>118</v>
      </c>
      <c r="BG12" s="6">
        <v>78</v>
      </c>
      <c r="BH12" s="27">
        <v>135</v>
      </c>
      <c r="BI12" s="6">
        <v>54</v>
      </c>
      <c r="BJ12" s="6">
        <v>143</v>
      </c>
      <c r="BK12" s="7">
        <v>127</v>
      </c>
      <c r="BM12" s="2">
        <v>7</v>
      </c>
      <c r="BN12" s="3">
        <v>1</v>
      </c>
      <c r="BO12" s="3">
        <v>1</v>
      </c>
      <c r="BP12" s="3">
        <v>1</v>
      </c>
      <c r="BQ12" s="3">
        <v>3</v>
      </c>
      <c r="BR12" s="3">
        <v>1</v>
      </c>
      <c r="BS12" s="3">
        <v>4</v>
      </c>
      <c r="BT12" s="3">
        <v>1</v>
      </c>
      <c r="BU12" s="3">
        <v>4</v>
      </c>
      <c r="BW12" s="2">
        <v>7</v>
      </c>
      <c r="BX12" s="3">
        <v>1</v>
      </c>
      <c r="BY12" s="3">
        <v>3</v>
      </c>
      <c r="BZ12" s="3">
        <v>1</v>
      </c>
      <c r="CA12" s="3">
        <v>3</v>
      </c>
      <c r="CB12" s="3">
        <v>3</v>
      </c>
      <c r="CC12" s="3">
        <v>4</v>
      </c>
      <c r="CD12" s="3">
        <v>2</v>
      </c>
      <c r="CE12" s="3">
        <v>4</v>
      </c>
      <c r="CF12" s="3">
        <v>3</v>
      </c>
      <c r="CG12" s="3">
        <v>5</v>
      </c>
      <c r="CH12" s="3">
        <f t="shared" si="1"/>
        <v>27.5</v>
      </c>
      <c r="CJ12" s="9">
        <v>7</v>
      </c>
      <c r="CK12" s="33">
        <v>0</v>
      </c>
      <c r="CL12" s="33">
        <v>1</v>
      </c>
      <c r="CM12" s="33">
        <v>0</v>
      </c>
      <c r="CN12" s="33">
        <v>1</v>
      </c>
      <c r="CO12" s="33">
        <v>0</v>
      </c>
      <c r="CP12" s="33">
        <v>0</v>
      </c>
      <c r="CQ12" s="33">
        <v>0</v>
      </c>
      <c r="CR12" s="34">
        <v>1</v>
      </c>
      <c r="CS12" s="84"/>
      <c r="CT12" s="9">
        <v>7</v>
      </c>
      <c r="CU12" s="6">
        <v>300</v>
      </c>
      <c r="CV12" s="6">
        <v>180</v>
      </c>
      <c r="CW12" s="6">
        <v>180</v>
      </c>
      <c r="CX12" s="6">
        <v>169</v>
      </c>
      <c r="CY12" s="6">
        <v>105</v>
      </c>
      <c r="CZ12" s="6">
        <v>128</v>
      </c>
      <c r="DA12" s="6">
        <v>113</v>
      </c>
      <c r="DB12" s="7">
        <v>152</v>
      </c>
      <c r="DD12" s="2">
        <v>7</v>
      </c>
      <c r="DE12" s="3">
        <v>3</v>
      </c>
      <c r="DF12" s="3">
        <v>3</v>
      </c>
      <c r="DG12" s="3">
        <v>1</v>
      </c>
      <c r="DH12" s="3">
        <v>1</v>
      </c>
      <c r="DI12" s="3">
        <v>1</v>
      </c>
      <c r="DJ12" s="3">
        <v>1</v>
      </c>
      <c r="DK12" s="3">
        <v>1</v>
      </c>
      <c r="DL12" s="3">
        <v>4</v>
      </c>
      <c r="DN12" s="2">
        <v>7</v>
      </c>
      <c r="DO12" s="3">
        <v>1</v>
      </c>
      <c r="DP12" s="3">
        <v>3</v>
      </c>
      <c r="DQ12" s="3">
        <v>1</v>
      </c>
      <c r="DR12" s="3">
        <v>4</v>
      </c>
      <c r="DS12" s="3">
        <v>3</v>
      </c>
      <c r="DT12" s="3">
        <v>3</v>
      </c>
      <c r="DU12" s="3">
        <v>1</v>
      </c>
      <c r="DV12" s="3">
        <v>5</v>
      </c>
      <c r="DW12" s="3">
        <v>1</v>
      </c>
      <c r="DX12" s="3">
        <v>5</v>
      </c>
      <c r="DY12" s="3">
        <f t="shared" si="2"/>
        <v>17.5</v>
      </c>
      <c r="DZ12" s="3"/>
    </row>
    <row r="13" spans="1:130">
      <c r="B13" s="9">
        <v>8</v>
      </c>
      <c r="C13" s="33">
        <v>0.25</v>
      </c>
      <c r="D13" s="33">
        <v>0.25</v>
      </c>
      <c r="E13" s="33">
        <v>0.25</v>
      </c>
      <c r="F13" s="36">
        <v>1</v>
      </c>
      <c r="G13" s="36">
        <v>1</v>
      </c>
      <c r="H13" s="36">
        <v>1</v>
      </c>
      <c r="I13" s="36">
        <v>1</v>
      </c>
      <c r="J13" s="34">
        <v>1</v>
      </c>
      <c r="L13" s="9">
        <v>8</v>
      </c>
      <c r="M13" s="6">
        <v>300</v>
      </c>
      <c r="N13" s="6">
        <v>136</v>
      </c>
      <c r="O13" s="6">
        <v>178</v>
      </c>
      <c r="P13" s="27">
        <v>90</v>
      </c>
      <c r="Q13" s="27">
        <v>175</v>
      </c>
      <c r="R13" s="27">
        <v>64</v>
      </c>
      <c r="S13" s="27">
        <v>44</v>
      </c>
      <c r="T13" s="7">
        <v>55</v>
      </c>
      <c r="U13" s="83"/>
      <c r="V13" s="2">
        <v>8</v>
      </c>
      <c r="W13" s="3">
        <v>2</v>
      </c>
      <c r="X13" s="3">
        <v>4</v>
      </c>
      <c r="Y13" s="3">
        <v>3</v>
      </c>
      <c r="Z13" s="3">
        <v>5</v>
      </c>
      <c r="AA13" s="3">
        <v>1</v>
      </c>
      <c r="AB13" s="3">
        <v>5</v>
      </c>
      <c r="AC13" s="3">
        <v>5</v>
      </c>
      <c r="AD13" s="3">
        <v>5</v>
      </c>
      <c r="AF13" s="2">
        <v>8</v>
      </c>
      <c r="AG13" s="3">
        <v>5</v>
      </c>
      <c r="AH13" s="3">
        <v>1</v>
      </c>
      <c r="AI13" s="3">
        <v>4</v>
      </c>
      <c r="AJ13" s="3">
        <v>1</v>
      </c>
      <c r="AK13" s="3">
        <v>4</v>
      </c>
      <c r="AL13" s="3">
        <v>2</v>
      </c>
      <c r="AM13" s="3">
        <v>5</v>
      </c>
      <c r="AN13" s="3">
        <v>1</v>
      </c>
      <c r="AO13" s="3">
        <v>5</v>
      </c>
      <c r="AP13" s="3">
        <v>2</v>
      </c>
      <c r="AQ13" s="3">
        <f t="shared" si="0"/>
        <v>90</v>
      </c>
      <c r="AR13" s="3"/>
      <c r="AS13" s="9">
        <v>8</v>
      </c>
      <c r="AT13" s="33">
        <v>0.25</v>
      </c>
      <c r="AU13" s="33">
        <v>0</v>
      </c>
      <c r="AV13" s="33">
        <v>0</v>
      </c>
      <c r="AW13" s="33">
        <v>1</v>
      </c>
      <c r="AX13" s="33">
        <v>1</v>
      </c>
      <c r="AY13" s="33">
        <v>1</v>
      </c>
      <c r="AZ13" s="33">
        <v>1</v>
      </c>
      <c r="BA13" s="34">
        <v>0.25</v>
      </c>
      <c r="BC13" s="9">
        <v>8</v>
      </c>
      <c r="BD13" s="6">
        <v>183</v>
      </c>
      <c r="BE13" s="6">
        <v>168</v>
      </c>
      <c r="BF13" s="6">
        <v>172</v>
      </c>
      <c r="BG13" s="6">
        <v>170</v>
      </c>
      <c r="BH13" s="6">
        <v>129</v>
      </c>
      <c r="BI13" s="6">
        <v>102</v>
      </c>
      <c r="BJ13" s="6">
        <v>84</v>
      </c>
      <c r="BK13" s="7">
        <v>180</v>
      </c>
      <c r="BM13" s="2">
        <v>8</v>
      </c>
      <c r="BN13" s="3">
        <v>5</v>
      </c>
      <c r="BO13" s="3">
        <v>1</v>
      </c>
      <c r="BP13" s="3">
        <v>2</v>
      </c>
      <c r="BQ13" s="3">
        <v>4</v>
      </c>
      <c r="BR13" s="3">
        <v>4</v>
      </c>
      <c r="BS13" s="3">
        <v>5</v>
      </c>
      <c r="BT13" s="3">
        <v>5</v>
      </c>
      <c r="BU13" s="3">
        <v>1</v>
      </c>
      <c r="BW13" s="2">
        <v>8</v>
      </c>
      <c r="BX13" s="3">
        <v>5</v>
      </c>
      <c r="BY13" s="3">
        <v>1</v>
      </c>
      <c r="BZ13" s="3">
        <v>5</v>
      </c>
      <c r="CA13" s="3">
        <v>1</v>
      </c>
      <c r="CB13" s="3">
        <v>3</v>
      </c>
      <c r="CC13" s="3">
        <v>2</v>
      </c>
      <c r="CD13" s="3">
        <v>4</v>
      </c>
      <c r="CE13" s="3">
        <v>3</v>
      </c>
      <c r="CF13" s="3">
        <v>5</v>
      </c>
      <c r="CG13" s="3">
        <v>2</v>
      </c>
      <c r="CH13" s="3">
        <f t="shared" si="1"/>
        <v>82.5</v>
      </c>
      <c r="CJ13" s="9">
        <v>8</v>
      </c>
      <c r="CK13" s="33">
        <v>0.25</v>
      </c>
      <c r="CL13" s="33">
        <v>0.25</v>
      </c>
      <c r="CM13" s="33">
        <v>0.25</v>
      </c>
      <c r="CN13" s="33">
        <v>0</v>
      </c>
      <c r="CO13" s="33">
        <v>0</v>
      </c>
      <c r="CP13" s="33">
        <v>0</v>
      </c>
      <c r="CQ13" s="33">
        <v>0</v>
      </c>
      <c r="CR13" s="34">
        <v>1</v>
      </c>
      <c r="CS13" s="84"/>
      <c r="CT13" s="9">
        <v>8</v>
      </c>
      <c r="CU13" s="6">
        <v>300</v>
      </c>
      <c r="CV13" s="6">
        <v>180</v>
      </c>
      <c r="CW13" s="6">
        <v>180</v>
      </c>
      <c r="CX13" s="6">
        <v>151</v>
      </c>
      <c r="CY13" s="6">
        <v>180</v>
      </c>
      <c r="CZ13" s="6">
        <v>180</v>
      </c>
      <c r="DA13" s="6">
        <v>164</v>
      </c>
      <c r="DB13" s="7">
        <v>116</v>
      </c>
      <c r="DD13" s="2">
        <v>8</v>
      </c>
      <c r="DE13" s="3">
        <v>1</v>
      </c>
      <c r="DF13" s="3">
        <v>2</v>
      </c>
      <c r="DG13" s="3">
        <v>3</v>
      </c>
      <c r="DH13" s="3">
        <v>2</v>
      </c>
      <c r="DI13" s="3">
        <v>1</v>
      </c>
      <c r="DJ13" s="3">
        <v>2</v>
      </c>
      <c r="DK13" s="3">
        <v>3</v>
      </c>
      <c r="DL13" s="3">
        <v>4</v>
      </c>
      <c r="DN13" s="2">
        <v>8</v>
      </c>
      <c r="DO13" s="3">
        <v>2</v>
      </c>
      <c r="DP13" s="3">
        <v>4</v>
      </c>
      <c r="DQ13" s="3">
        <v>4</v>
      </c>
      <c r="DR13" s="3">
        <v>2</v>
      </c>
      <c r="DS13" s="3">
        <v>3</v>
      </c>
      <c r="DT13" s="3">
        <v>5</v>
      </c>
      <c r="DU13" s="3">
        <v>1</v>
      </c>
      <c r="DV13" s="3">
        <v>5</v>
      </c>
      <c r="DW13" s="3">
        <v>1</v>
      </c>
      <c r="DX13" s="3">
        <v>5</v>
      </c>
      <c r="DY13" s="3">
        <f t="shared" si="2"/>
        <v>25</v>
      </c>
      <c r="DZ13" s="3"/>
    </row>
    <row r="14" spans="1:130">
      <c r="B14" s="9">
        <v>9</v>
      </c>
      <c r="C14" s="39">
        <v>0.25</v>
      </c>
      <c r="D14" s="39">
        <v>0</v>
      </c>
      <c r="E14" s="39">
        <v>0.25</v>
      </c>
      <c r="F14" s="39">
        <v>1</v>
      </c>
      <c r="G14" s="39">
        <v>1</v>
      </c>
      <c r="H14" s="39">
        <v>1</v>
      </c>
      <c r="I14" s="39">
        <v>0</v>
      </c>
      <c r="J14" s="34">
        <v>1</v>
      </c>
      <c r="L14" s="9">
        <v>9</v>
      </c>
      <c r="M14" s="26">
        <v>181</v>
      </c>
      <c r="N14" s="26">
        <v>141</v>
      </c>
      <c r="O14" s="26">
        <v>131</v>
      </c>
      <c r="P14" s="26">
        <v>122</v>
      </c>
      <c r="Q14" s="26">
        <v>111</v>
      </c>
      <c r="R14" s="26">
        <v>79</v>
      </c>
      <c r="S14" s="26">
        <v>130</v>
      </c>
      <c r="T14" s="7">
        <v>112</v>
      </c>
      <c r="U14" s="83"/>
      <c r="V14" s="2">
        <v>9</v>
      </c>
      <c r="W14" s="3">
        <v>4</v>
      </c>
      <c r="X14" s="3">
        <v>3</v>
      </c>
      <c r="Y14" s="3">
        <v>3</v>
      </c>
      <c r="Z14" s="3">
        <v>2</v>
      </c>
      <c r="AA14" s="3">
        <v>2</v>
      </c>
      <c r="AB14" s="3">
        <v>4</v>
      </c>
      <c r="AC14" s="3">
        <v>3</v>
      </c>
      <c r="AD14" s="3">
        <v>4</v>
      </c>
      <c r="AF14" s="2">
        <v>9</v>
      </c>
      <c r="AG14" s="3">
        <v>3</v>
      </c>
      <c r="AH14" s="3">
        <v>3</v>
      </c>
      <c r="AI14" s="3">
        <v>3</v>
      </c>
      <c r="AJ14" s="3">
        <v>1</v>
      </c>
      <c r="AK14" s="3">
        <v>2</v>
      </c>
      <c r="AL14" s="3">
        <v>3</v>
      </c>
      <c r="AM14" s="3">
        <v>3</v>
      </c>
      <c r="AN14" s="3">
        <v>2</v>
      </c>
      <c r="AO14" s="3">
        <v>3</v>
      </c>
      <c r="AP14" s="3">
        <v>2</v>
      </c>
      <c r="AQ14" s="3">
        <f t="shared" si="0"/>
        <v>57.5</v>
      </c>
      <c r="AR14" s="3"/>
      <c r="AS14" s="9">
        <v>9</v>
      </c>
      <c r="AT14" s="39">
        <v>0.25</v>
      </c>
      <c r="AU14" s="39">
        <v>0</v>
      </c>
      <c r="AV14" s="39">
        <v>0</v>
      </c>
      <c r="AW14" s="39">
        <v>0</v>
      </c>
      <c r="AX14" s="39">
        <v>0.25</v>
      </c>
      <c r="AY14" s="39">
        <v>0</v>
      </c>
      <c r="AZ14" s="39">
        <v>0</v>
      </c>
      <c r="BA14" s="40">
        <v>0</v>
      </c>
      <c r="BC14" s="9">
        <v>9</v>
      </c>
      <c r="BD14" s="26">
        <v>272</v>
      </c>
      <c r="BE14" s="26">
        <v>180</v>
      </c>
      <c r="BF14" s="26">
        <v>52</v>
      </c>
      <c r="BG14" s="26">
        <v>100</v>
      </c>
      <c r="BH14" s="26">
        <v>180</v>
      </c>
      <c r="BI14" s="26">
        <v>157</v>
      </c>
      <c r="BJ14" s="26">
        <v>68</v>
      </c>
      <c r="BK14" s="85">
        <v>180</v>
      </c>
      <c r="BM14" s="2">
        <v>9</v>
      </c>
      <c r="BN14" s="3">
        <v>2</v>
      </c>
      <c r="BO14" s="3">
        <v>3</v>
      </c>
      <c r="BP14" s="3">
        <v>3</v>
      </c>
      <c r="BQ14" s="3">
        <v>3</v>
      </c>
      <c r="BR14" s="3">
        <v>1</v>
      </c>
      <c r="BS14" s="3">
        <v>4</v>
      </c>
      <c r="BT14" s="3">
        <v>1</v>
      </c>
      <c r="BU14" s="3">
        <v>1</v>
      </c>
      <c r="BW14" s="2">
        <v>9</v>
      </c>
      <c r="BX14" s="3">
        <v>1</v>
      </c>
      <c r="BY14" s="3">
        <v>5</v>
      </c>
      <c r="BZ14" s="3">
        <v>1</v>
      </c>
      <c r="CA14" s="3">
        <v>4</v>
      </c>
      <c r="CB14" s="3">
        <v>2</v>
      </c>
      <c r="CC14" s="3">
        <v>2</v>
      </c>
      <c r="CD14" s="3">
        <v>1</v>
      </c>
      <c r="CE14" s="3">
        <v>4</v>
      </c>
      <c r="CF14" s="3">
        <v>1</v>
      </c>
      <c r="CG14" s="3">
        <v>5</v>
      </c>
      <c r="CH14" s="3">
        <f t="shared" si="1"/>
        <v>15</v>
      </c>
      <c r="CJ14" s="9">
        <v>9</v>
      </c>
      <c r="CK14" s="39">
        <v>0</v>
      </c>
      <c r="CL14" s="39">
        <v>0</v>
      </c>
      <c r="CM14" s="39">
        <v>0</v>
      </c>
      <c r="CN14" s="39">
        <v>0</v>
      </c>
      <c r="CO14" s="39">
        <v>0</v>
      </c>
      <c r="CP14" s="39">
        <v>0</v>
      </c>
      <c r="CQ14" s="39">
        <v>0</v>
      </c>
      <c r="CR14" s="40">
        <v>0.25</v>
      </c>
      <c r="CS14" s="84"/>
      <c r="CT14" s="9">
        <v>9</v>
      </c>
      <c r="CU14" s="26">
        <v>167</v>
      </c>
      <c r="CV14" s="26">
        <v>119</v>
      </c>
      <c r="CW14" s="26">
        <v>156</v>
      </c>
      <c r="CX14" s="26">
        <v>173</v>
      </c>
      <c r="CY14" s="26">
        <v>180</v>
      </c>
      <c r="CZ14" s="26">
        <v>139</v>
      </c>
      <c r="DA14" s="26">
        <v>143</v>
      </c>
      <c r="DB14" s="85">
        <v>180</v>
      </c>
      <c r="DD14" s="2">
        <v>9</v>
      </c>
      <c r="DE14" s="3">
        <v>1</v>
      </c>
      <c r="DF14" s="3">
        <v>1</v>
      </c>
      <c r="DG14" s="3">
        <v>4</v>
      </c>
      <c r="DH14" s="3">
        <v>3</v>
      </c>
      <c r="DI14" s="3">
        <v>2</v>
      </c>
      <c r="DJ14" s="3">
        <v>4</v>
      </c>
      <c r="DK14" s="3">
        <v>4</v>
      </c>
      <c r="DL14" s="3">
        <v>2</v>
      </c>
      <c r="DN14" s="2">
        <v>9</v>
      </c>
      <c r="DO14" s="3">
        <v>2</v>
      </c>
      <c r="DP14" s="3">
        <v>5</v>
      </c>
      <c r="DQ14" s="3">
        <v>2</v>
      </c>
      <c r="DR14" s="3">
        <v>5</v>
      </c>
      <c r="DS14" s="3">
        <v>2</v>
      </c>
      <c r="DT14" s="3">
        <v>4</v>
      </c>
      <c r="DU14" s="3">
        <v>2</v>
      </c>
      <c r="DV14" s="3">
        <v>3</v>
      </c>
      <c r="DW14" s="3">
        <v>3</v>
      </c>
      <c r="DX14" s="3">
        <v>5</v>
      </c>
      <c r="DY14" s="3">
        <f t="shared" si="2"/>
        <v>22.5</v>
      </c>
      <c r="DZ14" s="3"/>
    </row>
    <row r="15" spans="1:130">
      <c r="B15" s="9">
        <v>10</v>
      </c>
      <c r="C15" s="33">
        <v>0.25</v>
      </c>
      <c r="D15" s="33">
        <v>0.25</v>
      </c>
      <c r="E15" s="33">
        <v>0.25</v>
      </c>
      <c r="F15" s="33">
        <v>1</v>
      </c>
      <c r="G15" s="33">
        <v>1</v>
      </c>
      <c r="H15" s="33">
        <v>1</v>
      </c>
      <c r="I15" s="33">
        <v>1</v>
      </c>
      <c r="J15" s="34">
        <v>1</v>
      </c>
      <c r="L15" s="9">
        <v>10</v>
      </c>
      <c r="M15" s="6">
        <v>300</v>
      </c>
      <c r="N15" s="6">
        <v>163</v>
      </c>
      <c r="O15" s="6">
        <v>103</v>
      </c>
      <c r="P15" s="6">
        <v>71</v>
      </c>
      <c r="Q15" s="6">
        <v>115</v>
      </c>
      <c r="R15" s="6">
        <v>51</v>
      </c>
      <c r="S15" s="6">
        <v>41</v>
      </c>
      <c r="T15" s="7">
        <v>64</v>
      </c>
      <c r="U15" s="83"/>
      <c r="V15" s="2">
        <v>10</v>
      </c>
      <c r="W15" s="3">
        <v>3</v>
      </c>
      <c r="X15" s="3">
        <v>3</v>
      </c>
      <c r="Y15" s="3">
        <v>4</v>
      </c>
      <c r="Z15" s="3">
        <v>4</v>
      </c>
      <c r="AA15" s="3">
        <v>3</v>
      </c>
      <c r="AB15" s="3">
        <v>4</v>
      </c>
      <c r="AC15" s="3">
        <v>5</v>
      </c>
      <c r="AD15" s="3">
        <v>3</v>
      </c>
      <c r="AF15" s="2">
        <v>10</v>
      </c>
      <c r="AG15" s="3">
        <v>3</v>
      </c>
      <c r="AH15" s="3">
        <v>3</v>
      </c>
      <c r="AI15" s="3">
        <v>3</v>
      </c>
      <c r="AJ15" s="3">
        <v>2</v>
      </c>
      <c r="AK15" s="3">
        <v>3</v>
      </c>
      <c r="AL15" s="3">
        <v>2</v>
      </c>
      <c r="AM15" s="3">
        <v>4</v>
      </c>
      <c r="AN15" s="3">
        <v>3</v>
      </c>
      <c r="AO15" s="3">
        <v>1</v>
      </c>
      <c r="AP15" s="3">
        <v>4</v>
      </c>
      <c r="AQ15" s="3">
        <f t="shared" si="0"/>
        <v>50</v>
      </c>
      <c r="AR15" s="3"/>
      <c r="AS15" s="9">
        <v>10</v>
      </c>
      <c r="AT15" s="33">
        <v>1</v>
      </c>
      <c r="AU15" s="33">
        <v>0.25</v>
      </c>
      <c r="AV15" s="33">
        <v>0.25</v>
      </c>
      <c r="AW15" s="33">
        <v>0</v>
      </c>
      <c r="AX15" s="33">
        <v>0.25</v>
      </c>
      <c r="AY15" s="33">
        <v>0</v>
      </c>
      <c r="AZ15" s="33">
        <v>0.25</v>
      </c>
      <c r="BA15" s="34">
        <v>1</v>
      </c>
      <c r="BC15" s="9">
        <v>10</v>
      </c>
      <c r="BD15" s="6">
        <v>280</v>
      </c>
      <c r="BE15" s="6">
        <v>180</v>
      </c>
      <c r="BF15" s="6">
        <v>160</v>
      </c>
      <c r="BG15" s="6">
        <v>180</v>
      </c>
      <c r="BH15" s="6">
        <v>152</v>
      </c>
      <c r="BI15" s="6">
        <v>180</v>
      </c>
      <c r="BJ15" s="6">
        <v>180</v>
      </c>
      <c r="BK15" s="7">
        <v>180</v>
      </c>
      <c r="BM15" s="2">
        <v>10</v>
      </c>
      <c r="BN15" s="3">
        <v>5</v>
      </c>
      <c r="BO15" s="3">
        <v>1</v>
      </c>
      <c r="BP15" s="3">
        <v>3</v>
      </c>
      <c r="BQ15" s="3">
        <v>2</v>
      </c>
      <c r="BR15" s="3">
        <v>4</v>
      </c>
      <c r="BS15" s="3">
        <v>1</v>
      </c>
      <c r="BT15" s="3">
        <v>4</v>
      </c>
      <c r="BU15" s="3">
        <v>3</v>
      </c>
      <c r="BW15" s="2">
        <v>10</v>
      </c>
      <c r="BX15" s="3">
        <v>4</v>
      </c>
      <c r="BY15" s="3">
        <v>3</v>
      </c>
      <c r="BZ15" s="3">
        <v>3</v>
      </c>
      <c r="CA15" s="3">
        <v>2</v>
      </c>
      <c r="CB15" s="3">
        <v>4</v>
      </c>
      <c r="CC15" s="3">
        <v>1</v>
      </c>
      <c r="CD15" s="3">
        <v>5</v>
      </c>
      <c r="CE15" s="3">
        <v>2</v>
      </c>
      <c r="CF15" s="3">
        <v>4</v>
      </c>
      <c r="CG15" s="3">
        <v>3</v>
      </c>
      <c r="CH15" s="21">
        <f t="shared" si="1"/>
        <v>72.5</v>
      </c>
      <c r="CJ15" s="9">
        <v>10</v>
      </c>
      <c r="CK15" s="33">
        <v>0.25</v>
      </c>
      <c r="CL15" s="33">
        <v>1</v>
      </c>
      <c r="CM15" s="33">
        <v>0.25</v>
      </c>
      <c r="CN15" s="36">
        <v>1</v>
      </c>
      <c r="CO15" s="33">
        <v>0.25</v>
      </c>
      <c r="CP15" s="36">
        <v>0</v>
      </c>
      <c r="CQ15" s="33">
        <v>1</v>
      </c>
      <c r="CR15" s="34">
        <v>1</v>
      </c>
      <c r="CS15" s="84"/>
      <c r="CT15" s="9">
        <v>10</v>
      </c>
      <c r="CU15" s="6">
        <v>300</v>
      </c>
      <c r="CV15" s="6">
        <v>175</v>
      </c>
      <c r="CW15" s="6">
        <v>180</v>
      </c>
      <c r="CX15" s="27">
        <v>66</v>
      </c>
      <c r="CY15" s="6">
        <v>52</v>
      </c>
      <c r="CZ15" s="27">
        <v>180</v>
      </c>
      <c r="DA15" s="6">
        <v>105</v>
      </c>
      <c r="DB15" s="7">
        <v>65</v>
      </c>
      <c r="DD15" s="2">
        <v>10</v>
      </c>
      <c r="DE15" s="3">
        <v>3</v>
      </c>
      <c r="DF15" s="3">
        <v>4</v>
      </c>
      <c r="DG15" s="3">
        <v>3</v>
      </c>
      <c r="DH15" s="3">
        <v>5</v>
      </c>
      <c r="DI15" s="3">
        <v>5</v>
      </c>
      <c r="DJ15" s="3">
        <v>1</v>
      </c>
      <c r="DK15" s="3">
        <v>4</v>
      </c>
      <c r="DL15" s="3">
        <v>4</v>
      </c>
      <c r="DN15" s="2">
        <v>10</v>
      </c>
      <c r="DO15" s="3">
        <v>4</v>
      </c>
      <c r="DP15" s="3">
        <v>4</v>
      </c>
      <c r="DQ15" s="3">
        <v>3</v>
      </c>
      <c r="DR15" s="3">
        <v>3</v>
      </c>
      <c r="DS15" s="3">
        <v>4</v>
      </c>
      <c r="DT15" s="3">
        <v>2</v>
      </c>
      <c r="DU15" s="3">
        <v>3</v>
      </c>
      <c r="DV15" s="3">
        <v>3</v>
      </c>
      <c r="DW15" s="3">
        <v>3</v>
      </c>
      <c r="DX15" s="3">
        <v>4</v>
      </c>
      <c r="DY15" s="3">
        <f>((DO15-1)+(5-DP15)+(DQ15-1)+(5-DR15)+(DS15-1)+(5-DT15)+(DU15-1)+(5-DV15)+(DW15-1)+(5-DX15))*2.5</f>
        <v>52.5</v>
      </c>
      <c r="DZ15" s="3"/>
    </row>
    <row r="16" spans="1:130">
      <c r="B16" s="9">
        <v>11</v>
      </c>
      <c r="C16" s="33">
        <v>0.25</v>
      </c>
      <c r="D16" s="33">
        <v>0.25</v>
      </c>
      <c r="E16" s="33">
        <v>0</v>
      </c>
      <c r="F16" s="33">
        <v>0</v>
      </c>
      <c r="G16" s="33">
        <v>1</v>
      </c>
      <c r="H16" s="33">
        <v>1</v>
      </c>
      <c r="I16" s="33">
        <v>0</v>
      </c>
      <c r="J16" s="34">
        <v>0.25</v>
      </c>
      <c r="L16" s="9">
        <v>11</v>
      </c>
      <c r="M16" s="6">
        <v>300</v>
      </c>
      <c r="N16" s="6">
        <v>180</v>
      </c>
      <c r="O16" s="6">
        <v>180</v>
      </c>
      <c r="P16" s="6">
        <v>180</v>
      </c>
      <c r="Q16" s="6">
        <v>106</v>
      </c>
      <c r="R16" s="6">
        <v>59</v>
      </c>
      <c r="S16" s="6">
        <v>80</v>
      </c>
      <c r="T16" s="7">
        <v>36</v>
      </c>
      <c r="U16" s="83"/>
      <c r="V16" s="2">
        <v>11</v>
      </c>
      <c r="W16" s="3">
        <v>3</v>
      </c>
      <c r="X16" s="3">
        <v>2</v>
      </c>
      <c r="Y16" s="3">
        <v>2</v>
      </c>
      <c r="Z16" s="3">
        <v>1</v>
      </c>
      <c r="AA16" s="3">
        <v>3</v>
      </c>
      <c r="AB16" s="3">
        <v>3</v>
      </c>
      <c r="AC16" s="3">
        <v>1</v>
      </c>
      <c r="AD16" s="3">
        <v>3</v>
      </c>
      <c r="AF16" s="2">
        <v>11</v>
      </c>
      <c r="AG16" s="3">
        <v>2</v>
      </c>
      <c r="AH16" s="3">
        <v>4</v>
      </c>
      <c r="AI16" s="3">
        <v>2</v>
      </c>
      <c r="AJ16" s="3">
        <v>3</v>
      </c>
      <c r="AK16" s="3">
        <v>2</v>
      </c>
      <c r="AL16" s="3">
        <v>4</v>
      </c>
      <c r="AM16" s="3">
        <v>2</v>
      </c>
      <c r="AN16" s="3">
        <v>3</v>
      </c>
      <c r="AO16" s="3">
        <v>2</v>
      </c>
      <c r="AP16" s="3">
        <v>3</v>
      </c>
      <c r="AQ16" s="3">
        <f t="shared" si="0"/>
        <v>32.5</v>
      </c>
      <c r="AR16" s="3"/>
      <c r="AS16" s="9">
        <v>11</v>
      </c>
      <c r="AT16" s="33">
        <v>0.25</v>
      </c>
      <c r="AU16" s="33">
        <v>0</v>
      </c>
      <c r="AV16" s="33">
        <v>0.25</v>
      </c>
      <c r="AW16" s="33">
        <v>0</v>
      </c>
      <c r="AX16" s="33">
        <v>1</v>
      </c>
      <c r="AY16" s="33">
        <v>0.25</v>
      </c>
      <c r="AZ16" s="33">
        <v>0</v>
      </c>
      <c r="BA16" s="34">
        <v>1</v>
      </c>
      <c r="BC16" s="9">
        <v>11</v>
      </c>
      <c r="BD16" s="6">
        <v>250</v>
      </c>
      <c r="BE16" s="6">
        <v>180</v>
      </c>
      <c r="BF16" s="6">
        <v>158</v>
      </c>
      <c r="BG16" s="6">
        <v>60</v>
      </c>
      <c r="BH16" s="6">
        <v>82</v>
      </c>
      <c r="BI16" s="6">
        <v>69</v>
      </c>
      <c r="BJ16" s="6">
        <v>76</v>
      </c>
      <c r="BK16" s="7">
        <v>107</v>
      </c>
      <c r="BM16" s="2">
        <v>11</v>
      </c>
      <c r="BN16" s="3">
        <v>4</v>
      </c>
      <c r="BO16" s="3">
        <v>3</v>
      </c>
      <c r="BP16" s="3">
        <v>3</v>
      </c>
      <c r="BQ16" s="3">
        <v>2</v>
      </c>
      <c r="BR16" s="3">
        <v>3</v>
      </c>
      <c r="BS16" s="3">
        <v>3</v>
      </c>
      <c r="BT16" s="3">
        <v>2</v>
      </c>
      <c r="BU16" s="3">
        <v>3</v>
      </c>
      <c r="BW16" s="2">
        <v>11</v>
      </c>
      <c r="BX16" s="3">
        <v>3</v>
      </c>
      <c r="BY16" s="3">
        <v>4</v>
      </c>
      <c r="BZ16" s="3">
        <v>2</v>
      </c>
      <c r="CA16" s="3">
        <v>2</v>
      </c>
      <c r="CB16" s="3">
        <v>3</v>
      </c>
      <c r="CC16" s="3">
        <v>3</v>
      </c>
      <c r="CD16" s="3">
        <v>3</v>
      </c>
      <c r="CE16" s="3">
        <v>3</v>
      </c>
      <c r="CF16" s="3">
        <v>2</v>
      </c>
      <c r="CG16" s="3">
        <v>3</v>
      </c>
      <c r="CH16" s="21">
        <f t="shared" si="1"/>
        <v>45</v>
      </c>
      <c r="CJ16" s="9">
        <v>11</v>
      </c>
      <c r="CK16" s="33">
        <v>1</v>
      </c>
      <c r="CL16" s="33">
        <v>1</v>
      </c>
      <c r="CM16" s="33">
        <v>1</v>
      </c>
      <c r="CN16" s="33">
        <v>0</v>
      </c>
      <c r="CO16" s="33">
        <v>0.25</v>
      </c>
      <c r="CP16" s="33">
        <v>1</v>
      </c>
      <c r="CQ16" s="33">
        <v>0.25</v>
      </c>
      <c r="CR16" s="33">
        <v>1</v>
      </c>
      <c r="CS16" s="84"/>
      <c r="CT16" s="9">
        <v>11</v>
      </c>
      <c r="CU16" s="6">
        <v>212</v>
      </c>
      <c r="CV16" s="6">
        <v>53</v>
      </c>
      <c r="CW16" s="6">
        <v>180</v>
      </c>
      <c r="CX16" s="6">
        <v>180</v>
      </c>
      <c r="CY16" s="6">
        <v>130</v>
      </c>
      <c r="CZ16" s="6">
        <v>68</v>
      </c>
      <c r="DA16" s="27">
        <v>41</v>
      </c>
      <c r="DB16" s="22">
        <v>56</v>
      </c>
      <c r="DD16" s="2">
        <v>11</v>
      </c>
      <c r="DE16" s="3">
        <v>3</v>
      </c>
      <c r="DF16" s="3">
        <v>4</v>
      </c>
      <c r="DG16" s="3">
        <v>2</v>
      </c>
      <c r="DH16" s="3">
        <v>2</v>
      </c>
      <c r="DI16" s="3">
        <v>2</v>
      </c>
      <c r="DJ16" s="3">
        <v>3</v>
      </c>
      <c r="DK16" s="3">
        <v>3</v>
      </c>
      <c r="DL16" s="3">
        <v>3</v>
      </c>
      <c r="DN16" s="2">
        <v>11</v>
      </c>
      <c r="DO16" s="3">
        <v>3</v>
      </c>
      <c r="DP16" s="3">
        <v>3</v>
      </c>
      <c r="DQ16" s="3">
        <v>3</v>
      </c>
      <c r="DR16" s="3">
        <v>2</v>
      </c>
      <c r="DS16" s="3">
        <v>3</v>
      </c>
      <c r="DT16" s="3">
        <v>3</v>
      </c>
      <c r="DU16" s="3">
        <v>3</v>
      </c>
      <c r="DV16" s="3">
        <v>3</v>
      </c>
      <c r="DW16" s="3">
        <v>3</v>
      </c>
      <c r="DX16" s="3">
        <v>2</v>
      </c>
      <c r="DY16" s="3">
        <f>((DO16-1)+(5-DP16)+(DQ16-1)+(5-DR16)+(DS16-1)+(5-DT16)+(DU16-1)+(5-DV16)+(DW16-1)+(5-DX16))*2.5</f>
        <v>55</v>
      </c>
      <c r="DZ16" s="3"/>
    </row>
    <row r="17" spans="2:130">
      <c r="B17" s="9">
        <v>12</v>
      </c>
      <c r="C17" s="33">
        <v>0.25</v>
      </c>
      <c r="D17" s="33">
        <v>0.25</v>
      </c>
      <c r="E17" s="33">
        <v>0.25</v>
      </c>
      <c r="F17" s="33">
        <v>0</v>
      </c>
      <c r="G17" s="33">
        <v>1</v>
      </c>
      <c r="H17" s="33">
        <v>1</v>
      </c>
      <c r="I17" s="33">
        <v>1</v>
      </c>
      <c r="J17" s="34">
        <v>1</v>
      </c>
      <c r="L17" s="9">
        <v>12</v>
      </c>
      <c r="M17" s="6">
        <v>139</v>
      </c>
      <c r="N17" s="6">
        <v>180</v>
      </c>
      <c r="O17" s="6">
        <v>101</v>
      </c>
      <c r="P17" s="6">
        <v>154</v>
      </c>
      <c r="Q17" s="6">
        <v>92</v>
      </c>
      <c r="R17" s="6">
        <v>29</v>
      </c>
      <c r="S17" s="6">
        <v>76</v>
      </c>
      <c r="T17" s="7">
        <v>41</v>
      </c>
      <c r="U17" s="83"/>
      <c r="V17" s="2">
        <v>12</v>
      </c>
      <c r="W17" s="3">
        <v>4</v>
      </c>
      <c r="X17" s="3">
        <v>3</v>
      </c>
      <c r="Y17" s="3">
        <v>4</v>
      </c>
      <c r="Z17" s="3">
        <v>2</v>
      </c>
      <c r="AA17" s="3">
        <v>4</v>
      </c>
      <c r="AB17" s="3">
        <v>5</v>
      </c>
      <c r="AC17" s="3">
        <v>4</v>
      </c>
      <c r="AD17" s="3">
        <v>5</v>
      </c>
      <c r="AF17" s="2">
        <v>12</v>
      </c>
      <c r="AG17" s="3">
        <v>5</v>
      </c>
      <c r="AH17" s="3">
        <v>2</v>
      </c>
      <c r="AI17" s="3">
        <v>4</v>
      </c>
      <c r="AJ17" s="3">
        <v>1</v>
      </c>
      <c r="AK17" s="3">
        <v>4</v>
      </c>
      <c r="AL17" s="3">
        <v>1</v>
      </c>
      <c r="AM17" s="3">
        <v>4</v>
      </c>
      <c r="AN17" s="3">
        <v>1</v>
      </c>
      <c r="AO17" s="3">
        <v>4</v>
      </c>
      <c r="AP17" s="3">
        <v>1</v>
      </c>
      <c r="AQ17" s="3">
        <f t="shared" si="0"/>
        <v>87.5</v>
      </c>
      <c r="AR17" s="3"/>
      <c r="AS17" s="9">
        <v>12</v>
      </c>
      <c r="AT17" s="33">
        <v>0.25</v>
      </c>
      <c r="AU17" s="33">
        <v>0</v>
      </c>
      <c r="AV17" s="33">
        <v>0</v>
      </c>
      <c r="AW17" s="33">
        <v>1</v>
      </c>
      <c r="AX17" s="33">
        <v>0.25</v>
      </c>
      <c r="AY17" s="33">
        <v>0</v>
      </c>
      <c r="AZ17" s="33">
        <v>1</v>
      </c>
      <c r="BA17" s="34">
        <v>0.25</v>
      </c>
      <c r="BC17" s="9">
        <v>12</v>
      </c>
      <c r="BD17" s="6">
        <v>156</v>
      </c>
      <c r="BE17" s="6">
        <v>180</v>
      </c>
      <c r="BF17" s="6">
        <v>180</v>
      </c>
      <c r="BG17" s="6">
        <v>105</v>
      </c>
      <c r="BH17" s="6">
        <v>180</v>
      </c>
      <c r="BI17" s="6">
        <v>173</v>
      </c>
      <c r="BJ17" s="6">
        <v>82</v>
      </c>
      <c r="BK17" s="7">
        <v>180</v>
      </c>
      <c r="BM17" s="2">
        <v>12</v>
      </c>
      <c r="BN17" s="3">
        <v>4</v>
      </c>
      <c r="BO17" s="3">
        <v>1</v>
      </c>
      <c r="BP17" s="3">
        <v>1</v>
      </c>
      <c r="BQ17" s="3">
        <v>4</v>
      </c>
      <c r="BR17" s="3">
        <v>4</v>
      </c>
      <c r="BS17" s="3">
        <v>1</v>
      </c>
      <c r="BT17" s="3">
        <v>3</v>
      </c>
      <c r="BU17" s="3">
        <v>1</v>
      </c>
      <c r="BW17" s="2">
        <v>12</v>
      </c>
      <c r="BX17" s="3">
        <v>2</v>
      </c>
      <c r="BY17" s="3">
        <v>5</v>
      </c>
      <c r="BZ17" s="3">
        <v>3</v>
      </c>
      <c r="CA17" s="3">
        <v>3</v>
      </c>
      <c r="CB17" s="3">
        <v>2</v>
      </c>
      <c r="CC17" s="3">
        <v>2</v>
      </c>
      <c r="CD17" s="3">
        <v>1</v>
      </c>
      <c r="CE17" s="3">
        <v>4</v>
      </c>
      <c r="CF17" s="3">
        <v>3</v>
      </c>
      <c r="CG17" s="3">
        <v>4</v>
      </c>
      <c r="CH17" s="3">
        <f t="shared" si="1"/>
        <v>32.5</v>
      </c>
      <c r="CJ17" s="9">
        <v>12</v>
      </c>
      <c r="CK17" s="33">
        <v>1</v>
      </c>
      <c r="CL17" s="33">
        <v>1</v>
      </c>
      <c r="CM17" s="33">
        <v>0</v>
      </c>
      <c r="CN17" s="33">
        <v>0</v>
      </c>
      <c r="CO17" s="33">
        <v>0.25</v>
      </c>
      <c r="CP17" s="33">
        <v>1</v>
      </c>
      <c r="CQ17" s="33">
        <v>0.25</v>
      </c>
      <c r="CR17" s="34">
        <v>0</v>
      </c>
      <c r="CS17" s="84"/>
      <c r="CT17" s="9">
        <v>12</v>
      </c>
      <c r="CU17" s="6">
        <v>300</v>
      </c>
      <c r="CV17" s="6">
        <v>180</v>
      </c>
      <c r="CW17" s="6">
        <v>180</v>
      </c>
      <c r="CX17" s="6">
        <v>180</v>
      </c>
      <c r="CY17" s="6">
        <v>152</v>
      </c>
      <c r="CZ17" s="6">
        <v>60</v>
      </c>
      <c r="DA17" s="6">
        <v>61</v>
      </c>
      <c r="DB17" s="7">
        <v>180</v>
      </c>
      <c r="DD17" s="2">
        <v>12</v>
      </c>
      <c r="DE17" s="3">
        <v>5</v>
      </c>
      <c r="DF17" s="3">
        <v>4</v>
      </c>
      <c r="DG17" s="3">
        <v>2</v>
      </c>
      <c r="DH17" s="3">
        <v>2</v>
      </c>
      <c r="DI17" s="3">
        <v>4</v>
      </c>
      <c r="DJ17" s="3">
        <v>4</v>
      </c>
      <c r="DK17" s="3">
        <v>4</v>
      </c>
      <c r="DL17" s="3">
        <v>1</v>
      </c>
      <c r="DN17" s="2">
        <v>12</v>
      </c>
      <c r="DO17" s="3">
        <v>4</v>
      </c>
      <c r="DP17" s="3">
        <v>2</v>
      </c>
      <c r="DQ17" s="3">
        <v>4</v>
      </c>
      <c r="DR17" s="3">
        <v>2</v>
      </c>
      <c r="DS17" s="3">
        <v>3</v>
      </c>
      <c r="DT17" s="3">
        <v>1</v>
      </c>
      <c r="DU17" s="3">
        <v>3</v>
      </c>
      <c r="DV17" s="3">
        <v>2</v>
      </c>
      <c r="DW17" s="3">
        <v>4</v>
      </c>
      <c r="DX17" s="3">
        <v>2</v>
      </c>
      <c r="DY17" s="3">
        <f t="shared" si="2"/>
        <v>72.5</v>
      </c>
      <c r="DZ17" s="3"/>
    </row>
    <row r="18" spans="2:130">
      <c r="B18" s="9">
        <v>13</v>
      </c>
      <c r="C18" s="33">
        <v>0.25</v>
      </c>
      <c r="D18" s="33">
        <v>0.25</v>
      </c>
      <c r="E18" s="33">
        <v>0.25</v>
      </c>
      <c r="F18" s="33">
        <v>0.25</v>
      </c>
      <c r="G18" s="33">
        <v>0.25</v>
      </c>
      <c r="H18" s="33">
        <v>1</v>
      </c>
      <c r="I18" s="33">
        <v>1</v>
      </c>
      <c r="J18" s="34">
        <v>1</v>
      </c>
      <c r="L18" s="9">
        <v>13</v>
      </c>
      <c r="M18" s="6">
        <v>209</v>
      </c>
      <c r="N18" s="6">
        <v>129</v>
      </c>
      <c r="O18" s="6">
        <v>79</v>
      </c>
      <c r="P18" s="6">
        <v>69</v>
      </c>
      <c r="Q18" s="6">
        <v>59</v>
      </c>
      <c r="R18" s="6">
        <v>51</v>
      </c>
      <c r="S18" s="6">
        <v>28</v>
      </c>
      <c r="T18" s="7">
        <v>19</v>
      </c>
      <c r="U18" s="83"/>
      <c r="V18" s="2">
        <v>13</v>
      </c>
      <c r="W18" s="3">
        <v>2</v>
      </c>
      <c r="X18" s="3">
        <v>2</v>
      </c>
      <c r="Y18" s="3">
        <v>3</v>
      </c>
      <c r="Z18" s="3">
        <v>1</v>
      </c>
      <c r="AA18" s="3">
        <v>4</v>
      </c>
      <c r="AB18" s="3">
        <v>5</v>
      </c>
      <c r="AC18" s="3">
        <v>3</v>
      </c>
      <c r="AD18" s="3">
        <v>5</v>
      </c>
      <c r="AF18" s="2">
        <v>13</v>
      </c>
      <c r="AG18" s="3">
        <v>3</v>
      </c>
      <c r="AH18" s="3">
        <v>1</v>
      </c>
      <c r="AI18" s="3">
        <v>4</v>
      </c>
      <c r="AJ18" s="3">
        <v>5</v>
      </c>
      <c r="AK18" s="3">
        <v>4</v>
      </c>
      <c r="AL18" s="3">
        <v>2</v>
      </c>
      <c r="AM18" s="3">
        <v>4</v>
      </c>
      <c r="AN18" s="3">
        <v>4</v>
      </c>
      <c r="AO18" s="3">
        <v>4</v>
      </c>
      <c r="AP18" s="3">
        <v>3</v>
      </c>
      <c r="AQ18" s="3">
        <f t="shared" si="0"/>
        <v>60</v>
      </c>
      <c r="AR18" s="3"/>
      <c r="AS18" s="9">
        <v>13</v>
      </c>
      <c r="AT18" s="33">
        <v>0.25</v>
      </c>
      <c r="AU18" s="33">
        <v>0</v>
      </c>
      <c r="AV18" s="33">
        <v>0</v>
      </c>
      <c r="AW18" s="33">
        <v>0.25</v>
      </c>
      <c r="AX18" s="33">
        <v>1</v>
      </c>
      <c r="AY18" s="33">
        <v>1</v>
      </c>
      <c r="AZ18" s="33">
        <v>0.25</v>
      </c>
      <c r="BA18" s="34">
        <v>1</v>
      </c>
      <c r="BC18" s="9">
        <v>13</v>
      </c>
      <c r="BD18" s="6">
        <v>182</v>
      </c>
      <c r="BE18" s="6">
        <v>109</v>
      </c>
      <c r="BF18" s="6">
        <v>88</v>
      </c>
      <c r="BG18" s="6">
        <v>71</v>
      </c>
      <c r="BH18" s="6">
        <v>94</v>
      </c>
      <c r="BI18" s="6">
        <v>48</v>
      </c>
      <c r="BJ18" s="6">
        <v>38</v>
      </c>
      <c r="BK18" s="7">
        <v>101</v>
      </c>
      <c r="BM18" s="2">
        <v>13</v>
      </c>
      <c r="BN18" s="3">
        <v>2</v>
      </c>
      <c r="BO18" s="3">
        <v>1</v>
      </c>
      <c r="BP18" s="3">
        <v>1</v>
      </c>
      <c r="BQ18" s="3">
        <v>3</v>
      </c>
      <c r="BR18" s="3">
        <v>4</v>
      </c>
      <c r="BS18" s="3">
        <v>3</v>
      </c>
      <c r="BT18" s="3">
        <v>4</v>
      </c>
      <c r="BU18" s="3">
        <v>4</v>
      </c>
      <c r="BW18" s="2">
        <v>13</v>
      </c>
      <c r="BX18" s="3">
        <v>1</v>
      </c>
      <c r="BY18" s="3">
        <v>5</v>
      </c>
      <c r="BZ18" s="3">
        <v>1</v>
      </c>
      <c r="CA18" s="3">
        <v>4</v>
      </c>
      <c r="CB18" s="3">
        <v>3</v>
      </c>
      <c r="CC18" s="3">
        <v>4</v>
      </c>
      <c r="CD18" s="3">
        <v>1</v>
      </c>
      <c r="CE18" s="3">
        <v>5</v>
      </c>
      <c r="CF18" s="3">
        <v>1</v>
      </c>
      <c r="CG18" s="3">
        <v>5</v>
      </c>
      <c r="CH18" s="3">
        <f t="shared" si="1"/>
        <v>10</v>
      </c>
      <c r="CJ18" s="9">
        <v>13</v>
      </c>
      <c r="CK18" s="33">
        <v>1</v>
      </c>
      <c r="CL18" s="33">
        <v>0.25</v>
      </c>
      <c r="CM18" s="33">
        <v>1</v>
      </c>
      <c r="CN18" s="33">
        <v>1</v>
      </c>
      <c r="CO18" s="33">
        <v>0.25</v>
      </c>
      <c r="CP18" s="33">
        <v>1</v>
      </c>
      <c r="CQ18" s="33">
        <v>1</v>
      </c>
      <c r="CR18" s="34">
        <v>1</v>
      </c>
      <c r="CS18" s="84"/>
      <c r="CT18" s="9">
        <v>13</v>
      </c>
      <c r="CU18" s="6">
        <v>209</v>
      </c>
      <c r="CV18" s="6">
        <v>180</v>
      </c>
      <c r="CW18" s="6">
        <v>136</v>
      </c>
      <c r="CX18" s="6">
        <v>36</v>
      </c>
      <c r="CY18" s="6">
        <v>153</v>
      </c>
      <c r="CZ18" s="6">
        <v>64</v>
      </c>
      <c r="DA18" s="6">
        <v>40</v>
      </c>
      <c r="DB18" s="7">
        <v>65</v>
      </c>
      <c r="DD18" s="2">
        <v>13</v>
      </c>
      <c r="DE18" s="3">
        <v>3</v>
      </c>
      <c r="DF18" s="3">
        <v>2</v>
      </c>
      <c r="DG18" s="3">
        <v>3</v>
      </c>
      <c r="DH18" s="3">
        <v>4</v>
      </c>
      <c r="DI18" s="3">
        <v>3</v>
      </c>
      <c r="DJ18" s="3">
        <v>3</v>
      </c>
      <c r="DK18" s="3">
        <v>5</v>
      </c>
      <c r="DL18" s="3">
        <v>4</v>
      </c>
      <c r="DN18" s="2">
        <v>13</v>
      </c>
      <c r="DO18" s="3">
        <v>4</v>
      </c>
      <c r="DP18" s="3">
        <v>2</v>
      </c>
      <c r="DQ18" s="3">
        <v>3</v>
      </c>
      <c r="DR18" s="3">
        <v>1</v>
      </c>
      <c r="DS18" s="3">
        <v>2</v>
      </c>
      <c r="DT18" s="3">
        <v>3</v>
      </c>
      <c r="DU18" s="3">
        <v>3</v>
      </c>
      <c r="DV18" s="3">
        <v>2</v>
      </c>
      <c r="DW18" s="3">
        <v>3</v>
      </c>
      <c r="DX18" s="3">
        <v>4</v>
      </c>
      <c r="DY18" s="3">
        <f t="shared" si="2"/>
        <v>57.5</v>
      </c>
      <c r="DZ18" s="3"/>
    </row>
    <row r="19" spans="2:130">
      <c r="B19" s="9">
        <v>14</v>
      </c>
      <c r="C19" s="33">
        <v>0.25</v>
      </c>
      <c r="D19" s="33">
        <v>0.25</v>
      </c>
      <c r="E19" s="33">
        <v>0.25</v>
      </c>
      <c r="F19" s="33">
        <v>1</v>
      </c>
      <c r="G19" s="33">
        <v>1</v>
      </c>
      <c r="H19" s="33">
        <v>0.25</v>
      </c>
      <c r="I19" s="33">
        <v>1</v>
      </c>
      <c r="J19" s="34">
        <v>1</v>
      </c>
      <c r="L19" s="9">
        <v>14</v>
      </c>
      <c r="M19" s="6">
        <v>300</v>
      </c>
      <c r="N19" s="6">
        <v>180</v>
      </c>
      <c r="O19" s="6">
        <v>180</v>
      </c>
      <c r="P19" s="6">
        <v>169</v>
      </c>
      <c r="Q19" s="6">
        <v>55</v>
      </c>
      <c r="R19" s="6">
        <v>42</v>
      </c>
      <c r="S19" s="6">
        <v>78</v>
      </c>
      <c r="T19" s="7">
        <v>45</v>
      </c>
      <c r="U19" s="83"/>
      <c r="V19" s="2">
        <v>14</v>
      </c>
      <c r="W19" s="3">
        <v>3</v>
      </c>
      <c r="X19" s="3">
        <v>2</v>
      </c>
      <c r="Y19" s="3">
        <v>3</v>
      </c>
      <c r="Z19" s="3">
        <v>2</v>
      </c>
      <c r="AA19" s="3">
        <v>5</v>
      </c>
      <c r="AB19" s="3">
        <v>5</v>
      </c>
      <c r="AC19" s="3">
        <v>3</v>
      </c>
      <c r="AD19" s="3">
        <v>5</v>
      </c>
      <c r="AF19" s="2">
        <v>14</v>
      </c>
      <c r="AG19" s="3">
        <v>4</v>
      </c>
      <c r="AH19" s="3">
        <v>3</v>
      </c>
      <c r="AI19" s="3">
        <v>3</v>
      </c>
      <c r="AJ19" s="3">
        <v>1</v>
      </c>
      <c r="AK19" s="3">
        <v>4</v>
      </c>
      <c r="AL19" s="3">
        <v>2</v>
      </c>
      <c r="AM19" s="3">
        <v>3</v>
      </c>
      <c r="AN19" s="3">
        <v>3</v>
      </c>
      <c r="AO19" s="3">
        <v>2</v>
      </c>
      <c r="AP19" s="3">
        <v>4</v>
      </c>
      <c r="AQ19" s="3">
        <f t="shared" si="0"/>
        <v>57.5</v>
      </c>
      <c r="AR19" s="3"/>
      <c r="AS19" s="9">
        <v>14</v>
      </c>
      <c r="AT19" s="33">
        <v>0.25</v>
      </c>
      <c r="AU19" s="33">
        <v>0</v>
      </c>
      <c r="AV19" s="33">
        <v>0.25</v>
      </c>
      <c r="AW19" s="33">
        <v>0</v>
      </c>
      <c r="AX19" s="33">
        <v>0.25</v>
      </c>
      <c r="AY19" s="33">
        <v>0.25</v>
      </c>
      <c r="AZ19" s="33">
        <v>0</v>
      </c>
      <c r="BA19" s="34">
        <v>0.25</v>
      </c>
      <c r="BC19" s="9">
        <v>14</v>
      </c>
      <c r="BD19" s="6">
        <v>300</v>
      </c>
      <c r="BE19" s="6">
        <v>180</v>
      </c>
      <c r="BF19" s="6">
        <v>179</v>
      </c>
      <c r="BG19" s="6">
        <v>180</v>
      </c>
      <c r="BH19" s="6">
        <v>179</v>
      </c>
      <c r="BI19" s="6">
        <v>148</v>
      </c>
      <c r="BJ19" s="6">
        <v>123</v>
      </c>
      <c r="BK19" s="7">
        <v>180</v>
      </c>
      <c r="BM19" s="2">
        <v>14</v>
      </c>
      <c r="BN19" s="3">
        <v>3</v>
      </c>
      <c r="BO19" s="3">
        <v>2</v>
      </c>
      <c r="BP19" s="3">
        <v>3</v>
      </c>
      <c r="BQ19" s="3">
        <v>1</v>
      </c>
      <c r="BR19" s="3">
        <v>4</v>
      </c>
      <c r="BS19" s="3">
        <v>2</v>
      </c>
      <c r="BT19" s="3">
        <v>3</v>
      </c>
      <c r="BU19" s="3">
        <v>2</v>
      </c>
      <c r="BW19" s="2">
        <v>14</v>
      </c>
      <c r="BX19" s="3">
        <v>3</v>
      </c>
      <c r="BY19" s="3">
        <v>4</v>
      </c>
      <c r="BZ19" s="3">
        <v>2</v>
      </c>
      <c r="CA19" s="3">
        <v>2</v>
      </c>
      <c r="CB19" s="3">
        <v>3</v>
      </c>
      <c r="CC19" s="3">
        <v>3</v>
      </c>
      <c r="CD19" s="3">
        <v>2</v>
      </c>
      <c r="CE19" s="3">
        <v>3</v>
      </c>
      <c r="CF19" s="3">
        <v>2</v>
      </c>
      <c r="CG19" s="3">
        <v>4</v>
      </c>
      <c r="CH19" s="3">
        <f t="shared" si="1"/>
        <v>40</v>
      </c>
      <c r="CJ19" s="9">
        <v>14</v>
      </c>
      <c r="CK19" s="33">
        <v>0.25</v>
      </c>
      <c r="CL19" s="33">
        <v>0.25</v>
      </c>
      <c r="CM19" s="33">
        <v>0.25</v>
      </c>
      <c r="CN19" s="33">
        <v>1</v>
      </c>
      <c r="CO19" s="33">
        <v>0</v>
      </c>
      <c r="CP19" s="33">
        <v>0.25</v>
      </c>
      <c r="CQ19" s="33">
        <v>0.25</v>
      </c>
      <c r="CR19" s="33">
        <v>0.25</v>
      </c>
      <c r="CS19" s="84"/>
      <c r="CT19" s="9">
        <v>14</v>
      </c>
      <c r="CU19" s="6">
        <v>300</v>
      </c>
      <c r="CV19" s="6">
        <v>120</v>
      </c>
      <c r="CW19" s="6">
        <v>180</v>
      </c>
      <c r="CX19" s="6">
        <v>42</v>
      </c>
      <c r="CY19" s="6">
        <v>180</v>
      </c>
      <c r="CZ19" s="6">
        <v>179</v>
      </c>
      <c r="DA19" s="6">
        <v>159</v>
      </c>
      <c r="DB19" s="7">
        <v>180</v>
      </c>
      <c r="DD19" s="2">
        <v>14</v>
      </c>
      <c r="DE19" s="3">
        <v>1</v>
      </c>
      <c r="DF19" s="3">
        <v>3</v>
      </c>
      <c r="DG19" s="3">
        <v>2</v>
      </c>
      <c r="DH19" s="3">
        <v>4</v>
      </c>
      <c r="DI19" s="3">
        <v>1</v>
      </c>
      <c r="DJ19" s="3">
        <v>2</v>
      </c>
      <c r="DK19" s="3">
        <v>3</v>
      </c>
      <c r="DL19" s="3">
        <v>1</v>
      </c>
      <c r="DN19" s="2">
        <v>14</v>
      </c>
      <c r="DO19" s="3">
        <v>3</v>
      </c>
      <c r="DP19" s="3">
        <v>4</v>
      </c>
      <c r="DQ19" s="3">
        <v>2</v>
      </c>
      <c r="DR19" s="3">
        <v>1</v>
      </c>
      <c r="DS19" s="3">
        <v>2</v>
      </c>
      <c r="DT19" s="3">
        <v>3</v>
      </c>
      <c r="DU19" s="3">
        <v>2</v>
      </c>
      <c r="DV19" s="3">
        <v>3</v>
      </c>
      <c r="DW19" s="3">
        <v>1</v>
      </c>
      <c r="DX19" s="3">
        <v>5</v>
      </c>
      <c r="DY19" s="3">
        <f t="shared" si="2"/>
        <v>35</v>
      </c>
      <c r="DZ19" s="3"/>
    </row>
    <row r="20" spans="2:130">
      <c r="B20" s="9">
        <v>15</v>
      </c>
      <c r="C20" s="33">
        <v>0</v>
      </c>
      <c r="D20" s="33">
        <v>0</v>
      </c>
      <c r="E20" s="33">
        <v>0.25</v>
      </c>
      <c r="F20" s="33">
        <v>1</v>
      </c>
      <c r="G20" s="33">
        <v>1</v>
      </c>
      <c r="H20" s="33">
        <v>1</v>
      </c>
      <c r="I20" s="33">
        <v>1</v>
      </c>
      <c r="J20" s="33">
        <v>1</v>
      </c>
      <c r="L20" s="9">
        <v>15</v>
      </c>
      <c r="M20" s="86">
        <v>300</v>
      </c>
      <c r="N20" s="86">
        <v>180</v>
      </c>
      <c r="O20" s="86">
        <v>98</v>
      </c>
      <c r="P20" s="86">
        <v>162</v>
      </c>
      <c r="Q20" s="86">
        <v>82</v>
      </c>
      <c r="R20" s="86">
        <v>64</v>
      </c>
      <c r="S20" s="86">
        <v>28</v>
      </c>
      <c r="T20" s="87">
        <v>84</v>
      </c>
      <c r="U20" s="83"/>
      <c r="V20" s="2">
        <v>15</v>
      </c>
      <c r="W20" s="3">
        <v>4</v>
      </c>
      <c r="X20" s="3">
        <v>2</v>
      </c>
      <c r="Y20" s="3">
        <v>4</v>
      </c>
      <c r="Z20" s="3">
        <v>4</v>
      </c>
      <c r="AA20" s="3">
        <v>4</v>
      </c>
      <c r="AB20" s="3">
        <v>4</v>
      </c>
      <c r="AC20" s="3">
        <v>4</v>
      </c>
      <c r="AD20" s="3">
        <v>5</v>
      </c>
      <c r="AF20" s="2">
        <v>15</v>
      </c>
      <c r="AG20" s="3">
        <v>4</v>
      </c>
      <c r="AH20" s="3">
        <v>2</v>
      </c>
      <c r="AI20" s="3">
        <v>4</v>
      </c>
      <c r="AJ20" s="3">
        <v>1</v>
      </c>
      <c r="AK20" s="3">
        <v>4</v>
      </c>
      <c r="AL20" s="3">
        <v>1</v>
      </c>
      <c r="AM20" s="3">
        <v>4</v>
      </c>
      <c r="AN20" s="3">
        <v>2</v>
      </c>
      <c r="AO20" s="3">
        <v>4</v>
      </c>
      <c r="AP20" s="3">
        <v>4</v>
      </c>
      <c r="AQ20" s="3">
        <f t="shared" si="0"/>
        <v>75</v>
      </c>
      <c r="AR20" s="3"/>
      <c r="AS20" s="9">
        <v>15</v>
      </c>
      <c r="AT20" s="33">
        <v>0.25</v>
      </c>
      <c r="AU20" s="33">
        <v>0</v>
      </c>
      <c r="AV20" s="33">
        <v>0</v>
      </c>
      <c r="AW20" s="33">
        <v>0</v>
      </c>
      <c r="AX20" s="33">
        <v>0</v>
      </c>
      <c r="AY20" s="33">
        <v>0</v>
      </c>
      <c r="AZ20" s="33">
        <v>0</v>
      </c>
      <c r="BA20" s="34">
        <v>0</v>
      </c>
      <c r="BC20" s="9">
        <v>15</v>
      </c>
      <c r="BD20" s="6">
        <v>269</v>
      </c>
      <c r="BE20" s="6">
        <v>61</v>
      </c>
      <c r="BF20" s="6">
        <v>104</v>
      </c>
      <c r="BG20" s="6">
        <v>102</v>
      </c>
      <c r="BH20" s="6">
        <v>141</v>
      </c>
      <c r="BI20" s="6">
        <v>137</v>
      </c>
      <c r="BJ20" s="6">
        <v>180</v>
      </c>
      <c r="BK20" s="7">
        <v>180</v>
      </c>
      <c r="BM20" s="2">
        <v>15</v>
      </c>
      <c r="BN20" s="3">
        <v>2</v>
      </c>
      <c r="BO20" s="3">
        <v>4</v>
      </c>
      <c r="BP20" s="3">
        <v>3</v>
      </c>
      <c r="BQ20" s="3">
        <v>1</v>
      </c>
      <c r="BR20" s="3">
        <v>4</v>
      </c>
      <c r="BS20" s="3">
        <v>1</v>
      </c>
      <c r="BT20" s="3">
        <v>1</v>
      </c>
      <c r="BU20" s="3">
        <v>1</v>
      </c>
      <c r="BW20" s="2">
        <v>15</v>
      </c>
      <c r="BX20" s="3">
        <v>2</v>
      </c>
      <c r="BY20" s="3">
        <v>4</v>
      </c>
      <c r="BZ20" s="3">
        <v>2</v>
      </c>
      <c r="CA20" s="3">
        <v>2</v>
      </c>
      <c r="CB20" s="3">
        <v>4</v>
      </c>
      <c r="CC20" s="3">
        <v>3</v>
      </c>
      <c r="CD20" s="3">
        <v>2</v>
      </c>
      <c r="CE20" s="3">
        <v>4</v>
      </c>
      <c r="CF20" s="3">
        <v>2</v>
      </c>
      <c r="CG20" s="3">
        <v>4</v>
      </c>
      <c r="CH20" s="3">
        <f t="shared" si="1"/>
        <v>37.5</v>
      </c>
      <c r="CJ20" s="9">
        <v>15</v>
      </c>
      <c r="CK20" s="33">
        <v>0</v>
      </c>
      <c r="CL20" s="33">
        <v>0.25</v>
      </c>
      <c r="CM20" s="33">
        <v>0.25</v>
      </c>
      <c r="CN20" s="33">
        <v>1</v>
      </c>
      <c r="CO20" s="33">
        <v>0.25</v>
      </c>
      <c r="CP20" s="33">
        <v>1</v>
      </c>
      <c r="CQ20" s="33">
        <v>1</v>
      </c>
      <c r="CR20" s="34">
        <v>1</v>
      </c>
      <c r="CS20" s="84"/>
      <c r="CT20" s="9">
        <v>15</v>
      </c>
      <c r="CU20" s="6">
        <v>300</v>
      </c>
      <c r="CV20" s="6">
        <v>101</v>
      </c>
      <c r="CW20" s="6">
        <v>180</v>
      </c>
      <c r="CX20" s="6">
        <v>180</v>
      </c>
      <c r="CY20" s="6">
        <v>180</v>
      </c>
      <c r="CZ20" s="6">
        <v>151</v>
      </c>
      <c r="DA20" s="6">
        <v>64</v>
      </c>
      <c r="DB20" s="7">
        <v>122</v>
      </c>
      <c r="DD20" s="2">
        <v>15</v>
      </c>
      <c r="DE20" s="3">
        <v>1</v>
      </c>
      <c r="DF20" s="3">
        <v>3</v>
      </c>
      <c r="DG20" s="3">
        <v>2</v>
      </c>
      <c r="DH20" s="3">
        <v>1</v>
      </c>
      <c r="DI20" s="3">
        <v>2</v>
      </c>
      <c r="DJ20" s="3">
        <v>2</v>
      </c>
      <c r="DK20" s="3">
        <v>4</v>
      </c>
      <c r="DL20" s="3">
        <v>5</v>
      </c>
      <c r="DN20" s="2">
        <v>15</v>
      </c>
      <c r="DO20" s="3">
        <v>2</v>
      </c>
      <c r="DP20" s="3">
        <v>4</v>
      </c>
      <c r="DQ20" s="3">
        <v>2</v>
      </c>
      <c r="DR20" s="3">
        <v>2</v>
      </c>
      <c r="DS20" s="3">
        <v>3</v>
      </c>
      <c r="DT20" s="3">
        <v>2</v>
      </c>
      <c r="DU20" s="3">
        <v>2</v>
      </c>
      <c r="DV20" s="3">
        <v>4</v>
      </c>
      <c r="DW20" s="3">
        <v>2</v>
      </c>
      <c r="DX20" s="3">
        <v>4</v>
      </c>
      <c r="DY20" s="3">
        <f t="shared" si="2"/>
        <v>37.5</v>
      </c>
      <c r="DZ20" s="3"/>
    </row>
    <row r="21" spans="2:130">
      <c r="B21" s="9">
        <v>16</v>
      </c>
      <c r="C21" s="33">
        <v>0</v>
      </c>
      <c r="D21" s="33">
        <v>0</v>
      </c>
      <c r="E21" s="33">
        <v>0</v>
      </c>
      <c r="F21" s="33">
        <v>0</v>
      </c>
      <c r="G21" s="33">
        <v>0.25</v>
      </c>
      <c r="H21" s="33">
        <v>0.25</v>
      </c>
      <c r="I21" s="33">
        <v>0.25</v>
      </c>
      <c r="J21" s="33">
        <v>0</v>
      </c>
      <c r="L21" s="9">
        <v>16</v>
      </c>
      <c r="M21" s="6">
        <v>300</v>
      </c>
      <c r="N21" s="6">
        <v>180</v>
      </c>
      <c r="O21" s="6">
        <v>180</v>
      </c>
      <c r="P21" s="6">
        <v>180</v>
      </c>
      <c r="Q21" s="6">
        <v>180</v>
      </c>
      <c r="R21" s="6">
        <v>180</v>
      </c>
      <c r="S21" s="6">
        <v>180</v>
      </c>
      <c r="T21" s="7">
        <v>80</v>
      </c>
      <c r="U21" s="83"/>
      <c r="V21" s="2">
        <v>16</v>
      </c>
      <c r="W21" s="3">
        <v>1</v>
      </c>
      <c r="X21" s="3">
        <v>2</v>
      </c>
      <c r="Y21" s="3">
        <v>1</v>
      </c>
      <c r="Z21" s="3">
        <v>3</v>
      </c>
      <c r="AA21" s="3">
        <v>2</v>
      </c>
      <c r="AB21" s="3">
        <v>3</v>
      </c>
      <c r="AC21" s="3">
        <v>2</v>
      </c>
      <c r="AD21" s="3">
        <v>1</v>
      </c>
      <c r="AF21" s="2">
        <v>16</v>
      </c>
      <c r="AG21" s="3">
        <v>2</v>
      </c>
      <c r="AH21" s="3">
        <v>4</v>
      </c>
      <c r="AI21" s="3">
        <v>2</v>
      </c>
      <c r="AJ21" s="3">
        <v>4</v>
      </c>
      <c r="AK21" s="3">
        <v>2</v>
      </c>
      <c r="AL21" s="3">
        <v>4</v>
      </c>
      <c r="AM21" s="3">
        <v>2</v>
      </c>
      <c r="AN21" s="3">
        <v>4</v>
      </c>
      <c r="AO21" s="3">
        <v>1</v>
      </c>
      <c r="AP21" s="3">
        <v>5</v>
      </c>
      <c r="AQ21" s="3">
        <f t="shared" si="0"/>
        <v>20</v>
      </c>
      <c r="AR21" s="3"/>
      <c r="AS21" s="9">
        <v>16</v>
      </c>
      <c r="AT21" s="33">
        <v>0.25</v>
      </c>
      <c r="AU21" s="33">
        <v>0</v>
      </c>
      <c r="AV21" s="33">
        <v>0</v>
      </c>
      <c r="AW21" s="33">
        <v>0</v>
      </c>
      <c r="AX21" s="33">
        <v>0</v>
      </c>
      <c r="AY21" s="33">
        <v>0</v>
      </c>
      <c r="AZ21" s="33">
        <v>0.25</v>
      </c>
      <c r="BA21" s="34">
        <v>0</v>
      </c>
      <c r="BC21" s="9">
        <v>16</v>
      </c>
      <c r="BD21" s="6">
        <v>138</v>
      </c>
      <c r="BE21" s="6">
        <v>180</v>
      </c>
      <c r="BF21" s="6">
        <v>180</v>
      </c>
      <c r="BG21" s="27">
        <v>180</v>
      </c>
      <c r="BH21" s="6">
        <v>180</v>
      </c>
      <c r="BI21" s="6">
        <v>180</v>
      </c>
      <c r="BJ21" s="6">
        <v>180</v>
      </c>
      <c r="BK21" s="7">
        <v>180</v>
      </c>
      <c r="BM21" s="2">
        <v>16</v>
      </c>
      <c r="BN21" s="3">
        <v>4</v>
      </c>
      <c r="BO21" s="3">
        <v>2</v>
      </c>
      <c r="BP21" s="3">
        <v>2</v>
      </c>
      <c r="BQ21" s="3">
        <v>1</v>
      </c>
      <c r="BR21" s="3">
        <v>1</v>
      </c>
      <c r="BS21" s="3">
        <v>2</v>
      </c>
      <c r="BT21" s="3">
        <v>1</v>
      </c>
      <c r="BU21" s="3">
        <v>1</v>
      </c>
      <c r="BW21" s="2">
        <v>16</v>
      </c>
      <c r="BX21" s="3">
        <v>5</v>
      </c>
      <c r="BY21" s="3">
        <v>4</v>
      </c>
      <c r="BZ21" s="3">
        <v>1</v>
      </c>
      <c r="CA21" s="3">
        <v>5</v>
      </c>
      <c r="CB21" s="3">
        <v>2</v>
      </c>
      <c r="CC21" s="3">
        <v>4</v>
      </c>
      <c r="CD21" s="3">
        <v>4</v>
      </c>
      <c r="CE21" s="3">
        <v>2</v>
      </c>
      <c r="CF21" s="3">
        <v>1</v>
      </c>
      <c r="CG21" s="3">
        <v>5</v>
      </c>
      <c r="CH21" s="3">
        <f t="shared" si="1"/>
        <v>32.5</v>
      </c>
      <c r="CJ21" s="9">
        <v>16</v>
      </c>
      <c r="CK21" s="39">
        <v>0</v>
      </c>
      <c r="CL21" s="39">
        <v>0.25</v>
      </c>
      <c r="CM21" s="39">
        <v>0.25</v>
      </c>
      <c r="CN21" s="39">
        <v>1</v>
      </c>
      <c r="CO21" s="39">
        <v>0</v>
      </c>
      <c r="CP21" s="39">
        <v>0</v>
      </c>
      <c r="CQ21" s="39">
        <v>0</v>
      </c>
      <c r="CR21" s="40">
        <v>0</v>
      </c>
      <c r="CS21" s="84"/>
      <c r="CT21" s="9">
        <v>16</v>
      </c>
      <c r="CU21" s="26">
        <v>300</v>
      </c>
      <c r="CV21" s="26">
        <v>83</v>
      </c>
      <c r="CW21" s="26">
        <v>180</v>
      </c>
      <c r="CX21" s="26">
        <v>169</v>
      </c>
      <c r="CY21" s="26">
        <v>164</v>
      </c>
      <c r="CZ21" s="26">
        <v>139</v>
      </c>
      <c r="DA21" s="26">
        <v>180</v>
      </c>
      <c r="DB21" s="85">
        <v>180</v>
      </c>
      <c r="DD21" s="2">
        <v>16</v>
      </c>
      <c r="DE21" s="3">
        <v>3</v>
      </c>
      <c r="DF21" s="3">
        <v>4</v>
      </c>
      <c r="DG21" s="3">
        <v>4</v>
      </c>
      <c r="DH21" s="3">
        <v>3</v>
      </c>
      <c r="DI21" s="3">
        <v>1</v>
      </c>
      <c r="DJ21" s="3">
        <v>1</v>
      </c>
      <c r="DK21" s="3">
        <v>1</v>
      </c>
      <c r="DL21" s="3">
        <v>1</v>
      </c>
      <c r="DN21" s="2">
        <v>16</v>
      </c>
      <c r="DO21" s="3">
        <v>3</v>
      </c>
      <c r="DP21" s="3">
        <v>3</v>
      </c>
      <c r="DQ21" s="3">
        <v>2</v>
      </c>
      <c r="DR21" s="3">
        <v>3</v>
      </c>
      <c r="DS21" s="3">
        <v>2</v>
      </c>
      <c r="DT21" s="3">
        <v>4</v>
      </c>
      <c r="DU21" s="3">
        <v>3</v>
      </c>
      <c r="DV21" s="3">
        <v>3</v>
      </c>
      <c r="DW21" s="3">
        <v>2</v>
      </c>
      <c r="DX21" s="3">
        <v>5</v>
      </c>
      <c r="DY21" s="3">
        <f t="shared" si="2"/>
        <v>35</v>
      </c>
      <c r="DZ21" s="3"/>
    </row>
    <row r="22" spans="2:130">
      <c r="B22" s="9">
        <v>17</v>
      </c>
      <c r="C22" s="33">
        <v>0.25</v>
      </c>
      <c r="D22" s="33">
        <v>0.25</v>
      </c>
      <c r="E22" s="33">
        <v>0.25</v>
      </c>
      <c r="F22" s="33">
        <v>1</v>
      </c>
      <c r="G22" s="33">
        <v>1</v>
      </c>
      <c r="H22" s="33">
        <v>1</v>
      </c>
      <c r="I22" s="33">
        <v>1</v>
      </c>
      <c r="J22" s="34">
        <v>1</v>
      </c>
      <c r="L22" s="9">
        <v>17</v>
      </c>
      <c r="M22" s="6">
        <v>300</v>
      </c>
      <c r="N22" s="6">
        <v>180</v>
      </c>
      <c r="O22" s="6">
        <v>127</v>
      </c>
      <c r="P22" s="6">
        <v>46</v>
      </c>
      <c r="Q22" s="6">
        <v>100</v>
      </c>
      <c r="R22" s="6">
        <v>27</v>
      </c>
      <c r="S22" s="6">
        <v>32</v>
      </c>
      <c r="T22" s="7">
        <v>36</v>
      </c>
      <c r="U22" s="83"/>
      <c r="V22" s="2">
        <v>17</v>
      </c>
      <c r="W22" s="3">
        <v>2</v>
      </c>
      <c r="X22" s="3">
        <v>1</v>
      </c>
      <c r="Y22" s="3">
        <v>3</v>
      </c>
      <c r="Z22" s="3">
        <v>3</v>
      </c>
      <c r="AA22" s="3">
        <v>2</v>
      </c>
      <c r="AB22" s="3">
        <v>4</v>
      </c>
      <c r="AC22" s="3">
        <v>4</v>
      </c>
      <c r="AD22" s="3">
        <v>4</v>
      </c>
      <c r="AF22" s="2">
        <v>17</v>
      </c>
      <c r="AG22" s="3">
        <v>5</v>
      </c>
      <c r="AH22" s="3">
        <v>2</v>
      </c>
      <c r="AI22" s="3">
        <v>3</v>
      </c>
      <c r="AJ22" s="3">
        <v>2</v>
      </c>
      <c r="AK22" s="3">
        <v>1</v>
      </c>
      <c r="AL22" s="3">
        <v>3</v>
      </c>
      <c r="AM22" s="3">
        <v>3</v>
      </c>
      <c r="AN22" s="3">
        <v>2</v>
      </c>
      <c r="AO22" s="3">
        <v>2</v>
      </c>
      <c r="AP22" s="3">
        <v>4</v>
      </c>
      <c r="AQ22" s="3">
        <f t="shared" si="0"/>
        <v>52.5</v>
      </c>
      <c r="AR22" s="3"/>
      <c r="AS22" s="9">
        <v>17</v>
      </c>
      <c r="AT22" s="33">
        <v>0.25</v>
      </c>
      <c r="AU22" s="33">
        <v>0</v>
      </c>
      <c r="AV22" s="33">
        <v>0</v>
      </c>
      <c r="AW22" s="33">
        <v>0</v>
      </c>
      <c r="AX22" s="33">
        <v>1</v>
      </c>
      <c r="AY22" s="33">
        <v>0</v>
      </c>
      <c r="AZ22" s="33">
        <v>0</v>
      </c>
      <c r="BA22" s="34">
        <v>1</v>
      </c>
      <c r="BC22" s="9">
        <v>17</v>
      </c>
      <c r="BD22" s="6">
        <v>207</v>
      </c>
      <c r="BE22" s="6">
        <v>180</v>
      </c>
      <c r="BF22" s="6">
        <v>123</v>
      </c>
      <c r="BG22" s="6">
        <v>148</v>
      </c>
      <c r="BH22" s="6">
        <v>159</v>
      </c>
      <c r="BI22" s="6">
        <v>37</v>
      </c>
      <c r="BJ22" s="6">
        <v>134</v>
      </c>
      <c r="BK22" s="7">
        <v>128</v>
      </c>
      <c r="BM22" s="2">
        <v>17</v>
      </c>
      <c r="BN22" s="3">
        <v>4</v>
      </c>
      <c r="BO22" s="3">
        <v>2</v>
      </c>
      <c r="BP22" s="3">
        <v>2</v>
      </c>
      <c r="BQ22" s="3">
        <v>1</v>
      </c>
      <c r="BR22" s="3">
        <v>3</v>
      </c>
      <c r="BS22" s="3">
        <v>1</v>
      </c>
      <c r="BT22" s="3">
        <v>3</v>
      </c>
      <c r="BU22" s="3">
        <v>2</v>
      </c>
      <c r="BW22" s="2">
        <v>17</v>
      </c>
      <c r="BX22" s="3">
        <v>3</v>
      </c>
      <c r="BY22" s="3">
        <v>3</v>
      </c>
      <c r="BZ22" s="3">
        <v>2</v>
      </c>
      <c r="CA22" s="3">
        <v>4</v>
      </c>
      <c r="CB22" s="3">
        <v>3</v>
      </c>
      <c r="CC22" s="3">
        <v>3</v>
      </c>
      <c r="CD22" s="3">
        <v>4</v>
      </c>
      <c r="CE22" s="3">
        <v>2</v>
      </c>
      <c r="CF22" s="3">
        <v>2</v>
      </c>
      <c r="CG22" s="3">
        <v>3</v>
      </c>
      <c r="CH22" s="3">
        <f t="shared" si="1"/>
        <v>47.5</v>
      </c>
      <c r="CJ22" s="9">
        <v>17</v>
      </c>
      <c r="CK22" s="33">
        <v>0</v>
      </c>
      <c r="CL22" s="33">
        <v>1</v>
      </c>
      <c r="CM22" s="33">
        <v>0.25</v>
      </c>
      <c r="CN22" s="33">
        <v>1</v>
      </c>
      <c r="CO22" s="33">
        <v>0</v>
      </c>
      <c r="CP22" s="33">
        <v>1</v>
      </c>
      <c r="CQ22" s="33">
        <v>1</v>
      </c>
      <c r="CR22" s="34">
        <v>1</v>
      </c>
      <c r="CS22" s="84"/>
      <c r="CT22" s="9">
        <v>17</v>
      </c>
      <c r="CU22" s="6">
        <v>300</v>
      </c>
      <c r="CV22" s="6">
        <v>158</v>
      </c>
      <c r="CW22" s="6">
        <v>120</v>
      </c>
      <c r="CX22" s="6">
        <v>53</v>
      </c>
      <c r="CY22" s="6">
        <v>180</v>
      </c>
      <c r="CZ22" s="6">
        <v>145</v>
      </c>
      <c r="DA22" s="6">
        <v>39</v>
      </c>
      <c r="DB22" s="7">
        <v>66</v>
      </c>
      <c r="DD22" s="2">
        <v>17</v>
      </c>
      <c r="DE22" s="3">
        <v>1</v>
      </c>
      <c r="DF22" s="3">
        <v>1</v>
      </c>
      <c r="DG22" s="3">
        <v>3</v>
      </c>
      <c r="DH22" s="3">
        <v>3</v>
      </c>
      <c r="DI22" s="3">
        <v>1</v>
      </c>
      <c r="DJ22" s="3">
        <v>2</v>
      </c>
      <c r="DK22" s="3">
        <v>3</v>
      </c>
      <c r="DL22" s="3">
        <v>3</v>
      </c>
      <c r="DN22" s="2">
        <v>17</v>
      </c>
      <c r="DO22" s="3">
        <v>1</v>
      </c>
      <c r="DP22" s="3">
        <v>1</v>
      </c>
      <c r="DQ22" s="3">
        <v>1</v>
      </c>
      <c r="DR22" s="3">
        <v>4</v>
      </c>
      <c r="DS22" s="3">
        <v>1</v>
      </c>
      <c r="DT22" s="3">
        <v>4</v>
      </c>
      <c r="DU22" s="3">
        <v>2</v>
      </c>
      <c r="DV22" s="3">
        <v>5</v>
      </c>
      <c r="DW22" s="3">
        <v>1</v>
      </c>
      <c r="DX22" s="3">
        <v>5</v>
      </c>
      <c r="DY22" s="3">
        <f t="shared" si="2"/>
        <v>17.5</v>
      </c>
      <c r="DZ22" s="3"/>
    </row>
    <row r="23" spans="2:130">
      <c r="B23" s="9">
        <v>18</v>
      </c>
      <c r="C23" s="33">
        <v>0.25</v>
      </c>
      <c r="D23" s="33">
        <v>0.25</v>
      </c>
      <c r="E23" s="33">
        <v>0.25</v>
      </c>
      <c r="F23" s="33">
        <v>1</v>
      </c>
      <c r="G23" s="33">
        <v>1</v>
      </c>
      <c r="H23" s="33">
        <v>1</v>
      </c>
      <c r="I23" s="33">
        <v>1</v>
      </c>
      <c r="J23" s="34">
        <v>1</v>
      </c>
      <c r="L23" s="9">
        <v>18</v>
      </c>
      <c r="M23" s="6">
        <v>249</v>
      </c>
      <c r="N23" s="6">
        <v>180</v>
      </c>
      <c r="O23" s="6">
        <v>83</v>
      </c>
      <c r="P23" s="6">
        <v>44</v>
      </c>
      <c r="Q23" s="6">
        <v>34</v>
      </c>
      <c r="R23" s="6">
        <v>22</v>
      </c>
      <c r="S23" s="6">
        <v>29</v>
      </c>
      <c r="T23" s="7">
        <v>17</v>
      </c>
      <c r="U23" s="83"/>
      <c r="V23" s="2">
        <v>18</v>
      </c>
      <c r="W23" s="3">
        <v>4</v>
      </c>
      <c r="X23" s="3">
        <v>2</v>
      </c>
      <c r="Y23" s="3">
        <v>5</v>
      </c>
      <c r="Z23" s="3">
        <v>5</v>
      </c>
      <c r="AA23" s="3">
        <v>5</v>
      </c>
      <c r="AB23" s="3">
        <v>5</v>
      </c>
      <c r="AC23" s="3">
        <v>5</v>
      </c>
      <c r="AD23" s="3">
        <v>5</v>
      </c>
      <c r="AF23" s="2">
        <v>18</v>
      </c>
      <c r="AG23" s="3">
        <v>4</v>
      </c>
      <c r="AH23" s="3">
        <v>2</v>
      </c>
      <c r="AI23" s="3">
        <v>4</v>
      </c>
      <c r="AJ23" s="3">
        <v>2</v>
      </c>
      <c r="AK23" s="3">
        <v>3</v>
      </c>
      <c r="AL23" s="3">
        <v>2</v>
      </c>
      <c r="AM23" s="3">
        <v>5</v>
      </c>
      <c r="AN23" s="3">
        <v>2</v>
      </c>
      <c r="AO23" s="3">
        <v>4</v>
      </c>
      <c r="AP23" s="3">
        <v>3</v>
      </c>
      <c r="AQ23" s="3">
        <f t="shared" si="0"/>
        <v>72.5</v>
      </c>
      <c r="AR23" s="3"/>
      <c r="AS23" s="9">
        <v>18</v>
      </c>
      <c r="AT23" s="33">
        <v>1</v>
      </c>
      <c r="AU23" s="33">
        <v>0.25</v>
      </c>
      <c r="AV23" s="33">
        <v>1</v>
      </c>
      <c r="AW23" s="33">
        <v>0</v>
      </c>
      <c r="AX23" s="33">
        <v>1</v>
      </c>
      <c r="AY23" s="33">
        <v>0</v>
      </c>
      <c r="AZ23" s="33">
        <v>0</v>
      </c>
      <c r="BA23" s="34">
        <v>0</v>
      </c>
      <c r="BC23" s="9">
        <v>18</v>
      </c>
      <c r="BD23" s="6">
        <v>189</v>
      </c>
      <c r="BE23" s="6">
        <v>180</v>
      </c>
      <c r="BF23" s="6">
        <v>47</v>
      </c>
      <c r="BG23" s="6">
        <v>126</v>
      </c>
      <c r="BH23" s="6">
        <v>69</v>
      </c>
      <c r="BI23" s="6">
        <v>102</v>
      </c>
      <c r="BJ23" s="6">
        <v>180</v>
      </c>
      <c r="BK23" s="7">
        <v>132</v>
      </c>
      <c r="BM23" s="2">
        <v>18</v>
      </c>
      <c r="BN23" s="3">
        <v>3</v>
      </c>
      <c r="BO23" s="3">
        <v>2</v>
      </c>
      <c r="BP23" s="3">
        <v>4</v>
      </c>
      <c r="BQ23" s="3">
        <v>1</v>
      </c>
      <c r="BR23" s="3">
        <v>4</v>
      </c>
      <c r="BS23" s="3">
        <v>1</v>
      </c>
      <c r="BT23" s="3">
        <v>1</v>
      </c>
      <c r="BU23" s="3">
        <v>1</v>
      </c>
      <c r="BW23" s="2">
        <v>18</v>
      </c>
      <c r="BX23" s="3">
        <v>2</v>
      </c>
      <c r="BY23" s="3">
        <v>3</v>
      </c>
      <c r="BZ23" s="3">
        <v>2</v>
      </c>
      <c r="CA23" s="3">
        <v>3</v>
      </c>
      <c r="CB23" s="3">
        <v>2</v>
      </c>
      <c r="CC23" s="3">
        <v>4</v>
      </c>
      <c r="CD23" s="3">
        <v>2</v>
      </c>
      <c r="CE23" s="3">
        <v>3</v>
      </c>
      <c r="CF23" s="3">
        <v>2</v>
      </c>
      <c r="CG23" s="3">
        <v>4</v>
      </c>
      <c r="CH23" s="3">
        <f t="shared" si="1"/>
        <v>32.5</v>
      </c>
      <c r="CJ23" s="9">
        <v>18</v>
      </c>
      <c r="CK23" s="33">
        <v>1</v>
      </c>
      <c r="CL23" s="33">
        <v>1</v>
      </c>
      <c r="CM23" s="33">
        <v>1</v>
      </c>
      <c r="CN23" s="33">
        <v>0.25</v>
      </c>
      <c r="CO23" s="33">
        <v>0.25</v>
      </c>
      <c r="CP23" s="33">
        <v>1</v>
      </c>
      <c r="CQ23" s="33">
        <v>0.25</v>
      </c>
      <c r="CR23" s="34">
        <v>1</v>
      </c>
      <c r="CS23" s="84"/>
      <c r="CT23" s="9">
        <v>18</v>
      </c>
      <c r="CU23" s="6">
        <v>229</v>
      </c>
      <c r="CV23" s="6">
        <v>36</v>
      </c>
      <c r="CW23" s="6">
        <v>77</v>
      </c>
      <c r="CX23" s="6">
        <v>86</v>
      </c>
      <c r="CY23" s="6">
        <v>23</v>
      </c>
      <c r="CZ23" s="6">
        <v>55</v>
      </c>
      <c r="DA23" s="6">
        <v>37</v>
      </c>
      <c r="DB23" s="7">
        <v>37</v>
      </c>
      <c r="DD23" s="2">
        <v>18</v>
      </c>
      <c r="DE23" s="3">
        <v>3</v>
      </c>
      <c r="DF23" s="3">
        <v>4</v>
      </c>
      <c r="DG23" s="3">
        <v>4</v>
      </c>
      <c r="DH23" s="3">
        <v>3</v>
      </c>
      <c r="DI23" s="3">
        <v>5</v>
      </c>
      <c r="DJ23" s="3">
        <v>5</v>
      </c>
      <c r="DK23" s="3">
        <v>4</v>
      </c>
      <c r="DL23" s="3">
        <v>5</v>
      </c>
      <c r="DN23" s="2">
        <v>18</v>
      </c>
      <c r="DO23" s="3">
        <v>3</v>
      </c>
      <c r="DP23" s="3">
        <v>2</v>
      </c>
      <c r="DQ23" s="3">
        <v>4</v>
      </c>
      <c r="DR23" s="3">
        <v>4</v>
      </c>
      <c r="DS23" s="3">
        <v>4</v>
      </c>
      <c r="DT23" s="3">
        <v>3</v>
      </c>
      <c r="DU23" s="3">
        <v>4</v>
      </c>
      <c r="DV23" s="3">
        <v>3</v>
      </c>
      <c r="DW23" s="3">
        <v>3</v>
      </c>
      <c r="DX23" s="3">
        <v>3</v>
      </c>
      <c r="DY23" s="3">
        <f t="shared" si="2"/>
        <v>57.5</v>
      </c>
      <c r="DZ23" s="3"/>
    </row>
    <row r="24" spans="2:130">
      <c r="B24" s="9">
        <v>19</v>
      </c>
      <c r="C24" s="33">
        <v>0</v>
      </c>
      <c r="D24" s="33">
        <v>0.25</v>
      </c>
      <c r="E24" s="33">
        <v>0</v>
      </c>
      <c r="F24" s="33">
        <v>0</v>
      </c>
      <c r="G24" s="33">
        <v>1</v>
      </c>
      <c r="H24" s="33">
        <v>0.25</v>
      </c>
      <c r="I24" s="33">
        <v>1</v>
      </c>
      <c r="J24" s="34">
        <v>1</v>
      </c>
      <c r="L24" s="9">
        <v>19</v>
      </c>
      <c r="M24" s="6">
        <v>300</v>
      </c>
      <c r="N24" s="6">
        <v>121</v>
      </c>
      <c r="O24" s="6">
        <v>180</v>
      </c>
      <c r="P24" s="6">
        <v>34</v>
      </c>
      <c r="Q24" s="6">
        <v>102</v>
      </c>
      <c r="R24" s="6">
        <v>37</v>
      </c>
      <c r="S24" s="6">
        <v>25</v>
      </c>
      <c r="T24" s="7">
        <v>92</v>
      </c>
      <c r="U24" s="83"/>
      <c r="V24" s="2">
        <v>19</v>
      </c>
      <c r="W24" s="3">
        <v>3</v>
      </c>
      <c r="X24" s="3">
        <v>4</v>
      </c>
      <c r="Y24" s="3">
        <v>4</v>
      </c>
      <c r="Z24" s="3">
        <v>5</v>
      </c>
      <c r="AA24" s="3">
        <v>5</v>
      </c>
      <c r="AB24" s="3">
        <v>5</v>
      </c>
      <c r="AC24" s="3">
        <v>5</v>
      </c>
      <c r="AD24" s="3">
        <v>4</v>
      </c>
      <c r="AF24" s="2">
        <v>19</v>
      </c>
      <c r="AG24" s="3">
        <v>5</v>
      </c>
      <c r="AH24" s="3">
        <v>1</v>
      </c>
      <c r="AI24" s="3">
        <v>4</v>
      </c>
      <c r="AJ24" s="3">
        <v>1</v>
      </c>
      <c r="AK24" s="3">
        <v>5</v>
      </c>
      <c r="AL24" s="3">
        <v>1</v>
      </c>
      <c r="AM24" s="3">
        <v>5</v>
      </c>
      <c r="AN24" s="3">
        <v>1</v>
      </c>
      <c r="AO24" s="3">
        <v>4</v>
      </c>
      <c r="AP24" s="3">
        <v>2</v>
      </c>
      <c r="AQ24" s="3">
        <f t="shared" si="0"/>
        <v>92.5</v>
      </c>
      <c r="AR24" s="3"/>
      <c r="AS24" s="9">
        <v>19</v>
      </c>
      <c r="AT24" s="33">
        <v>0</v>
      </c>
      <c r="AU24" s="33">
        <v>0</v>
      </c>
      <c r="AV24" s="33">
        <v>0</v>
      </c>
      <c r="AW24" s="33">
        <v>0</v>
      </c>
      <c r="AX24" s="33">
        <v>0</v>
      </c>
      <c r="AY24" s="33">
        <v>0</v>
      </c>
      <c r="AZ24" s="33">
        <v>0</v>
      </c>
      <c r="BA24" s="34">
        <v>0</v>
      </c>
      <c r="BC24" s="9">
        <v>19</v>
      </c>
      <c r="BD24" s="6">
        <v>300</v>
      </c>
      <c r="BE24" s="6">
        <v>131</v>
      </c>
      <c r="BF24" s="6">
        <v>156</v>
      </c>
      <c r="BG24" s="6">
        <v>180</v>
      </c>
      <c r="BH24" s="6">
        <v>180</v>
      </c>
      <c r="BI24" s="6">
        <v>81</v>
      </c>
      <c r="BJ24" s="6">
        <v>146</v>
      </c>
      <c r="BK24" s="7">
        <v>172</v>
      </c>
      <c r="BM24" s="2">
        <v>19</v>
      </c>
      <c r="BN24" s="3">
        <v>2</v>
      </c>
      <c r="BO24" s="3">
        <v>2</v>
      </c>
      <c r="BP24" s="3">
        <v>2</v>
      </c>
      <c r="BQ24" s="3">
        <v>1</v>
      </c>
      <c r="BR24" s="3">
        <v>1</v>
      </c>
      <c r="BS24" s="3">
        <v>3</v>
      </c>
      <c r="BT24" s="3">
        <v>1</v>
      </c>
      <c r="BU24" s="3">
        <v>3</v>
      </c>
      <c r="BW24" s="2">
        <v>19</v>
      </c>
      <c r="BX24" s="3">
        <v>2</v>
      </c>
      <c r="BY24" s="3">
        <v>2</v>
      </c>
      <c r="BZ24" s="3">
        <v>2</v>
      </c>
      <c r="CA24" s="3">
        <v>4</v>
      </c>
      <c r="CB24" s="3">
        <v>2</v>
      </c>
      <c r="CC24" s="3">
        <v>4</v>
      </c>
      <c r="CD24" s="3">
        <v>2</v>
      </c>
      <c r="CE24" s="3">
        <v>4</v>
      </c>
      <c r="CF24" s="3">
        <v>2</v>
      </c>
      <c r="CG24" s="3">
        <v>5</v>
      </c>
      <c r="CH24" s="3">
        <f t="shared" si="1"/>
        <v>27.5</v>
      </c>
      <c r="CJ24" s="9">
        <v>19</v>
      </c>
      <c r="CK24" s="33">
        <v>0.25</v>
      </c>
      <c r="CL24" s="33">
        <v>1</v>
      </c>
      <c r="CM24" s="33">
        <v>0.25</v>
      </c>
      <c r="CN24" s="33">
        <v>1</v>
      </c>
      <c r="CO24" s="33">
        <v>0.25</v>
      </c>
      <c r="CP24" s="36">
        <v>0.25</v>
      </c>
      <c r="CQ24" s="33">
        <v>0.25</v>
      </c>
      <c r="CR24" s="34">
        <v>1</v>
      </c>
      <c r="CS24" s="84"/>
      <c r="CT24" s="9">
        <v>19</v>
      </c>
      <c r="CU24" s="6">
        <v>300</v>
      </c>
      <c r="CV24" s="6">
        <v>180</v>
      </c>
      <c r="CW24" s="6">
        <v>180</v>
      </c>
      <c r="CX24" s="6">
        <v>103</v>
      </c>
      <c r="CY24" s="6">
        <v>159</v>
      </c>
      <c r="CZ24" s="6">
        <v>180</v>
      </c>
      <c r="DA24" s="6">
        <v>180</v>
      </c>
      <c r="DB24" s="7">
        <v>161</v>
      </c>
      <c r="DD24" s="2">
        <v>19</v>
      </c>
      <c r="DE24" s="3">
        <v>2</v>
      </c>
      <c r="DF24" s="3">
        <v>3</v>
      </c>
      <c r="DG24" s="3">
        <v>2</v>
      </c>
      <c r="DH24" s="3">
        <v>3</v>
      </c>
      <c r="DI24" s="3">
        <v>3</v>
      </c>
      <c r="DJ24" s="3">
        <v>2</v>
      </c>
      <c r="DK24" s="3">
        <v>2</v>
      </c>
      <c r="DL24" s="3">
        <v>2</v>
      </c>
      <c r="DN24" s="2">
        <v>19</v>
      </c>
      <c r="DO24" s="3">
        <v>4</v>
      </c>
      <c r="DP24" s="3">
        <v>3</v>
      </c>
      <c r="DQ24" s="3">
        <v>2</v>
      </c>
      <c r="DR24" s="3">
        <v>2</v>
      </c>
      <c r="DS24" s="3">
        <v>3</v>
      </c>
      <c r="DT24" s="3">
        <v>2</v>
      </c>
      <c r="DU24" s="3">
        <v>3</v>
      </c>
      <c r="DV24" s="3">
        <v>2</v>
      </c>
      <c r="DW24" s="3">
        <v>2</v>
      </c>
      <c r="DX24" s="3">
        <v>5</v>
      </c>
      <c r="DY24" s="3">
        <f t="shared" si="2"/>
        <v>50</v>
      </c>
      <c r="DZ24" s="3"/>
    </row>
    <row r="25" spans="2:130">
      <c r="B25" s="9">
        <v>20</v>
      </c>
      <c r="C25" s="33">
        <v>0.25</v>
      </c>
      <c r="D25" s="33">
        <v>0.25</v>
      </c>
      <c r="E25" s="33">
        <v>0.25</v>
      </c>
      <c r="F25" s="33">
        <v>1</v>
      </c>
      <c r="G25" s="33">
        <v>0</v>
      </c>
      <c r="H25" s="33">
        <v>0.25</v>
      </c>
      <c r="I25" s="33">
        <v>1</v>
      </c>
      <c r="J25" s="34">
        <v>1</v>
      </c>
      <c r="L25" s="9">
        <v>20</v>
      </c>
      <c r="M25" s="6">
        <v>228</v>
      </c>
      <c r="N25" s="6">
        <v>180</v>
      </c>
      <c r="O25" s="6">
        <v>99</v>
      </c>
      <c r="P25" s="6">
        <v>170</v>
      </c>
      <c r="Q25" s="6">
        <v>101</v>
      </c>
      <c r="R25" s="6">
        <v>35</v>
      </c>
      <c r="S25" s="6">
        <v>30</v>
      </c>
      <c r="T25" s="7">
        <v>89</v>
      </c>
      <c r="U25" s="83"/>
      <c r="V25" s="2">
        <v>20</v>
      </c>
      <c r="W25" s="3">
        <v>3</v>
      </c>
      <c r="X25" s="3">
        <v>3</v>
      </c>
      <c r="Y25" s="3">
        <v>4</v>
      </c>
      <c r="Z25" s="3">
        <v>4</v>
      </c>
      <c r="AA25" s="3">
        <v>2</v>
      </c>
      <c r="AB25" s="3">
        <v>5</v>
      </c>
      <c r="AC25" s="3">
        <v>5</v>
      </c>
      <c r="AD25" s="3">
        <v>5</v>
      </c>
      <c r="AF25" s="2">
        <v>20</v>
      </c>
      <c r="AG25" s="3">
        <v>5</v>
      </c>
      <c r="AH25" s="3">
        <v>1</v>
      </c>
      <c r="AI25" s="3">
        <v>5</v>
      </c>
      <c r="AJ25" s="3">
        <v>1</v>
      </c>
      <c r="AK25" s="3">
        <v>5</v>
      </c>
      <c r="AL25" s="3">
        <v>1</v>
      </c>
      <c r="AM25" s="3">
        <v>5</v>
      </c>
      <c r="AN25" s="3">
        <v>1</v>
      </c>
      <c r="AO25" s="3">
        <v>5</v>
      </c>
      <c r="AP25" s="3">
        <v>2</v>
      </c>
      <c r="AQ25" s="3">
        <f t="shared" si="0"/>
        <v>97.5</v>
      </c>
      <c r="AR25" s="3"/>
      <c r="AS25" s="9">
        <v>20</v>
      </c>
      <c r="AT25" s="33">
        <v>0</v>
      </c>
      <c r="AU25" s="33">
        <v>0</v>
      </c>
      <c r="AV25" s="33">
        <v>0</v>
      </c>
      <c r="AW25" s="33">
        <v>0.25</v>
      </c>
      <c r="AX25" s="33">
        <v>0</v>
      </c>
      <c r="AY25" s="33">
        <v>0</v>
      </c>
      <c r="AZ25" s="33">
        <v>0</v>
      </c>
      <c r="BA25" s="34">
        <v>0</v>
      </c>
      <c r="BC25" s="9">
        <v>20</v>
      </c>
      <c r="BD25" s="6">
        <v>134</v>
      </c>
      <c r="BE25" s="6">
        <v>180</v>
      </c>
      <c r="BF25" s="6">
        <v>155</v>
      </c>
      <c r="BG25" s="6">
        <v>31</v>
      </c>
      <c r="BH25" s="6">
        <v>76</v>
      </c>
      <c r="BI25" s="6">
        <v>89</v>
      </c>
      <c r="BJ25" s="6">
        <v>132</v>
      </c>
      <c r="BK25" s="22">
        <v>180</v>
      </c>
      <c r="BM25" s="2">
        <v>20</v>
      </c>
      <c r="BN25" s="3">
        <v>2</v>
      </c>
      <c r="BO25" s="3">
        <v>2</v>
      </c>
      <c r="BP25" s="3">
        <v>1</v>
      </c>
      <c r="BQ25" s="3">
        <v>1</v>
      </c>
      <c r="BR25" s="3">
        <v>3</v>
      </c>
      <c r="BS25" s="3">
        <v>3</v>
      </c>
      <c r="BT25" s="3">
        <v>1</v>
      </c>
      <c r="BU25" s="3">
        <v>1</v>
      </c>
      <c r="BW25" s="2">
        <v>20</v>
      </c>
      <c r="BX25" s="3">
        <v>1</v>
      </c>
      <c r="BY25" s="3">
        <v>2</v>
      </c>
      <c r="BZ25" s="3">
        <v>2</v>
      </c>
      <c r="CA25" s="3">
        <v>5</v>
      </c>
      <c r="CB25" s="3">
        <v>1</v>
      </c>
      <c r="CC25" s="3">
        <v>5</v>
      </c>
      <c r="CD25" s="3">
        <v>2</v>
      </c>
      <c r="CE25" s="3">
        <v>4</v>
      </c>
      <c r="CF25" s="3">
        <v>1</v>
      </c>
      <c r="CG25" s="3">
        <v>5</v>
      </c>
      <c r="CH25" s="3">
        <f t="shared" si="1"/>
        <v>15</v>
      </c>
      <c r="CJ25" s="9">
        <v>20</v>
      </c>
      <c r="CK25" s="33">
        <v>0</v>
      </c>
      <c r="CL25" s="33">
        <v>0</v>
      </c>
      <c r="CM25" s="33">
        <v>0</v>
      </c>
      <c r="CN25" s="33">
        <v>0</v>
      </c>
      <c r="CO25" s="33">
        <v>0</v>
      </c>
      <c r="CP25" s="33">
        <v>0</v>
      </c>
      <c r="CQ25" s="33">
        <v>0</v>
      </c>
      <c r="CR25" s="34">
        <v>0</v>
      </c>
      <c r="CS25" s="84"/>
      <c r="CT25" s="9">
        <v>20</v>
      </c>
      <c r="CU25" s="6">
        <v>115</v>
      </c>
      <c r="CV25" s="6">
        <v>59</v>
      </c>
      <c r="CW25" s="6">
        <v>179</v>
      </c>
      <c r="CX25" s="6">
        <v>144</v>
      </c>
      <c r="CY25" s="6">
        <v>58</v>
      </c>
      <c r="CZ25" s="6">
        <v>80</v>
      </c>
      <c r="DA25" s="6">
        <v>56</v>
      </c>
      <c r="DB25" s="7">
        <v>180</v>
      </c>
      <c r="DD25" s="2">
        <v>20</v>
      </c>
      <c r="DE25" s="3">
        <v>1</v>
      </c>
      <c r="DF25" s="3">
        <v>1</v>
      </c>
      <c r="DG25" s="3">
        <v>2</v>
      </c>
      <c r="DH25" s="3">
        <v>1</v>
      </c>
      <c r="DI25" s="3">
        <v>1</v>
      </c>
      <c r="DJ25" s="3">
        <v>1</v>
      </c>
      <c r="DK25" s="3">
        <v>1</v>
      </c>
      <c r="DL25" s="3">
        <v>1</v>
      </c>
      <c r="DN25" s="2">
        <v>20</v>
      </c>
      <c r="DO25" s="3">
        <v>1</v>
      </c>
      <c r="DP25" s="3">
        <v>2</v>
      </c>
      <c r="DQ25" s="3">
        <v>1</v>
      </c>
      <c r="DR25" s="3">
        <v>5</v>
      </c>
      <c r="DS25" s="3">
        <v>2</v>
      </c>
      <c r="DT25" s="3">
        <v>2</v>
      </c>
      <c r="DU25" s="3">
        <v>4</v>
      </c>
      <c r="DV25" s="3">
        <v>1</v>
      </c>
      <c r="DW25" s="3">
        <v>1</v>
      </c>
      <c r="DX25" s="3">
        <v>5</v>
      </c>
      <c r="DY25" s="3">
        <f t="shared" si="2"/>
        <v>35</v>
      </c>
      <c r="DZ25" s="3"/>
    </row>
    <row r="26" spans="2:130">
      <c r="B26" s="9">
        <v>21</v>
      </c>
      <c r="C26" s="33">
        <v>0</v>
      </c>
      <c r="D26" s="33">
        <v>0.25</v>
      </c>
      <c r="E26" s="33">
        <v>0</v>
      </c>
      <c r="F26" s="33">
        <v>0</v>
      </c>
      <c r="G26" s="33">
        <v>1</v>
      </c>
      <c r="H26" s="33">
        <v>1</v>
      </c>
      <c r="I26" s="33">
        <v>0</v>
      </c>
      <c r="J26" s="34">
        <v>0.25</v>
      </c>
      <c r="L26" s="9">
        <v>21</v>
      </c>
      <c r="M26" s="6">
        <v>205</v>
      </c>
      <c r="N26" s="6">
        <v>98</v>
      </c>
      <c r="O26" s="6">
        <v>97</v>
      </c>
      <c r="P26" s="6">
        <v>68</v>
      </c>
      <c r="Q26" s="6">
        <v>102</v>
      </c>
      <c r="R26" s="6">
        <v>46</v>
      </c>
      <c r="S26" s="6">
        <v>68</v>
      </c>
      <c r="T26" s="7">
        <v>11</v>
      </c>
      <c r="U26" s="83"/>
      <c r="V26" s="2">
        <v>21</v>
      </c>
      <c r="W26" s="3">
        <v>5</v>
      </c>
      <c r="X26" s="3">
        <v>5</v>
      </c>
      <c r="Y26" s="3">
        <v>5</v>
      </c>
      <c r="Z26" s="3">
        <v>5</v>
      </c>
      <c r="AA26" s="3">
        <v>5</v>
      </c>
      <c r="AB26" s="3">
        <v>5</v>
      </c>
      <c r="AC26" s="3">
        <v>5</v>
      </c>
      <c r="AD26" s="3">
        <v>5</v>
      </c>
      <c r="AF26" s="2">
        <v>21</v>
      </c>
      <c r="AG26" s="3">
        <v>5</v>
      </c>
      <c r="AH26" s="3">
        <v>1</v>
      </c>
      <c r="AI26" s="3">
        <v>5</v>
      </c>
      <c r="AJ26" s="3">
        <v>1</v>
      </c>
      <c r="AK26" s="3">
        <v>5</v>
      </c>
      <c r="AL26" s="3">
        <v>1</v>
      </c>
      <c r="AM26" s="3">
        <v>5</v>
      </c>
      <c r="AN26" s="3">
        <v>5</v>
      </c>
      <c r="AO26" s="3">
        <v>5</v>
      </c>
      <c r="AP26" s="3">
        <v>1</v>
      </c>
      <c r="AQ26" s="3">
        <f t="shared" si="0"/>
        <v>90</v>
      </c>
      <c r="AR26" s="3"/>
      <c r="AS26" s="9">
        <v>21</v>
      </c>
      <c r="AT26" s="33">
        <v>0.25</v>
      </c>
      <c r="AU26" s="33">
        <v>0</v>
      </c>
      <c r="AV26" s="33">
        <v>0</v>
      </c>
      <c r="AW26" s="33">
        <v>0</v>
      </c>
      <c r="AX26" s="33">
        <v>0</v>
      </c>
      <c r="AY26" s="33">
        <v>0</v>
      </c>
      <c r="AZ26" s="33">
        <v>0</v>
      </c>
      <c r="BA26" s="34">
        <v>0</v>
      </c>
      <c r="BC26" s="9">
        <v>21</v>
      </c>
      <c r="BD26" s="6">
        <v>185</v>
      </c>
      <c r="BE26" s="6">
        <v>131</v>
      </c>
      <c r="BF26" s="6">
        <v>180</v>
      </c>
      <c r="BG26" s="6">
        <v>180</v>
      </c>
      <c r="BH26" s="6">
        <v>180</v>
      </c>
      <c r="BI26" s="6">
        <v>129</v>
      </c>
      <c r="BJ26" s="6">
        <v>179</v>
      </c>
      <c r="BK26" s="7">
        <v>180</v>
      </c>
      <c r="BM26" s="2">
        <v>21</v>
      </c>
      <c r="BN26" s="3">
        <v>3</v>
      </c>
      <c r="BO26" s="3">
        <v>3</v>
      </c>
      <c r="BP26" s="3">
        <v>1</v>
      </c>
      <c r="BQ26" s="3">
        <v>1</v>
      </c>
      <c r="BR26" s="3">
        <v>2</v>
      </c>
      <c r="BS26" s="3">
        <v>2</v>
      </c>
      <c r="BT26" s="3">
        <v>3</v>
      </c>
      <c r="BU26" s="3">
        <v>2</v>
      </c>
      <c r="BW26" s="2">
        <v>21</v>
      </c>
      <c r="BX26" s="3">
        <v>5</v>
      </c>
      <c r="BY26" s="3">
        <v>5</v>
      </c>
      <c r="BZ26" s="3">
        <v>1</v>
      </c>
      <c r="CA26" s="3">
        <v>5</v>
      </c>
      <c r="CB26" s="3">
        <v>4</v>
      </c>
      <c r="CC26" s="3">
        <v>4</v>
      </c>
      <c r="CD26" s="3">
        <v>2</v>
      </c>
      <c r="CE26" s="3">
        <v>3</v>
      </c>
      <c r="CF26" s="3">
        <v>2</v>
      </c>
      <c r="CG26" s="3">
        <v>4</v>
      </c>
      <c r="CH26" s="3">
        <f t="shared" si="1"/>
        <v>32.5</v>
      </c>
      <c r="CJ26" s="9">
        <v>21</v>
      </c>
      <c r="CK26" s="33">
        <v>0</v>
      </c>
      <c r="CL26" s="33">
        <v>0</v>
      </c>
      <c r="CM26" s="33">
        <v>0</v>
      </c>
      <c r="CN26" s="33">
        <v>0.25</v>
      </c>
      <c r="CO26" s="33">
        <v>0</v>
      </c>
      <c r="CP26" s="33">
        <v>0</v>
      </c>
      <c r="CQ26" s="33">
        <v>0</v>
      </c>
      <c r="CR26" s="34">
        <v>1</v>
      </c>
      <c r="CS26" s="84"/>
      <c r="CT26" s="9">
        <v>21</v>
      </c>
      <c r="CU26" s="6">
        <v>135</v>
      </c>
      <c r="CV26" s="6">
        <v>180</v>
      </c>
      <c r="CW26" s="6">
        <v>160</v>
      </c>
      <c r="CX26" s="6">
        <v>83</v>
      </c>
      <c r="CY26" s="6">
        <v>166</v>
      </c>
      <c r="CZ26" s="6">
        <v>100</v>
      </c>
      <c r="DA26" s="6">
        <v>72</v>
      </c>
      <c r="DB26" s="7">
        <v>73</v>
      </c>
      <c r="DD26" s="2">
        <v>21</v>
      </c>
      <c r="DE26" s="3">
        <v>1</v>
      </c>
      <c r="DF26" s="3">
        <v>2</v>
      </c>
      <c r="DG26" s="3">
        <v>1</v>
      </c>
      <c r="DH26" s="3">
        <v>4</v>
      </c>
      <c r="DI26" s="3">
        <v>1</v>
      </c>
      <c r="DJ26" s="3">
        <v>3</v>
      </c>
      <c r="DK26" s="3">
        <v>2</v>
      </c>
      <c r="DL26" s="3">
        <v>3</v>
      </c>
      <c r="DN26" s="2">
        <v>21</v>
      </c>
      <c r="DO26" s="3">
        <v>3</v>
      </c>
      <c r="DP26" s="3">
        <v>4</v>
      </c>
      <c r="DQ26" s="3">
        <v>2</v>
      </c>
      <c r="DR26" s="3">
        <v>5</v>
      </c>
      <c r="DS26" s="3">
        <v>1</v>
      </c>
      <c r="DT26" s="3">
        <v>1</v>
      </c>
      <c r="DU26" s="3">
        <v>4</v>
      </c>
      <c r="DV26" s="3">
        <v>3</v>
      </c>
      <c r="DW26" s="3">
        <v>2</v>
      </c>
      <c r="DX26" s="3">
        <v>5</v>
      </c>
      <c r="DY26" s="3">
        <f t="shared" si="2"/>
        <v>35</v>
      </c>
      <c r="DZ26" s="3"/>
    </row>
    <row r="27" spans="2:130">
      <c r="B27" s="9">
        <v>22</v>
      </c>
      <c r="C27" s="33">
        <v>0.25</v>
      </c>
      <c r="D27" s="33">
        <v>0.25</v>
      </c>
      <c r="E27" s="33">
        <v>0.25</v>
      </c>
      <c r="F27" s="33">
        <v>0.25</v>
      </c>
      <c r="G27" s="33">
        <v>0</v>
      </c>
      <c r="H27" s="33">
        <v>0.25</v>
      </c>
      <c r="I27" s="33">
        <v>0</v>
      </c>
      <c r="J27" s="34">
        <v>1</v>
      </c>
      <c r="L27" s="9">
        <v>22</v>
      </c>
      <c r="M27" s="6">
        <v>196</v>
      </c>
      <c r="N27" s="6">
        <v>147</v>
      </c>
      <c r="O27" s="6">
        <v>109</v>
      </c>
      <c r="P27" s="6">
        <v>180</v>
      </c>
      <c r="Q27" s="6">
        <v>112</v>
      </c>
      <c r="R27" s="6">
        <v>92</v>
      </c>
      <c r="S27" s="6">
        <v>114</v>
      </c>
      <c r="T27" s="7">
        <v>156</v>
      </c>
      <c r="U27" s="83"/>
      <c r="V27" s="2">
        <v>22</v>
      </c>
      <c r="W27" s="3">
        <v>3</v>
      </c>
      <c r="X27" s="3">
        <v>4</v>
      </c>
      <c r="Y27" s="3">
        <v>4</v>
      </c>
      <c r="Z27" s="3">
        <v>1</v>
      </c>
      <c r="AA27" s="3">
        <v>1</v>
      </c>
      <c r="AB27" s="3">
        <v>4</v>
      </c>
      <c r="AC27" s="3">
        <v>1</v>
      </c>
      <c r="AD27" s="3">
        <v>4</v>
      </c>
      <c r="AF27" s="2">
        <v>22</v>
      </c>
      <c r="AG27" s="3">
        <v>3</v>
      </c>
      <c r="AH27" s="3">
        <v>2</v>
      </c>
      <c r="AI27" s="3">
        <v>3</v>
      </c>
      <c r="AJ27" s="3">
        <v>2</v>
      </c>
      <c r="AK27" s="3">
        <v>3</v>
      </c>
      <c r="AL27" s="3">
        <v>3</v>
      </c>
      <c r="AM27" s="3">
        <v>4</v>
      </c>
      <c r="AN27" s="3">
        <v>2</v>
      </c>
      <c r="AO27" s="3">
        <v>4</v>
      </c>
      <c r="AP27" s="3">
        <v>2</v>
      </c>
      <c r="AQ27" s="3">
        <f t="shared" si="0"/>
        <v>65</v>
      </c>
      <c r="AR27" s="3"/>
      <c r="AS27" s="9">
        <v>22</v>
      </c>
      <c r="AT27" s="33">
        <v>1</v>
      </c>
      <c r="AU27" s="33">
        <v>0</v>
      </c>
      <c r="AV27" s="33">
        <v>0.25</v>
      </c>
      <c r="AW27" s="33">
        <v>0</v>
      </c>
      <c r="AX27" s="33">
        <v>0</v>
      </c>
      <c r="AY27" s="33">
        <v>0.25</v>
      </c>
      <c r="AZ27" s="33">
        <v>0</v>
      </c>
      <c r="BA27" s="34">
        <v>0</v>
      </c>
      <c r="BC27" s="9">
        <v>22</v>
      </c>
      <c r="BD27" s="6">
        <v>234</v>
      </c>
      <c r="BE27" s="6">
        <v>180</v>
      </c>
      <c r="BF27" s="6">
        <v>180</v>
      </c>
      <c r="BG27" s="6">
        <v>131</v>
      </c>
      <c r="BH27" s="6">
        <v>180</v>
      </c>
      <c r="BI27" s="6">
        <v>89</v>
      </c>
      <c r="BJ27" s="6">
        <v>170</v>
      </c>
      <c r="BK27" s="7">
        <v>180</v>
      </c>
      <c r="BM27" s="2">
        <v>22</v>
      </c>
      <c r="BN27" s="3">
        <v>4</v>
      </c>
      <c r="BO27" s="3">
        <v>2</v>
      </c>
      <c r="BP27" s="3">
        <v>2</v>
      </c>
      <c r="BQ27" s="3">
        <v>1</v>
      </c>
      <c r="BR27" s="3">
        <v>3</v>
      </c>
      <c r="BS27" s="3">
        <v>4</v>
      </c>
      <c r="BT27" s="3">
        <v>1</v>
      </c>
      <c r="BU27" s="3">
        <v>1</v>
      </c>
      <c r="BW27" s="2">
        <v>22</v>
      </c>
      <c r="BX27" s="3">
        <v>2</v>
      </c>
      <c r="BY27" s="3">
        <v>4</v>
      </c>
      <c r="BZ27" s="3">
        <v>2</v>
      </c>
      <c r="CA27" s="3">
        <v>5</v>
      </c>
      <c r="CB27" s="3">
        <v>3</v>
      </c>
      <c r="CC27" s="3">
        <v>2</v>
      </c>
      <c r="CD27" s="3">
        <v>4</v>
      </c>
      <c r="CE27" s="3">
        <v>5</v>
      </c>
      <c r="CF27" s="3">
        <v>2</v>
      </c>
      <c r="CG27" s="3">
        <v>5</v>
      </c>
      <c r="CH27" s="3">
        <f t="shared" si="1"/>
        <v>30</v>
      </c>
      <c r="CJ27" s="9">
        <v>22</v>
      </c>
      <c r="CK27" s="33">
        <v>0.25</v>
      </c>
      <c r="CL27" s="33">
        <v>1</v>
      </c>
      <c r="CM27" s="33">
        <v>0</v>
      </c>
      <c r="CN27" s="33">
        <v>0.25</v>
      </c>
      <c r="CO27" s="33">
        <v>0.25</v>
      </c>
      <c r="CP27" s="33">
        <v>0</v>
      </c>
      <c r="CQ27" s="33">
        <v>0.25</v>
      </c>
      <c r="CR27" s="34">
        <v>0.25</v>
      </c>
      <c r="CS27" s="84"/>
      <c r="CT27" s="9">
        <v>22</v>
      </c>
      <c r="CU27" s="6">
        <v>300</v>
      </c>
      <c r="CV27" s="6">
        <v>82</v>
      </c>
      <c r="CW27" s="6">
        <v>180</v>
      </c>
      <c r="CX27" s="6">
        <v>120</v>
      </c>
      <c r="CY27" s="6">
        <v>163</v>
      </c>
      <c r="CZ27" s="6">
        <v>159</v>
      </c>
      <c r="DA27" s="6">
        <v>59</v>
      </c>
      <c r="DB27" s="7">
        <v>146</v>
      </c>
      <c r="DD27" s="2">
        <v>22</v>
      </c>
      <c r="DE27" s="3">
        <v>3</v>
      </c>
      <c r="DF27" s="3">
        <v>4</v>
      </c>
      <c r="DG27" s="3">
        <v>3</v>
      </c>
      <c r="DH27" s="3">
        <v>2</v>
      </c>
      <c r="DI27" s="3">
        <v>2</v>
      </c>
      <c r="DJ27" s="3">
        <v>1</v>
      </c>
      <c r="DK27" s="3">
        <v>3</v>
      </c>
      <c r="DL27" s="3">
        <v>2</v>
      </c>
      <c r="DN27" s="2">
        <v>22</v>
      </c>
      <c r="DO27" s="3">
        <v>2</v>
      </c>
      <c r="DP27" s="3">
        <v>4</v>
      </c>
      <c r="DQ27" s="3">
        <v>3</v>
      </c>
      <c r="DR27" s="3">
        <v>3</v>
      </c>
      <c r="DS27" s="3">
        <v>2</v>
      </c>
      <c r="DT27" s="3">
        <v>3</v>
      </c>
      <c r="DU27" s="3">
        <v>2</v>
      </c>
      <c r="DV27" s="3">
        <v>4</v>
      </c>
      <c r="DW27" s="3">
        <v>2</v>
      </c>
      <c r="DX27" s="3">
        <v>5</v>
      </c>
      <c r="DY27" s="3">
        <f t="shared" si="2"/>
        <v>30</v>
      </c>
      <c r="DZ27" s="3"/>
    </row>
    <row r="28" spans="2:130">
      <c r="B28" s="9">
        <v>23</v>
      </c>
      <c r="C28" s="33">
        <v>0.25</v>
      </c>
      <c r="D28" s="33">
        <v>0.25</v>
      </c>
      <c r="E28" s="33">
        <v>0</v>
      </c>
      <c r="F28" s="33">
        <v>0</v>
      </c>
      <c r="G28" s="33">
        <v>1</v>
      </c>
      <c r="H28" s="33">
        <v>1</v>
      </c>
      <c r="I28" s="33">
        <v>0</v>
      </c>
      <c r="J28" s="34">
        <v>1</v>
      </c>
      <c r="L28" s="9">
        <v>23</v>
      </c>
      <c r="M28" s="6">
        <v>300</v>
      </c>
      <c r="N28" s="6">
        <v>167</v>
      </c>
      <c r="O28" s="6">
        <v>180</v>
      </c>
      <c r="P28" s="6">
        <v>142</v>
      </c>
      <c r="Q28" s="6">
        <v>163</v>
      </c>
      <c r="R28" s="6">
        <v>54</v>
      </c>
      <c r="S28" s="6">
        <v>74</v>
      </c>
      <c r="T28" s="7">
        <v>45</v>
      </c>
      <c r="U28" s="83"/>
      <c r="V28" s="2">
        <v>23</v>
      </c>
      <c r="W28" s="3">
        <v>3</v>
      </c>
      <c r="X28" s="3">
        <v>4</v>
      </c>
      <c r="Y28" s="3">
        <v>1</v>
      </c>
      <c r="Z28" s="3">
        <v>1</v>
      </c>
      <c r="AA28" s="3">
        <v>2</v>
      </c>
      <c r="AB28" s="3">
        <v>3</v>
      </c>
      <c r="AC28" s="3">
        <v>1</v>
      </c>
      <c r="AD28" s="3">
        <v>5</v>
      </c>
      <c r="AF28" s="2">
        <v>23</v>
      </c>
      <c r="AG28" s="3">
        <v>4</v>
      </c>
      <c r="AH28" s="3">
        <v>4</v>
      </c>
      <c r="AI28" s="3">
        <v>2</v>
      </c>
      <c r="AJ28" s="3">
        <v>4</v>
      </c>
      <c r="AK28" s="3">
        <v>2</v>
      </c>
      <c r="AL28" s="3">
        <v>3</v>
      </c>
      <c r="AM28" s="3">
        <v>4</v>
      </c>
      <c r="AN28" s="3">
        <v>2</v>
      </c>
      <c r="AO28" s="3">
        <v>1</v>
      </c>
      <c r="AP28" s="3">
        <v>5</v>
      </c>
      <c r="AQ28" s="3">
        <f t="shared" si="0"/>
        <v>37.5</v>
      </c>
      <c r="AR28" s="3"/>
      <c r="AS28" s="9">
        <v>23</v>
      </c>
      <c r="AT28" s="33">
        <v>0</v>
      </c>
      <c r="AU28" s="33">
        <v>0</v>
      </c>
      <c r="AV28" s="33">
        <v>0</v>
      </c>
      <c r="AW28" s="33">
        <v>0.25</v>
      </c>
      <c r="AX28" s="33">
        <v>0.25</v>
      </c>
      <c r="AY28" s="33">
        <v>0.25</v>
      </c>
      <c r="AZ28" s="33">
        <v>0</v>
      </c>
      <c r="BA28" s="34">
        <v>0</v>
      </c>
      <c r="BC28" s="9">
        <v>23</v>
      </c>
      <c r="BD28" s="6">
        <v>300</v>
      </c>
      <c r="BE28" s="6">
        <v>180</v>
      </c>
      <c r="BF28" s="27">
        <v>109</v>
      </c>
      <c r="BG28" s="6">
        <v>180</v>
      </c>
      <c r="BH28" s="6">
        <v>135</v>
      </c>
      <c r="BI28" s="6">
        <v>37</v>
      </c>
      <c r="BJ28" s="6">
        <v>180</v>
      </c>
      <c r="BK28" s="7">
        <v>173</v>
      </c>
      <c r="BM28" s="2">
        <v>23</v>
      </c>
      <c r="BN28" s="3">
        <v>3</v>
      </c>
      <c r="BO28" s="3">
        <v>4</v>
      </c>
      <c r="BP28" s="3">
        <v>4</v>
      </c>
      <c r="BQ28" s="3">
        <v>3</v>
      </c>
      <c r="BR28" s="3">
        <v>4</v>
      </c>
      <c r="BS28" s="3">
        <v>4</v>
      </c>
      <c r="BT28" s="3">
        <v>2</v>
      </c>
      <c r="BU28" s="3">
        <v>1</v>
      </c>
      <c r="BW28" s="2">
        <v>23</v>
      </c>
      <c r="BX28" s="3">
        <v>5</v>
      </c>
      <c r="BY28" s="3">
        <v>2</v>
      </c>
      <c r="BZ28" s="3">
        <v>4</v>
      </c>
      <c r="CA28" s="3">
        <v>3</v>
      </c>
      <c r="CB28" s="3">
        <v>4</v>
      </c>
      <c r="CC28" s="3">
        <v>1</v>
      </c>
      <c r="CD28" s="3">
        <v>4</v>
      </c>
      <c r="CE28" s="3">
        <v>1</v>
      </c>
      <c r="CF28" s="3">
        <v>4</v>
      </c>
      <c r="CG28" s="3">
        <v>3</v>
      </c>
      <c r="CH28" s="3">
        <f t="shared" si="1"/>
        <v>77.5</v>
      </c>
      <c r="CJ28" s="9">
        <v>23</v>
      </c>
      <c r="CK28" s="33">
        <v>0</v>
      </c>
      <c r="CL28" s="33">
        <v>0</v>
      </c>
      <c r="CM28" s="33">
        <v>0</v>
      </c>
      <c r="CN28" s="33">
        <v>0</v>
      </c>
      <c r="CO28" s="33">
        <v>0</v>
      </c>
      <c r="CP28" s="33">
        <v>0</v>
      </c>
      <c r="CQ28" s="33">
        <v>0</v>
      </c>
      <c r="CR28" s="34">
        <v>0</v>
      </c>
      <c r="CS28" s="84"/>
      <c r="CT28" s="9">
        <v>23</v>
      </c>
      <c r="CU28" s="6">
        <v>246</v>
      </c>
      <c r="CV28" s="6">
        <v>154</v>
      </c>
      <c r="CW28" s="6">
        <v>136</v>
      </c>
      <c r="CX28" s="6">
        <v>160</v>
      </c>
      <c r="CY28" s="6">
        <v>96</v>
      </c>
      <c r="CZ28" s="6">
        <v>180</v>
      </c>
      <c r="DA28" s="6">
        <v>104</v>
      </c>
      <c r="DB28" s="7">
        <v>180</v>
      </c>
      <c r="DD28" s="2">
        <v>23</v>
      </c>
      <c r="DE28" s="3">
        <v>2</v>
      </c>
      <c r="DF28" s="3">
        <v>3</v>
      </c>
      <c r="DG28" s="3">
        <v>1</v>
      </c>
      <c r="DH28" s="3">
        <v>2</v>
      </c>
      <c r="DI28" s="3">
        <v>1</v>
      </c>
      <c r="DJ28" s="3">
        <v>2</v>
      </c>
      <c r="DK28" s="3">
        <v>1</v>
      </c>
      <c r="DL28" s="3">
        <v>3</v>
      </c>
      <c r="DN28" s="2">
        <v>23</v>
      </c>
      <c r="DO28" s="3">
        <v>4</v>
      </c>
      <c r="DP28" s="3">
        <v>2</v>
      </c>
      <c r="DQ28" s="3">
        <v>4</v>
      </c>
      <c r="DR28" s="3">
        <v>3</v>
      </c>
      <c r="DS28" s="3">
        <v>4</v>
      </c>
      <c r="DT28" s="3">
        <v>2</v>
      </c>
      <c r="DU28" s="3">
        <v>4</v>
      </c>
      <c r="DV28" s="3">
        <v>1</v>
      </c>
      <c r="DW28" s="3">
        <v>3</v>
      </c>
      <c r="DX28" s="3">
        <v>3</v>
      </c>
      <c r="DY28" s="3">
        <f t="shared" si="2"/>
        <v>70</v>
      </c>
      <c r="DZ28" s="3"/>
    </row>
    <row r="29" spans="2:130">
      <c r="B29" s="9">
        <v>24</v>
      </c>
      <c r="C29" s="33">
        <v>0</v>
      </c>
      <c r="D29" s="33">
        <v>0.25</v>
      </c>
      <c r="E29" s="33">
        <v>0.25</v>
      </c>
      <c r="F29" s="33">
        <v>0</v>
      </c>
      <c r="G29" s="33">
        <v>1</v>
      </c>
      <c r="H29" s="33">
        <v>1</v>
      </c>
      <c r="I29" s="33">
        <v>1</v>
      </c>
      <c r="J29" s="34">
        <v>1</v>
      </c>
      <c r="L29" s="9">
        <v>24</v>
      </c>
      <c r="M29" s="6">
        <v>245</v>
      </c>
      <c r="N29" s="6">
        <v>180</v>
      </c>
      <c r="O29" s="6">
        <v>99</v>
      </c>
      <c r="P29" s="6">
        <v>53</v>
      </c>
      <c r="Q29" s="6">
        <v>106</v>
      </c>
      <c r="R29" s="6">
        <v>57</v>
      </c>
      <c r="S29" s="6">
        <v>23</v>
      </c>
      <c r="T29" s="7">
        <v>30</v>
      </c>
      <c r="U29" s="83"/>
      <c r="V29" s="2">
        <v>24</v>
      </c>
      <c r="W29" s="3">
        <v>1</v>
      </c>
      <c r="X29" s="3">
        <v>2</v>
      </c>
      <c r="Y29" s="3">
        <v>2</v>
      </c>
      <c r="Z29" s="3">
        <v>1</v>
      </c>
      <c r="AA29" s="3">
        <v>3</v>
      </c>
      <c r="AB29" s="3">
        <v>3</v>
      </c>
      <c r="AC29" s="3">
        <v>3</v>
      </c>
      <c r="AD29" s="3">
        <v>4</v>
      </c>
      <c r="AF29" s="2">
        <v>24</v>
      </c>
      <c r="AG29" s="3">
        <v>1</v>
      </c>
      <c r="AH29" s="3">
        <v>4</v>
      </c>
      <c r="AI29" s="3">
        <v>2</v>
      </c>
      <c r="AJ29" s="3">
        <v>4</v>
      </c>
      <c r="AK29" s="3">
        <v>2</v>
      </c>
      <c r="AL29" s="3">
        <v>4</v>
      </c>
      <c r="AM29" s="3">
        <v>2</v>
      </c>
      <c r="AN29" s="3">
        <v>4</v>
      </c>
      <c r="AO29" s="3">
        <v>2</v>
      </c>
      <c r="AP29" s="3">
        <v>4</v>
      </c>
      <c r="AQ29" s="3">
        <f t="shared" si="0"/>
        <v>22.5</v>
      </c>
      <c r="AR29" s="3"/>
      <c r="AS29" s="9">
        <v>24</v>
      </c>
      <c r="AT29" s="33">
        <v>0.25</v>
      </c>
      <c r="AU29" s="33">
        <v>0</v>
      </c>
      <c r="AV29" s="33">
        <v>0</v>
      </c>
      <c r="AW29" s="33">
        <v>0</v>
      </c>
      <c r="AX29" s="33">
        <v>0.25</v>
      </c>
      <c r="AY29" s="33">
        <v>0</v>
      </c>
      <c r="AZ29" s="33">
        <v>0</v>
      </c>
      <c r="BA29" s="34">
        <v>0.25</v>
      </c>
      <c r="BC29" s="9">
        <v>24</v>
      </c>
      <c r="BD29" s="6">
        <v>65</v>
      </c>
      <c r="BE29" s="6">
        <v>63</v>
      </c>
      <c r="BF29" s="6">
        <v>59</v>
      </c>
      <c r="BG29" s="6">
        <v>38</v>
      </c>
      <c r="BH29" s="6">
        <v>65</v>
      </c>
      <c r="BI29" s="6">
        <v>56</v>
      </c>
      <c r="BJ29" s="6">
        <v>58</v>
      </c>
      <c r="BK29" s="7">
        <v>86</v>
      </c>
      <c r="BM29" s="2">
        <v>24</v>
      </c>
      <c r="BN29" s="3">
        <v>2</v>
      </c>
      <c r="BO29" s="3">
        <v>1</v>
      </c>
      <c r="BP29" s="3">
        <v>2</v>
      </c>
      <c r="BQ29" s="3">
        <v>1</v>
      </c>
      <c r="BR29" s="3">
        <v>3</v>
      </c>
      <c r="BS29" s="3">
        <v>1</v>
      </c>
      <c r="BT29" s="3">
        <v>1</v>
      </c>
      <c r="BU29" s="3">
        <v>1</v>
      </c>
      <c r="BW29" s="2">
        <v>24</v>
      </c>
      <c r="BX29" s="3">
        <v>1</v>
      </c>
      <c r="BY29" s="3">
        <v>4</v>
      </c>
      <c r="BZ29" s="3">
        <v>1</v>
      </c>
      <c r="CA29" s="3">
        <v>4</v>
      </c>
      <c r="CB29" s="3">
        <v>2</v>
      </c>
      <c r="CC29" s="3">
        <v>4</v>
      </c>
      <c r="CD29" s="3">
        <v>2</v>
      </c>
      <c r="CE29" s="3">
        <v>4</v>
      </c>
      <c r="CF29" s="3">
        <v>2</v>
      </c>
      <c r="CG29" s="3">
        <v>4</v>
      </c>
      <c r="CH29" s="3">
        <f t="shared" si="1"/>
        <v>20</v>
      </c>
      <c r="CJ29" s="9">
        <v>24</v>
      </c>
      <c r="CK29" s="33">
        <v>0</v>
      </c>
      <c r="CL29" s="33">
        <v>0</v>
      </c>
      <c r="CM29" s="33">
        <v>0</v>
      </c>
      <c r="CN29" s="33">
        <v>1</v>
      </c>
      <c r="CO29" s="33">
        <v>0.25</v>
      </c>
      <c r="CP29" s="33">
        <v>0</v>
      </c>
      <c r="CQ29" s="33">
        <v>0.25</v>
      </c>
      <c r="CR29" s="34">
        <v>1</v>
      </c>
      <c r="CS29" s="84"/>
      <c r="CT29" s="9">
        <v>24</v>
      </c>
      <c r="CU29" s="6">
        <v>124</v>
      </c>
      <c r="CV29" s="6">
        <v>61</v>
      </c>
      <c r="CW29" s="6">
        <v>122</v>
      </c>
      <c r="CX29" s="6">
        <v>57</v>
      </c>
      <c r="CY29" s="6">
        <v>40</v>
      </c>
      <c r="CZ29" s="6">
        <v>68</v>
      </c>
      <c r="DA29" s="6">
        <v>102</v>
      </c>
      <c r="DB29" s="7">
        <v>95</v>
      </c>
      <c r="DD29" s="2">
        <v>24</v>
      </c>
      <c r="DE29" s="3">
        <v>2</v>
      </c>
      <c r="DF29" s="3">
        <v>1</v>
      </c>
      <c r="DG29" s="3">
        <v>1</v>
      </c>
      <c r="DH29" s="3">
        <v>4</v>
      </c>
      <c r="DI29" s="3">
        <v>4</v>
      </c>
      <c r="DJ29" s="3">
        <v>1</v>
      </c>
      <c r="DK29" s="3">
        <v>5</v>
      </c>
      <c r="DL29" s="3">
        <v>4</v>
      </c>
      <c r="DN29" s="2">
        <v>24</v>
      </c>
      <c r="DO29" s="3">
        <v>3</v>
      </c>
      <c r="DP29" s="3">
        <v>4</v>
      </c>
      <c r="DQ29" s="3">
        <v>2</v>
      </c>
      <c r="DR29" s="3">
        <v>4</v>
      </c>
      <c r="DS29" s="3">
        <v>2</v>
      </c>
      <c r="DT29" s="3">
        <v>4</v>
      </c>
      <c r="DU29" s="3">
        <v>3</v>
      </c>
      <c r="DV29" s="3">
        <v>4</v>
      </c>
      <c r="DW29" s="3">
        <v>3</v>
      </c>
      <c r="DX29" s="3">
        <v>4</v>
      </c>
      <c r="DY29" s="3">
        <f t="shared" si="2"/>
        <v>32.5</v>
      </c>
      <c r="DZ29" s="3"/>
    </row>
    <row r="30" spans="2:130">
      <c r="B30" s="9">
        <v>25</v>
      </c>
      <c r="C30" s="33">
        <v>0</v>
      </c>
      <c r="D30" s="33">
        <v>0.25</v>
      </c>
      <c r="E30" s="33">
        <v>0</v>
      </c>
      <c r="F30" s="33">
        <v>0</v>
      </c>
      <c r="G30" s="33">
        <v>0</v>
      </c>
      <c r="H30" s="33">
        <v>1</v>
      </c>
      <c r="I30" s="33">
        <v>0</v>
      </c>
      <c r="J30" s="34">
        <v>1</v>
      </c>
      <c r="L30" s="9">
        <v>25</v>
      </c>
      <c r="M30" s="6">
        <v>300</v>
      </c>
      <c r="N30" s="6">
        <v>180</v>
      </c>
      <c r="O30" s="6">
        <v>180</v>
      </c>
      <c r="P30" s="6">
        <v>180</v>
      </c>
      <c r="Q30" s="6">
        <v>180</v>
      </c>
      <c r="R30" s="6">
        <v>167</v>
      </c>
      <c r="S30" s="6">
        <v>180</v>
      </c>
      <c r="T30" s="7">
        <v>32</v>
      </c>
      <c r="U30" s="83"/>
      <c r="V30" s="2">
        <v>25</v>
      </c>
      <c r="W30" s="3">
        <v>2</v>
      </c>
      <c r="X30" s="3">
        <v>3</v>
      </c>
      <c r="Y30" s="3">
        <v>1</v>
      </c>
      <c r="Z30" s="3">
        <v>1</v>
      </c>
      <c r="AA30" s="3">
        <v>1</v>
      </c>
      <c r="AB30" s="3">
        <v>2</v>
      </c>
      <c r="AC30" s="3">
        <v>1</v>
      </c>
      <c r="AD30" s="3">
        <v>5</v>
      </c>
      <c r="AF30" s="2">
        <v>25</v>
      </c>
      <c r="AG30" s="3">
        <v>1</v>
      </c>
      <c r="AH30" s="3">
        <v>5</v>
      </c>
      <c r="AI30" s="3">
        <v>1</v>
      </c>
      <c r="AJ30" s="3">
        <v>5</v>
      </c>
      <c r="AK30" s="3">
        <v>1</v>
      </c>
      <c r="AL30" s="3">
        <v>5</v>
      </c>
      <c r="AM30" s="3">
        <v>1</v>
      </c>
      <c r="AN30" s="3">
        <v>5</v>
      </c>
      <c r="AO30" s="3">
        <v>1</v>
      </c>
      <c r="AP30" s="3">
        <v>3</v>
      </c>
      <c r="AQ30" s="3">
        <f>((AG30-1)+(5-AH30)+(AI30-1)+(5-AJ30)+(AK30-1)+(5-AL30)+(AM30-1)+(5-AN30)+(AO30-1)+(5-AP30))*2.5</f>
        <v>5</v>
      </c>
      <c r="AR30" s="3"/>
      <c r="AS30" s="9">
        <v>25</v>
      </c>
      <c r="AT30" s="33">
        <v>0.25</v>
      </c>
      <c r="AU30" s="33">
        <v>0</v>
      </c>
      <c r="AV30" s="33">
        <v>0</v>
      </c>
      <c r="AW30" s="33">
        <v>0</v>
      </c>
      <c r="AX30" s="33">
        <v>0</v>
      </c>
      <c r="AY30" s="33">
        <v>0</v>
      </c>
      <c r="AZ30" s="33">
        <v>0.25</v>
      </c>
      <c r="BA30" s="34">
        <v>1</v>
      </c>
      <c r="BC30" s="9">
        <v>25</v>
      </c>
      <c r="BD30" s="6">
        <v>274</v>
      </c>
      <c r="BE30" s="6">
        <v>180</v>
      </c>
      <c r="BF30" s="6">
        <v>180</v>
      </c>
      <c r="BG30" s="6">
        <v>180</v>
      </c>
      <c r="BH30" s="6">
        <v>107</v>
      </c>
      <c r="BI30" s="6">
        <v>162</v>
      </c>
      <c r="BJ30" s="6">
        <v>180</v>
      </c>
      <c r="BK30" s="7">
        <v>60</v>
      </c>
      <c r="BM30" s="2">
        <v>25</v>
      </c>
      <c r="BN30" s="3">
        <v>4</v>
      </c>
      <c r="BO30" s="3">
        <v>1</v>
      </c>
      <c r="BP30" s="3">
        <v>1</v>
      </c>
      <c r="BQ30" s="3">
        <v>2</v>
      </c>
      <c r="BR30" s="3">
        <v>2</v>
      </c>
      <c r="BS30" s="3">
        <v>2</v>
      </c>
      <c r="BT30" s="3">
        <v>1</v>
      </c>
      <c r="BU30" s="3">
        <v>3</v>
      </c>
      <c r="BW30" s="2">
        <v>25</v>
      </c>
      <c r="BX30" s="3">
        <v>2</v>
      </c>
      <c r="BY30" s="3">
        <v>5</v>
      </c>
      <c r="BZ30" s="3">
        <v>1</v>
      </c>
      <c r="CA30" s="3">
        <v>5</v>
      </c>
      <c r="CB30" s="3">
        <v>1</v>
      </c>
      <c r="CC30" s="3">
        <v>2</v>
      </c>
      <c r="CD30" s="3">
        <v>2</v>
      </c>
      <c r="CE30" s="3">
        <v>5</v>
      </c>
      <c r="CF30" s="3">
        <v>1</v>
      </c>
      <c r="CG30" s="3">
        <v>3</v>
      </c>
      <c r="CH30" s="3">
        <f t="shared" si="1"/>
        <v>17.5</v>
      </c>
      <c r="CJ30" s="9">
        <v>25</v>
      </c>
      <c r="CK30" s="33">
        <v>0</v>
      </c>
      <c r="CL30" s="33">
        <v>0</v>
      </c>
      <c r="CM30" s="33">
        <v>0</v>
      </c>
      <c r="CN30" s="33">
        <v>0.25</v>
      </c>
      <c r="CO30" s="33">
        <v>0</v>
      </c>
      <c r="CP30" s="33">
        <v>0</v>
      </c>
      <c r="CQ30" s="33">
        <v>0</v>
      </c>
      <c r="CR30" s="34">
        <v>1</v>
      </c>
      <c r="CS30" s="84"/>
      <c r="CT30" s="9">
        <v>25</v>
      </c>
      <c r="CU30" s="6">
        <v>300</v>
      </c>
      <c r="CV30" s="6">
        <v>180</v>
      </c>
      <c r="CW30" s="6">
        <v>180</v>
      </c>
      <c r="CX30" s="6">
        <v>70</v>
      </c>
      <c r="CY30" s="6">
        <v>174</v>
      </c>
      <c r="CZ30" s="6">
        <v>107</v>
      </c>
      <c r="DA30" s="6">
        <v>126</v>
      </c>
      <c r="DB30" s="7">
        <v>169</v>
      </c>
      <c r="DD30" s="2">
        <v>25</v>
      </c>
      <c r="DE30" s="3">
        <v>2</v>
      </c>
      <c r="DF30" s="3">
        <v>1</v>
      </c>
      <c r="DG30" s="3">
        <v>1</v>
      </c>
      <c r="DH30" s="3">
        <v>3</v>
      </c>
      <c r="DI30" s="3">
        <v>1</v>
      </c>
      <c r="DJ30" s="3">
        <v>1</v>
      </c>
      <c r="DK30" s="3">
        <v>2</v>
      </c>
      <c r="DL30" s="3">
        <v>4</v>
      </c>
      <c r="DN30" s="2">
        <v>25</v>
      </c>
      <c r="DO30" s="3">
        <v>1</v>
      </c>
      <c r="DP30" s="3">
        <v>5</v>
      </c>
      <c r="DQ30" s="3">
        <v>1</v>
      </c>
      <c r="DR30" s="3">
        <v>5</v>
      </c>
      <c r="DS30" s="3">
        <v>1</v>
      </c>
      <c r="DT30" s="3">
        <v>5</v>
      </c>
      <c r="DU30" s="3">
        <v>1</v>
      </c>
      <c r="DV30" s="3">
        <v>5</v>
      </c>
      <c r="DW30" s="3">
        <v>1</v>
      </c>
      <c r="DX30" s="3">
        <v>3</v>
      </c>
      <c r="DY30" s="3">
        <f t="shared" si="2"/>
        <v>5</v>
      </c>
      <c r="DZ30" s="3"/>
    </row>
    <row r="31" spans="2:130">
      <c r="B31" s="9">
        <v>26</v>
      </c>
      <c r="C31" s="33">
        <v>0.25</v>
      </c>
      <c r="D31" s="33">
        <v>0.25</v>
      </c>
      <c r="E31" s="33">
        <v>0.25</v>
      </c>
      <c r="F31" s="33">
        <v>1</v>
      </c>
      <c r="G31" s="33">
        <v>1</v>
      </c>
      <c r="H31" s="33">
        <v>1</v>
      </c>
      <c r="I31" s="33">
        <v>1</v>
      </c>
      <c r="J31" s="34">
        <v>1</v>
      </c>
      <c r="L31" s="9">
        <v>26</v>
      </c>
      <c r="M31" s="6">
        <v>300</v>
      </c>
      <c r="N31" s="6">
        <v>158</v>
      </c>
      <c r="O31" s="6">
        <v>180</v>
      </c>
      <c r="P31" s="6">
        <v>79</v>
      </c>
      <c r="Q31" s="6">
        <v>52</v>
      </c>
      <c r="R31" s="6">
        <v>66</v>
      </c>
      <c r="S31" s="6">
        <v>44</v>
      </c>
      <c r="T31" s="7">
        <v>71</v>
      </c>
      <c r="U31" s="83"/>
      <c r="V31" s="2">
        <v>26</v>
      </c>
      <c r="W31" s="3">
        <v>1</v>
      </c>
      <c r="X31" s="3">
        <v>1</v>
      </c>
      <c r="Y31" s="3">
        <v>1</v>
      </c>
      <c r="Z31" s="3">
        <v>1</v>
      </c>
      <c r="AA31" s="3">
        <v>1</v>
      </c>
      <c r="AB31" s="3">
        <v>1</v>
      </c>
      <c r="AC31" s="3">
        <v>1</v>
      </c>
      <c r="AD31" s="3">
        <v>1</v>
      </c>
      <c r="AF31" s="2">
        <v>26</v>
      </c>
      <c r="AG31" s="3">
        <v>1</v>
      </c>
      <c r="AH31" s="3">
        <v>5</v>
      </c>
      <c r="AI31" s="3">
        <v>1</v>
      </c>
      <c r="AJ31" s="3">
        <v>5</v>
      </c>
      <c r="AK31" s="3">
        <v>1</v>
      </c>
      <c r="AL31" s="3">
        <v>5</v>
      </c>
      <c r="AM31" s="3">
        <v>1</v>
      </c>
      <c r="AN31" s="3">
        <v>5</v>
      </c>
      <c r="AO31" s="3">
        <v>1</v>
      </c>
      <c r="AP31" s="3">
        <v>1</v>
      </c>
      <c r="AQ31" s="3">
        <f t="shared" ref="AQ31:AQ36" si="3">((AG31-1)+(5-AH31)+(AI31-1)+(5-AJ31)+(AK31-1)+(5-AL31)+(AM31-1)+(5-AN31)+(AO31-1)+(5-AP31))*2.5</f>
        <v>10</v>
      </c>
      <c r="AR31" s="3"/>
      <c r="AS31" s="9">
        <v>26</v>
      </c>
      <c r="AT31" s="40">
        <v>0.25</v>
      </c>
      <c r="AU31" s="40">
        <v>0</v>
      </c>
      <c r="AV31" s="40">
        <v>0</v>
      </c>
      <c r="AW31" s="40">
        <v>1</v>
      </c>
      <c r="AX31" s="40">
        <v>0</v>
      </c>
      <c r="AY31" s="40">
        <v>0.25</v>
      </c>
      <c r="AZ31" s="40">
        <v>1</v>
      </c>
      <c r="BA31" s="40">
        <v>1</v>
      </c>
      <c r="BC31" s="9">
        <v>26</v>
      </c>
      <c r="BD31" s="26">
        <v>300</v>
      </c>
      <c r="BE31" s="26">
        <v>113</v>
      </c>
      <c r="BF31" s="26">
        <v>144</v>
      </c>
      <c r="BG31" s="26">
        <v>100</v>
      </c>
      <c r="BH31" s="26">
        <v>173</v>
      </c>
      <c r="BI31" s="26">
        <v>78</v>
      </c>
      <c r="BJ31" s="26">
        <v>62</v>
      </c>
      <c r="BK31" s="85">
        <v>71</v>
      </c>
      <c r="BM31" s="2">
        <v>26</v>
      </c>
      <c r="BN31" s="3">
        <v>3</v>
      </c>
      <c r="BO31" s="3">
        <v>2</v>
      </c>
      <c r="BP31" s="3">
        <v>1</v>
      </c>
      <c r="BQ31" s="3">
        <v>2</v>
      </c>
      <c r="BR31" s="3">
        <v>1</v>
      </c>
      <c r="BS31" s="3">
        <v>3</v>
      </c>
      <c r="BT31" s="3">
        <v>4</v>
      </c>
      <c r="BU31" s="3">
        <v>3</v>
      </c>
      <c r="BW31" s="2">
        <v>26</v>
      </c>
      <c r="BX31" s="3">
        <v>2</v>
      </c>
      <c r="BY31" s="3">
        <v>5</v>
      </c>
      <c r="BZ31" s="3">
        <v>1</v>
      </c>
      <c r="CA31" s="3">
        <v>3</v>
      </c>
      <c r="CB31" s="3">
        <v>2</v>
      </c>
      <c r="CC31" s="3">
        <v>4</v>
      </c>
      <c r="CD31" s="3">
        <v>2</v>
      </c>
      <c r="CE31" s="3">
        <v>5</v>
      </c>
      <c r="CF31" s="3">
        <v>4</v>
      </c>
      <c r="CG31" s="3">
        <v>3</v>
      </c>
      <c r="CH31" s="3">
        <f t="shared" si="1"/>
        <v>27.5</v>
      </c>
      <c r="CJ31" s="9">
        <v>26</v>
      </c>
      <c r="CK31" s="33">
        <v>0.25</v>
      </c>
      <c r="CL31" s="33">
        <v>1</v>
      </c>
      <c r="CM31" s="33">
        <v>0.25</v>
      </c>
      <c r="CN31" s="33">
        <v>0</v>
      </c>
      <c r="CO31" s="33">
        <v>0.25</v>
      </c>
      <c r="CP31" s="33">
        <v>1</v>
      </c>
      <c r="CQ31" s="33">
        <v>0.25</v>
      </c>
      <c r="CR31" s="34">
        <v>1</v>
      </c>
      <c r="CS31" s="84"/>
      <c r="CT31" s="9">
        <v>26</v>
      </c>
      <c r="CU31" s="6">
        <v>300</v>
      </c>
      <c r="CV31" s="6">
        <v>125</v>
      </c>
      <c r="CW31" s="6">
        <v>180</v>
      </c>
      <c r="CX31" s="6">
        <v>180</v>
      </c>
      <c r="CY31" s="6">
        <v>111</v>
      </c>
      <c r="CZ31" s="6">
        <v>180</v>
      </c>
      <c r="DA31" s="6">
        <v>96</v>
      </c>
      <c r="DB31" s="7">
        <v>118</v>
      </c>
      <c r="DD31" s="2">
        <v>26</v>
      </c>
      <c r="DE31" s="3">
        <v>4</v>
      </c>
      <c r="DF31" s="3">
        <v>5</v>
      </c>
      <c r="DG31" s="3">
        <v>4</v>
      </c>
      <c r="DH31" s="3">
        <v>2</v>
      </c>
      <c r="DI31" s="3">
        <v>5</v>
      </c>
      <c r="DJ31" s="3">
        <v>4</v>
      </c>
      <c r="DK31" s="3">
        <v>5</v>
      </c>
      <c r="DL31" s="3">
        <v>5</v>
      </c>
      <c r="DN31" s="2">
        <v>26</v>
      </c>
      <c r="DO31" s="3">
        <v>4</v>
      </c>
      <c r="DP31" s="3">
        <v>1</v>
      </c>
      <c r="DQ31" s="3">
        <v>4</v>
      </c>
      <c r="DR31" s="3">
        <v>1</v>
      </c>
      <c r="DS31" s="3">
        <v>5</v>
      </c>
      <c r="DT31" s="3">
        <v>1</v>
      </c>
      <c r="DU31" s="3">
        <v>4</v>
      </c>
      <c r="DV31" s="3">
        <v>1</v>
      </c>
      <c r="DW31" s="3">
        <v>5</v>
      </c>
      <c r="DX31" s="3">
        <v>1</v>
      </c>
      <c r="DY31" s="3">
        <f t="shared" si="2"/>
        <v>92.5</v>
      </c>
      <c r="DZ31" s="3"/>
    </row>
    <row r="32" spans="2:130">
      <c r="B32" s="9">
        <v>27</v>
      </c>
      <c r="C32" s="33">
        <v>0.25</v>
      </c>
      <c r="D32" s="33">
        <v>0</v>
      </c>
      <c r="E32" s="33">
        <v>0</v>
      </c>
      <c r="F32" s="33">
        <v>1</v>
      </c>
      <c r="G32" s="33">
        <v>1</v>
      </c>
      <c r="H32" s="33">
        <v>1</v>
      </c>
      <c r="I32" s="33">
        <v>0</v>
      </c>
      <c r="J32" s="34">
        <v>1</v>
      </c>
      <c r="L32" s="9">
        <v>27</v>
      </c>
      <c r="M32" s="6">
        <v>243</v>
      </c>
      <c r="N32" s="6">
        <v>177</v>
      </c>
      <c r="O32" s="6">
        <v>180</v>
      </c>
      <c r="P32" s="6">
        <v>177</v>
      </c>
      <c r="Q32" s="6">
        <v>46</v>
      </c>
      <c r="R32" s="6">
        <v>57</v>
      </c>
      <c r="S32" s="6">
        <v>77</v>
      </c>
      <c r="T32" s="7">
        <v>122</v>
      </c>
      <c r="U32" s="83"/>
      <c r="V32" s="2">
        <v>27</v>
      </c>
      <c r="W32" s="3">
        <v>2</v>
      </c>
      <c r="X32" s="3">
        <v>2</v>
      </c>
      <c r="Y32" s="3">
        <v>1</v>
      </c>
      <c r="Z32" s="3">
        <v>1</v>
      </c>
      <c r="AA32" s="3">
        <v>5</v>
      </c>
      <c r="AB32" s="3">
        <v>4</v>
      </c>
      <c r="AC32" s="3">
        <v>3</v>
      </c>
      <c r="AD32" s="3">
        <v>3</v>
      </c>
      <c r="AF32" s="2">
        <v>27</v>
      </c>
      <c r="AG32" s="3">
        <v>2</v>
      </c>
      <c r="AH32" s="3">
        <v>4</v>
      </c>
      <c r="AI32" s="3">
        <v>2</v>
      </c>
      <c r="AJ32" s="3">
        <v>4</v>
      </c>
      <c r="AK32" s="3">
        <v>3</v>
      </c>
      <c r="AL32" s="3">
        <v>3</v>
      </c>
      <c r="AM32" s="3">
        <v>2</v>
      </c>
      <c r="AN32" s="3">
        <v>4</v>
      </c>
      <c r="AO32" s="3">
        <v>1</v>
      </c>
      <c r="AP32" s="3">
        <v>4</v>
      </c>
      <c r="AQ32" s="3">
        <f t="shared" si="3"/>
        <v>27.5</v>
      </c>
      <c r="AR32" s="3"/>
      <c r="AS32" s="9">
        <v>27</v>
      </c>
      <c r="AT32" s="33">
        <v>0.25</v>
      </c>
      <c r="AU32" s="33">
        <v>0</v>
      </c>
      <c r="AV32" s="33">
        <v>0</v>
      </c>
      <c r="AW32" s="33">
        <v>0</v>
      </c>
      <c r="AX32" s="33">
        <v>0.25</v>
      </c>
      <c r="AY32" s="33">
        <v>0</v>
      </c>
      <c r="AZ32" s="33">
        <v>1</v>
      </c>
      <c r="BA32" s="34">
        <v>1</v>
      </c>
      <c r="BC32" s="9">
        <v>27</v>
      </c>
      <c r="BD32" s="6">
        <v>231</v>
      </c>
      <c r="BE32" s="6">
        <v>180</v>
      </c>
      <c r="BF32" s="6">
        <v>162</v>
      </c>
      <c r="BG32" s="6">
        <v>86</v>
      </c>
      <c r="BH32" s="6">
        <v>152</v>
      </c>
      <c r="BI32" s="6">
        <v>88</v>
      </c>
      <c r="BJ32" s="6">
        <v>100</v>
      </c>
      <c r="BK32" s="7">
        <v>110</v>
      </c>
      <c r="BM32" s="2">
        <v>27</v>
      </c>
      <c r="BN32" s="3">
        <v>4</v>
      </c>
      <c r="BO32" s="3">
        <v>1</v>
      </c>
      <c r="BP32" s="3">
        <v>1</v>
      </c>
      <c r="BQ32" s="3">
        <v>2</v>
      </c>
      <c r="BR32" s="3">
        <v>3</v>
      </c>
      <c r="BS32" s="3">
        <v>1</v>
      </c>
      <c r="BT32" s="3">
        <v>3</v>
      </c>
      <c r="BU32" s="3">
        <v>3</v>
      </c>
      <c r="BW32" s="2">
        <v>27</v>
      </c>
      <c r="BX32" s="3">
        <v>1</v>
      </c>
      <c r="BY32" s="3">
        <v>5</v>
      </c>
      <c r="BZ32" s="3">
        <v>1</v>
      </c>
      <c r="CA32" s="3">
        <v>4</v>
      </c>
      <c r="CB32" s="3">
        <v>3</v>
      </c>
      <c r="CC32" s="3">
        <v>3</v>
      </c>
      <c r="CD32" s="3">
        <v>2</v>
      </c>
      <c r="CE32" s="3">
        <v>3</v>
      </c>
      <c r="CF32" s="3">
        <v>1</v>
      </c>
      <c r="CG32" s="3">
        <v>4</v>
      </c>
      <c r="CH32" s="3">
        <f t="shared" si="1"/>
        <v>22.5</v>
      </c>
      <c r="CJ32" s="9">
        <v>27</v>
      </c>
      <c r="CK32" s="33">
        <v>0</v>
      </c>
      <c r="CL32" s="33">
        <v>0</v>
      </c>
      <c r="CM32" s="33">
        <v>0</v>
      </c>
      <c r="CN32" s="33">
        <v>0</v>
      </c>
      <c r="CO32" s="33">
        <v>0.25</v>
      </c>
      <c r="CP32" s="33">
        <v>1</v>
      </c>
      <c r="CQ32" s="33">
        <v>0</v>
      </c>
      <c r="CR32" s="38">
        <v>1</v>
      </c>
      <c r="CS32" s="84"/>
      <c r="CT32" s="9">
        <v>27</v>
      </c>
      <c r="CU32" s="6">
        <v>83</v>
      </c>
      <c r="CV32" s="6">
        <v>180</v>
      </c>
      <c r="CW32" s="6">
        <v>180</v>
      </c>
      <c r="CX32" s="6">
        <v>177</v>
      </c>
      <c r="CY32" s="6">
        <v>140</v>
      </c>
      <c r="CZ32" s="6">
        <v>141</v>
      </c>
      <c r="DA32" s="6">
        <v>154</v>
      </c>
      <c r="DB32" s="22">
        <v>170</v>
      </c>
      <c r="DD32" s="2">
        <v>27</v>
      </c>
      <c r="DE32" s="3">
        <v>1</v>
      </c>
      <c r="DF32" s="3">
        <v>3</v>
      </c>
      <c r="DG32" s="3">
        <v>2</v>
      </c>
      <c r="DH32" s="3">
        <v>2</v>
      </c>
      <c r="DI32" s="3">
        <v>3</v>
      </c>
      <c r="DJ32" s="3">
        <v>2</v>
      </c>
      <c r="DK32" s="3">
        <v>2</v>
      </c>
      <c r="DL32" s="3">
        <v>2</v>
      </c>
      <c r="DN32" s="2">
        <v>27</v>
      </c>
      <c r="DO32" s="3">
        <v>1</v>
      </c>
      <c r="DP32" s="3">
        <v>4</v>
      </c>
      <c r="DQ32" s="3">
        <v>1</v>
      </c>
      <c r="DR32" s="3">
        <v>4</v>
      </c>
      <c r="DS32" s="3">
        <v>2</v>
      </c>
      <c r="DT32" s="3">
        <v>3</v>
      </c>
      <c r="DU32" s="3">
        <v>2</v>
      </c>
      <c r="DV32" s="3">
        <v>4</v>
      </c>
      <c r="DW32" s="3">
        <v>1</v>
      </c>
      <c r="DX32" s="3">
        <v>4</v>
      </c>
      <c r="DY32" s="3">
        <f t="shared" si="2"/>
        <v>20</v>
      </c>
      <c r="DZ32" s="3"/>
    </row>
    <row r="33" spans="1:281">
      <c r="B33" s="9">
        <v>28</v>
      </c>
      <c r="C33" s="33">
        <v>0</v>
      </c>
      <c r="D33" s="33">
        <v>0</v>
      </c>
      <c r="E33" s="33">
        <v>0</v>
      </c>
      <c r="F33" s="33">
        <v>0</v>
      </c>
      <c r="G33" s="33">
        <v>0</v>
      </c>
      <c r="H33" s="33">
        <v>0.25</v>
      </c>
      <c r="I33" s="33">
        <v>0</v>
      </c>
      <c r="J33" s="34">
        <v>0.25</v>
      </c>
      <c r="L33" s="9">
        <v>28</v>
      </c>
      <c r="M33" s="6">
        <v>230</v>
      </c>
      <c r="N33" s="6">
        <v>112</v>
      </c>
      <c r="O33" s="6">
        <v>180</v>
      </c>
      <c r="P33" s="6">
        <v>97</v>
      </c>
      <c r="Q33" s="6">
        <v>27</v>
      </c>
      <c r="R33" s="6">
        <v>73</v>
      </c>
      <c r="S33" s="6">
        <v>90</v>
      </c>
      <c r="T33" s="7">
        <v>20</v>
      </c>
      <c r="U33" s="83"/>
      <c r="V33" s="2">
        <v>28</v>
      </c>
      <c r="W33" s="3">
        <v>2</v>
      </c>
      <c r="X33" s="3">
        <v>1</v>
      </c>
      <c r="Y33" s="3">
        <v>3</v>
      </c>
      <c r="Z33" s="3">
        <v>1</v>
      </c>
      <c r="AA33" s="3">
        <v>1</v>
      </c>
      <c r="AB33" s="3">
        <v>1</v>
      </c>
      <c r="AC33" s="3">
        <v>1</v>
      </c>
      <c r="AD33" s="3">
        <v>4</v>
      </c>
      <c r="AF33" s="2">
        <v>28</v>
      </c>
      <c r="AG33" s="3">
        <v>3</v>
      </c>
      <c r="AH33" s="3">
        <v>4</v>
      </c>
      <c r="AI33" s="3">
        <v>2</v>
      </c>
      <c r="AJ33" s="3">
        <v>5</v>
      </c>
      <c r="AK33" s="3">
        <v>1</v>
      </c>
      <c r="AL33" s="3">
        <v>3</v>
      </c>
      <c r="AM33" s="3">
        <v>4</v>
      </c>
      <c r="AN33" s="3">
        <v>3</v>
      </c>
      <c r="AO33" s="3">
        <v>1</v>
      </c>
      <c r="AP33" s="3">
        <v>5</v>
      </c>
      <c r="AQ33" s="3">
        <f t="shared" si="3"/>
        <v>27.5</v>
      </c>
      <c r="AR33" s="3"/>
      <c r="AS33" s="9">
        <v>28</v>
      </c>
      <c r="AT33" s="33">
        <v>0</v>
      </c>
      <c r="AU33" s="33">
        <v>0</v>
      </c>
      <c r="AV33" s="33">
        <v>0</v>
      </c>
      <c r="AW33" s="33">
        <v>0</v>
      </c>
      <c r="AX33" s="33">
        <v>0</v>
      </c>
      <c r="AY33" s="33">
        <v>0</v>
      </c>
      <c r="AZ33" s="33">
        <v>0</v>
      </c>
      <c r="BA33" s="34">
        <v>1</v>
      </c>
      <c r="BC33" s="9">
        <v>28</v>
      </c>
      <c r="BD33" s="6">
        <v>87</v>
      </c>
      <c r="BE33" s="6">
        <v>180</v>
      </c>
      <c r="BF33" s="6">
        <v>128</v>
      </c>
      <c r="BG33" s="6">
        <v>74</v>
      </c>
      <c r="BH33" s="6">
        <v>0</v>
      </c>
      <c r="BI33" s="6">
        <v>120</v>
      </c>
      <c r="BJ33" s="6">
        <v>55</v>
      </c>
      <c r="BK33" s="7">
        <v>56</v>
      </c>
      <c r="BM33" s="2">
        <v>28</v>
      </c>
      <c r="BN33" s="3">
        <v>2</v>
      </c>
      <c r="BO33" s="3">
        <v>2</v>
      </c>
      <c r="BP33" s="3">
        <v>1</v>
      </c>
      <c r="BQ33" s="3">
        <v>1</v>
      </c>
      <c r="BR33" s="3">
        <v>1</v>
      </c>
      <c r="BS33" s="3">
        <v>1</v>
      </c>
      <c r="BT33" s="3">
        <v>1</v>
      </c>
      <c r="BU33" s="3">
        <v>4</v>
      </c>
      <c r="BW33" s="2">
        <v>28</v>
      </c>
      <c r="BX33" s="3">
        <v>3</v>
      </c>
      <c r="BY33" s="3">
        <v>5</v>
      </c>
      <c r="BZ33" s="3">
        <v>1</v>
      </c>
      <c r="CA33" s="3">
        <v>5</v>
      </c>
      <c r="CB33" s="3">
        <v>2</v>
      </c>
      <c r="CC33" s="3">
        <v>4</v>
      </c>
      <c r="CD33" s="3">
        <v>2</v>
      </c>
      <c r="CE33" s="3">
        <v>2</v>
      </c>
      <c r="CF33" s="3">
        <v>1</v>
      </c>
      <c r="CG33" s="3">
        <v>5</v>
      </c>
      <c r="CH33" s="3">
        <f t="shared" si="1"/>
        <v>20</v>
      </c>
      <c r="CJ33" s="9">
        <v>28</v>
      </c>
      <c r="CK33" s="33">
        <v>0</v>
      </c>
      <c r="CL33" s="33">
        <v>0</v>
      </c>
      <c r="CM33" s="33">
        <v>0</v>
      </c>
      <c r="CN33" s="33">
        <v>0</v>
      </c>
      <c r="CO33" s="33">
        <v>0</v>
      </c>
      <c r="CP33" s="33">
        <v>0</v>
      </c>
      <c r="CQ33" s="33">
        <v>0</v>
      </c>
      <c r="CR33" s="34">
        <v>0</v>
      </c>
      <c r="CS33" s="84"/>
      <c r="CT33" s="9">
        <v>28</v>
      </c>
      <c r="CU33" s="6">
        <v>240</v>
      </c>
      <c r="CV33" s="6">
        <v>108</v>
      </c>
      <c r="CW33" s="6">
        <v>55</v>
      </c>
      <c r="CX33" s="6">
        <v>154</v>
      </c>
      <c r="CY33" s="6">
        <v>68</v>
      </c>
      <c r="CZ33" s="6">
        <v>60</v>
      </c>
      <c r="DA33" s="27">
        <v>20</v>
      </c>
      <c r="DB33" s="7">
        <v>64</v>
      </c>
      <c r="DD33" s="2">
        <v>28</v>
      </c>
      <c r="DE33" s="3">
        <v>4</v>
      </c>
      <c r="DF33" s="3">
        <v>2</v>
      </c>
      <c r="DG33" s="3">
        <v>2</v>
      </c>
      <c r="DH33" s="3">
        <v>3</v>
      </c>
      <c r="DI33" s="3">
        <v>1</v>
      </c>
      <c r="DJ33" s="3">
        <v>1</v>
      </c>
      <c r="DK33" s="3">
        <v>1</v>
      </c>
      <c r="DL33" s="3">
        <v>2</v>
      </c>
      <c r="DN33" s="2">
        <v>28</v>
      </c>
      <c r="DO33" s="3">
        <v>4</v>
      </c>
      <c r="DP33" s="3">
        <v>4</v>
      </c>
      <c r="DQ33" s="3">
        <v>2</v>
      </c>
      <c r="DR33" s="3">
        <v>5</v>
      </c>
      <c r="DS33" s="3">
        <v>3</v>
      </c>
      <c r="DT33" s="3">
        <v>2</v>
      </c>
      <c r="DU33" s="3">
        <v>4</v>
      </c>
      <c r="DV33" s="3">
        <v>2</v>
      </c>
      <c r="DW33" s="3">
        <v>3</v>
      </c>
      <c r="DX33" s="3">
        <v>5</v>
      </c>
      <c r="DY33" s="3">
        <f t="shared" si="2"/>
        <v>45</v>
      </c>
      <c r="DZ33" s="3"/>
    </row>
    <row r="34" spans="1:281">
      <c r="B34" s="9">
        <v>29</v>
      </c>
      <c r="C34" s="33">
        <v>0.25</v>
      </c>
      <c r="D34" s="33">
        <v>0.25</v>
      </c>
      <c r="E34" s="33">
        <v>0.25</v>
      </c>
      <c r="F34" s="33">
        <v>0</v>
      </c>
      <c r="G34" s="33">
        <v>0</v>
      </c>
      <c r="H34" s="33">
        <v>0</v>
      </c>
      <c r="I34" s="33">
        <v>1</v>
      </c>
      <c r="J34" s="34">
        <v>1</v>
      </c>
      <c r="L34" s="9">
        <v>29</v>
      </c>
      <c r="M34" s="6">
        <v>210</v>
      </c>
      <c r="N34" s="6">
        <v>96</v>
      </c>
      <c r="O34" s="6">
        <v>105</v>
      </c>
      <c r="P34" s="6">
        <v>70</v>
      </c>
      <c r="Q34" s="6">
        <v>35</v>
      </c>
      <c r="R34" s="6">
        <v>28</v>
      </c>
      <c r="S34" s="6">
        <v>73</v>
      </c>
      <c r="T34" s="7">
        <v>52</v>
      </c>
      <c r="U34" s="83"/>
      <c r="V34" s="2">
        <v>29</v>
      </c>
      <c r="W34" s="3">
        <v>3</v>
      </c>
      <c r="X34" s="3">
        <v>3</v>
      </c>
      <c r="Y34" s="3">
        <v>3</v>
      </c>
      <c r="Z34" s="3">
        <v>1</v>
      </c>
      <c r="AA34" s="3">
        <v>1</v>
      </c>
      <c r="AB34" s="3">
        <v>1</v>
      </c>
      <c r="AC34" s="3">
        <v>2</v>
      </c>
      <c r="AD34" s="3">
        <v>3</v>
      </c>
      <c r="AF34" s="2">
        <v>29</v>
      </c>
      <c r="AG34" s="3">
        <v>3</v>
      </c>
      <c r="AH34" s="3">
        <v>2</v>
      </c>
      <c r="AI34" s="3">
        <v>3</v>
      </c>
      <c r="AJ34" s="3">
        <v>1</v>
      </c>
      <c r="AK34" s="3">
        <v>2</v>
      </c>
      <c r="AL34" s="3">
        <v>4</v>
      </c>
      <c r="AM34" s="3">
        <v>4</v>
      </c>
      <c r="AN34" s="3">
        <v>3</v>
      </c>
      <c r="AO34" s="3">
        <v>2</v>
      </c>
      <c r="AP34" s="3">
        <v>4</v>
      </c>
      <c r="AQ34" s="3">
        <f t="shared" si="3"/>
        <v>50</v>
      </c>
      <c r="AR34" s="3"/>
      <c r="AS34" s="9">
        <v>29</v>
      </c>
      <c r="AT34" s="33">
        <v>1</v>
      </c>
      <c r="AU34" s="33">
        <v>0</v>
      </c>
      <c r="AV34" s="33">
        <v>0</v>
      </c>
      <c r="AW34" s="33">
        <v>1</v>
      </c>
      <c r="AX34" s="33">
        <v>1</v>
      </c>
      <c r="AY34" s="33">
        <v>0.25</v>
      </c>
      <c r="AZ34" s="33">
        <v>0</v>
      </c>
      <c r="BA34" s="34">
        <v>0</v>
      </c>
      <c r="BC34" s="9">
        <v>29</v>
      </c>
      <c r="BD34" s="6">
        <v>127</v>
      </c>
      <c r="BE34" s="6">
        <v>45</v>
      </c>
      <c r="BF34" s="6">
        <v>49</v>
      </c>
      <c r="BG34" s="6">
        <v>28</v>
      </c>
      <c r="BH34" s="6">
        <v>75</v>
      </c>
      <c r="BI34" s="6">
        <v>57</v>
      </c>
      <c r="BJ34" s="6">
        <v>53</v>
      </c>
      <c r="BK34" s="7">
        <v>77</v>
      </c>
      <c r="BM34" s="2">
        <v>29</v>
      </c>
      <c r="BN34" s="3">
        <v>3</v>
      </c>
      <c r="BO34" s="3">
        <v>2</v>
      </c>
      <c r="BP34" s="3">
        <v>2</v>
      </c>
      <c r="BQ34" s="3">
        <v>5</v>
      </c>
      <c r="BR34" s="3">
        <v>4</v>
      </c>
      <c r="BS34" s="3">
        <v>1</v>
      </c>
      <c r="BT34" s="3">
        <v>1</v>
      </c>
      <c r="BU34" s="3">
        <v>1</v>
      </c>
      <c r="BW34" s="2">
        <v>29</v>
      </c>
      <c r="BX34" s="3">
        <v>3</v>
      </c>
      <c r="BY34" s="3">
        <v>4</v>
      </c>
      <c r="BZ34" s="3">
        <v>2</v>
      </c>
      <c r="CA34" s="3">
        <v>3</v>
      </c>
      <c r="CB34" s="3">
        <v>2</v>
      </c>
      <c r="CC34" s="3">
        <v>4</v>
      </c>
      <c r="CD34" s="3">
        <v>1</v>
      </c>
      <c r="CE34" s="3">
        <v>3</v>
      </c>
      <c r="CF34" s="3">
        <v>1</v>
      </c>
      <c r="CG34" s="3">
        <v>4</v>
      </c>
      <c r="CH34" s="3">
        <f t="shared" si="1"/>
        <v>27.5</v>
      </c>
      <c r="CJ34" s="9">
        <v>29</v>
      </c>
      <c r="CK34" s="33">
        <v>0.25</v>
      </c>
      <c r="CL34" s="33">
        <v>1</v>
      </c>
      <c r="CM34" s="33">
        <v>1</v>
      </c>
      <c r="CN34" s="33">
        <v>1</v>
      </c>
      <c r="CO34" s="33">
        <v>0.25</v>
      </c>
      <c r="CP34" s="33">
        <v>0</v>
      </c>
      <c r="CQ34" s="33">
        <v>1</v>
      </c>
      <c r="CR34" s="34">
        <v>1</v>
      </c>
      <c r="CS34" s="84"/>
      <c r="CT34" s="9">
        <v>29</v>
      </c>
      <c r="CU34" s="6">
        <v>69</v>
      </c>
      <c r="CV34" s="6">
        <v>46</v>
      </c>
      <c r="CW34" s="6">
        <v>114</v>
      </c>
      <c r="CX34" s="6">
        <v>25</v>
      </c>
      <c r="CY34" s="6">
        <v>29</v>
      </c>
      <c r="CZ34" s="6">
        <v>78</v>
      </c>
      <c r="DA34" s="6">
        <v>39</v>
      </c>
      <c r="DB34" s="7">
        <v>49</v>
      </c>
      <c r="DD34" s="2">
        <v>29</v>
      </c>
      <c r="DE34" s="3">
        <v>4</v>
      </c>
      <c r="DF34" s="3">
        <v>4</v>
      </c>
      <c r="DG34" s="3">
        <v>4</v>
      </c>
      <c r="DH34" s="3">
        <v>4</v>
      </c>
      <c r="DI34" s="3">
        <v>5</v>
      </c>
      <c r="DJ34" s="3">
        <v>1</v>
      </c>
      <c r="DK34" s="3">
        <v>4</v>
      </c>
      <c r="DL34" s="3">
        <v>3</v>
      </c>
      <c r="DN34" s="2">
        <v>29</v>
      </c>
      <c r="DO34" s="3">
        <v>5</v>
      </c>
      <c r="DP34" s="3">
        <v>2</v>
      </c>
      <c r="DQ34" s="3">
        <v>4</v>
      </c>
      <c r="DR34" s="3">
        <v>2</v>
      </c>
      <c r="DS34" s="3">
        <v>5</v>
      </c>
      <c r="DT34" s="3">
        <v>1</v>
      </c>
      <c r="DU34" s="3">
        <v>4</v>
      </c>
      <c r="DV34" s="3">
        <v>3</v>
      </c>
      <c r="DW34" s="3">
        <v>4</v>
      </c>
      <c r="DX34" s="3">
        <v>2</v>
      </c>
      <c r="DY34" s="3">
        <f t="shared" si="2"/>
        <v>80</v>
      </c>
      <c r="DZ34" s="3"/>
    </row>
    <row r="35" spans="1:281">
      <c r="B35" s="9">
        <v>30</v>
      </c>
      <c r="C35" s="33">
        <v>0.25</v>
      </c>
      <c r="D35" s="33">
        <v>0.25</v>
      </c>
      <c r="E35" s="33">
        <v>0.25</v>
      </c>
      <c r="F35" s="33">
        <v>0</v>
      </c>
      <c r="G35" s="33">
        <v>1</v>
      </c>
      <c r="H35" s="33">
        <v>1</v>
      </c>
      <c r="I35" s="33">
        <v>1</v>
      </c>
      <c r="J35" s="33">
        <v>1</v>
      </c>
      <c r="L35" s="9">
        <v>30</v>
      </c>
      <c r="M35" s="6">
        <v>300</v>
      </c>
      <c r="N35" s="6">
        <v>180</v>
      </c>
      <c r="O35" s="6">
        <v>165</v>
      </c>
      <c r="P35" s="6">
        <v>180</v>
      </c>
      <c r="Q35" s="6">
        <v>95</v>
      </c>
      <c r="R35" s="6">
        <v>69</v>
      </c>
      <c r="S35" s="6">
        <v>33</v>
      </c>
      <c r="T35" s="7">
        <v>58</v>
      </c>
      <c r="U35" s="83"/>
      <c r="V35" s="2">
        <v>30</v>
      </c>
      <c r="W35" s="3">
        <v>4</v>
      </c>
      <c r="X35" s="3">
        <v>2</v>
      </c>
      <c r="Y35" s="3">
        <v>2</v>
      </c>
      <c r="Z35" s="3">
        <v>1</v>
      </c>
      <c r="AA35" s="3">
        <v>4</v>
      </c>
      <c r="AB35" s="3">
        <v>4</v>
      </c>
      <c r="AC35" s="3">
        <v>5</v>
      </c>
      <c r="AD35" s="3">
        <v>4</v>
      </c>
      <c r="AF35" s="2">
        <v>30</v>
      </c>
      <c r="AG35" s="3">
        <v>4</v>
      </c>
      <c r="AH35" s="3">
        <v>2</v>
      </c>
      <c r="AI35" s="3">
        <v>4</v>
      </c>
      <c r="AJ35" s="3">
        <v>1</v>
      </c>
      <c r="AK35" s="3">
        <v>3</v>
      </c>
      <c r="AL35" s="3">
        <v>2</v>
      </c>
      <c r="AM35" s="3">
        <v>5</v>
      </c>
      <c r="AN35" s="3">
        <v>1</v>
      </c>
      <c r="AO35" s="3">
        <v>3</v>
      </c>
      <c r="AP35" s="3">
        <v>1</v>
      </c>
      <c r="AQ35" s="3">
        <f t="shared" si="3"/>
        <v>80</v>
      </c>
      <c r="AR35" s="3"/>
      <c r="AS35" s="9">
        <v>30</v>
      </c>
      <c r="AT35" s="36">
        <v>1</v>
      </c>
      <c r="AU35" s="33">
        <v>0</v>
      </c>
      <c r="AV35" s="33">
        <v>0</v>
      </c>
      <c r="AW35" s="33">
        <v>0</v>
      </c>
      <c r="AX35" s="33">
        <v>0.25</v>
      </c>
      <c r="AY35" s="33">
        <v>0</v>
      </c>
      <c r="AZ35" s="33">
        <v>0</v>
      </c>
      <c r="BA35" s="34">
        <v>0.25</v>
      </c>
      <c r="BC35" s="9">
        <v>30</v>
      </c>
      <c r="BD35" s="6">
        <v>239</v>
      </c>
      <c r="BE35" s="6">
        <v>180</v>
      </c>
      <c r="BF35" s="6">
        <v>180</v>
      </c>
      <c r="BG35" s="6">
        <v>180</v>
      </c>
      <c r="BH35" s="6">
        <v>143</v>
      </c>
      <c r="BI35" s="6">
        <v>107</v>
      </c>
      <c r="BJ35" s="6">
        <v>180</v>
      </c>
      <c r="BK35" s="7">
        <v>180</v>
      </c>
      <c r="BM35" s="2">
        <v>30</v>
      </c>
      <c r="BN35" s="3">
        <v>4</v>
      </c>
      <c r="BO35" s="3">
        <v>1</v>
      </c>
      <c r="BP35" s="3">
        <v>1</v>
      </c>
      <c r="BQ35" s="3">
        <v>1</v>
      </c>
      <c r="BR35" s="3">
        <v>3</v>
      </c>
      <c r="BS35" s="3">
        <v>1</v>
      </c>
      <c r="BT35" s="3">
        <v>1</v>
      </c>
      <c r="BU35" s="3">
        <v>1</v>
      </c>
      <c r="BW35" s="2">
        <v>30</v>
      </c>
      <c r="BX35" s="3">
        <v>1</v>
      </c>
      <c r="BY35" s="3">
        <v>5</v>
      </c>
      <c r="BZ35" s="3">
        <v>1</v>
      </c>
      <c r="CA35" s="3">
        <v>3</v>
      </c>
      <c r="CB35" s="3">
        <v>1</v>
      </c>
      <c r="CC35" s="3">
        <v>3</v>
      </c>
      <c r="CD35" s="3">
        <v>1</v>
      </c>
      <c r="CE35" s="3">
        <v>5</v>
      </c>
      <c r="CF35" s="3">
        <v>2</v>
      </c>
      <c r="CG35" s="3">
        <v>4</v>
      </c>
      <c r="CH35" s="3">
        <f t="shared" si="1"/>
        <v>15</v>
      </c>
      <c r="CJ35" s="9">
        <v>30</v>
      </c>
      <c r="CK35" s="33">
        <v>0.25</v>
      </c>
      <c r="CL35" s="33">
        <v>1</v>
      </c>
      <c r="CM35" s="33">
        <v>0.25</v>
      </c>
      <c r="CN35" s="33">
        <v>0</v>
      </c>
      <c r="CO35" s="33">
        <v>0.25</v>
      </c>
      <c r="CP35" s="33">
        <v>1</v>
      </c>
      <c r="CQ35" s="33">
        <v>0.25</v>
      </c>
      <c r="CR35" s="34">
        <v>1</v>
      </c>
      <c r="CS35" s="84"/>
      <c r="CT35" s="9">
        <v>30</v>
      </c>
      <c r="CU35" s="6">
        <v>300</v>
      </c>
      <c r="CV35" s="6">
        <v>129</v>
      </c>
      <c r="CW35" s="6">
        <v>180</v>
      </c>
      <c r="CX35" s="6">
        <v>135</v>
      </c>
      <c r="CY35" s="6">
        <v>56</v>
      </c>
      <c r="CZ35" s="6">
        <v>98</v>
      </c>
      <c r="DA35" s="6">
        <v>88</v>
      </c>
      <c r="DB35" s="7">
        <v>105</v>
      </c>
      <c r="DD35" s="2">
        <v>30</v>
      </c>
      <c r="DE35" s="3">
        <v>3</v>
      </c>
      <c r="DF35" s="3">
        <v>4</v>
      </c>
      <c r="DG35" s="3">
        <v>3</v>
      </c>
      <c r="DH35" s="3">
        <v>1</v>
      </c>
      <c r="DI35" s="3">
        <v>4</v>
      </c>
      <c r="DJ35" s="3">
        <v>3</v>
      </c>
      <c r="DK35" s="3">
        <v>3</v>
      </c>
      <c r="DL35" s="3">
        <v>4</v>
      </c>
      <c r="DN35" s="2">
        <v>30</v>
      </c>
      <c r="DO35" s="3">
        <v>3</v>
      </c>
      <c r="DP35" s="3">
        <v>3</v>
      </c>
      <c r="DQ35" s="3">
        <v>3</v>
      </c>
      <c r="DR35" s="3">
        <v>2</v>
      </c>
      <c r="DS35" s="3">
        <v>2</v>
      </c>
      <c r="DT35" s="3">
        <v>3</v>
      </c>
      <c r="DU35" s="3">
        <v>4</v>
      </c>
      <c r="DV35" s="3">
        <v>4</v>
      </c>
      <c r="DW35" s="3">
        <v>4</v>
      </c>
      <c r="DX35" s="3">
        <v>2</v>
      </c>
      <c r="DY35" s="3">
        <f t="shared" si="2"/>
        <v>55</v>
      </c>
      <c r="DZ35" s="3"/>
    </row>
    <row r="36" spans="1:281" s="88" customFormat="1">
      <c r="A36" s="1"/>
      <c r="B36" s="9">
        <v>31</v>
      </c>
      <c r="C36" s="33">
        <v>0.25</v>
      </c>
      <c r="D36" s="33">
        <v>0</v>
      </c>
      <c r="E36" s="33">
        <v>0.25</v>
      </c>
      <c r="F36" s="33">
        <v>0</v>
      </c>
      <c r="G36" s="33">
        <v>1</v>
      </c>
      <c r="H36" s="33">
        <v>1</v>
      </c>
      <c r="I36" s="33">
        <v>0.25</v>
      </c>
      <c r="J36" s="33">
        <v>1</v>
      </c>
      <c r="K36" s="1"/>
      <c r="L36" s="9">
        <v>31</v>
      </c>
      <c r="M36" s="6">
        <v>288</v>
      </c>
      <c r="N36" s="6">
        <v>95</v>
      </c>
      <c r="O36" s="6">
        <v>119</v>
      </c>
      <c r="P36" s="6">
        <v>112</v>
      </c>
      <c r="Q36" s="6">
        <v>59</v>
      </c>
      <c r="R36" s="6">
        <v>51</v>
      </c>
      <c r="S36" s="6">
        <v>85</v>
      </c>
      <c r="T36" s="6">
        <v>37</v>
      </c>
      <c r="U36" s="83"/>
      <c r="V36" s="2">
        <v>31</v>
      </c>
      <c r="W36" s="3">
        <v>2</v>
      </c>
      <c r="X36" s="3">
        <v>2</v>
      </c>
      <c r="Y36" s="3">
        <v>1</v>
      </c>
      <c r="Z36" s="3">
        <v>2</v>
      </c>
      <c r="AA36" s="3">
        <v>4</v>
      </c>
      <c r="AB36" s="3">
        <v>3</v>
      </c>
      <c r="AC36" s="3">
        <v>1</v>
      </c>
      <c r="AD36" s="3">
        <v>5</v>
      </c>
      <c r="AE36" s="1"/>
      <c r="AF36" s="2">
        <v>31</v>
      </c>
      <c r="AG36" s="3">
        <v>1</v>
      </c>
      <c r="AH36" s="3">
        <v>4</v>
      </c>
      <c r="AI36" s="3">
        <v>1</v>
      </c>
      <c r="AJ36" s="3">
        <v>5</v>
      </c>
      <c r="AK36" s="3">
        <v>3</v>
      </c>
      <c r="AL36" s="3">
        <v>3</v>
      </c>
      <c r="AM36" s="3">
        <v>3</v>
      </c>
      <c r="AN36" s="3">
        <v>4</v>
      </c>
      <c r="AO36" s="3">
        <v>1</v>
      </c>
      <c r="AP36" s="3">
        <v>5</v>
      </c>
      <c r="AQ36" s="3">
        <f t="shared" si="3"/>
        <v>20</v>
      </c>
      <c r="AR36" s="3"/>
      <c r="AS36" s="9">
        <v>31</v>
      </c>
      <c r="AT36" s="33">
        <v>1</v>
      </c>
      <c r="AU36" s="33">
        <v>0</v>
      </c>
      <c r="AV36" s="33">
        <v>0</v>
      </c>
      <c r="AW36" s="33">
        <v>0</v>
      </c>
      <c r="AX36" s="33">
        <v>1</v>
      </c>
      <c r="AY36" s="33">
        <v>0</v>
      </c>
      <c r="AZ36" s="33">
        <v>0</v>
      </c>
      <c r="BA36" s="33">
        <v>0</v>
      </c>
      <c r="BB36" s="1"/>
      <c r="BC36" s="9">
        <v>31</v>
      </c>
      <c r="BD36" s="6">
        <v>300</v>
      </c>
      <c r="BE36" s="6">
        <v>180</v>
      </c>
      <c r="BF36" s="6">
        <v>75</v>
      </c>
      <c r="BG36" s="6">
        <v>72</v>
      </c>
      <c r="BH36" s="6">
        <v>95</v>
      </c>
      <c r="BI36" s="6">
        <v>67</v>
      </c>
      <c r="BJ36" s="6">
        <v>118</v>
      </c>
      <c r="BK36" s="6">
        <v>180</v>
      </c>
      <c r="BL36" s="1"/>
      <c r="BM36" s="2">
        <v>31</v>
      </c>
      <c r="BN36" s="3">
        <v>4</v>
      </c>
      <c r="BO36" s="3">
        <v>1</v>
      </c>
      <c r="BP36" s="3">
        <v>3</v>
      </c>
      <c r="BQ36" s="3">
        <v>1</v>
      </c>
      <c r="BR36" s="3">
        <v>4</v>
      </c>
      <c r="BS36" s="3">
        <v>1</v>
      </c>
      <c r="BT36" s="3">
        <v>1</v>
      </c>
      <c r="BU36" s="3">
        <v>2</v>
      </c>
      <c r="BV36" s="1"/>
      <c r="BW36" s="2">
        <v>31</v>
      </c>
      <c r="BX36" s="3">
        <v>2</v>
      </c>
      <c r="BY36" s="3">
        <v>4</v>
      </c>
      <c r="BZ36" s="3">
        <v>2</v>
      </c>
      <c r="CA36" s="3">
        <v>5</v>
      </c>
      <c r="CB36" s="3">
        <v>2</v>
      </c>
      <c r="CC36" s="3">
        <v>3</v>
      </c>
      <c r="CD36" s="3">
        <v>3</v>
      </c>
      <c r="CE36" s="3">
        <v>4</v>
      </c>
      <c r="CF36" s="3">
        <v>1</v>
      </c>
      <c r="CG36" s="3">
        <v>5</v>
      </c>
      <c r="CH36" s="3">
        <f t="shared" si="1"/>
        <v>22.5</v>
      </c>
      <c r="CI36" s="1"/>
      <c r="CJ36" s="9">
        <v>31</v>
      </c>
      <c r="CK36" s="33">
        <v>0</v>
      </c>
      <c r="CL36" s="33">
        <v>1</v>
      </c>
      <c r="CM36" s="33">
        <v>0.25</v>
      </c>
      <c r="CN36" s="33">
        <v>0</v>
      </c>
      <c r="CO36" s="33">
        <v>0.25</v>
      </c>
      <c r="CP36" s="33">
        <v>0</v>
      </c>
      <c r="CQ36" s="33">
        <v>0</v>
      </c>
      <c r="CR36" s="33">
        <v>1</v>
      </c>
      <c r="CS36" s="84"/>
      <c r="CT36" s="9">
        <v>31</v>
      </c>
      <c r="CU36" s="6">
        <v>271</v>
      </c>
      <c r="CV36" s="6">
        <v>142</v>
      </c>
      <c r="CW36" s="6">
        <v>180</v>
      </c>
      <c r="CX36" s="6">
        <v>90</v>
      </c>
      <c r="CY36" s="6">
        <v>90</v>
      </c>
      <c r="CZ36" s="6">
        <v>180</v>
      </c>
      <c r="DA36" s="6">
        <v>130</v>
      </c>
      <c r="DB36" s="6">
        <v>45</v>
      </c>
      <c r="DC36" s="1"/>
      <c r="DD36" s="2">
        <v>31</v>
      </c>
      <c r="DE36" s="3">
        <v>2</v>
      </c>
      <c r="DF36" s="3">
        <v>2</v>
      </c>
      <c r="DG36" s="3">
        <v>3</v>
      </c>
      <c r="DH36" s="3">
        <v>3</v>
      </c>
      <c r="DI36" s="3">
        <v>3</v>
      </c>
      <c r="DJ36" s="3">
        <v>2</v>
      </c>
      <c r="DK36" s="3">
        <v>1</v>
      </c>
      <c r="DL36" s="3">
        <v>5</v>
      </c>
      <c r="DM36" s="1"/>
      <c r="DN36" s="2">
        <v>31</v>
      </c>
      <c r="DO36" s="3">
        <v>3</v>
      </c>
      <c r="DP36" s="3">
        <v>4</v>
      </c>
      <c r="DQ36" s="3">
        <v>2</v>
      </c>
      <c r="DR36" s="3">
        <v>5</v>
      </c>
      <c r="DS36" s="3">
        <v>3</v>
      </c>
      <c r="DT36" s="3">
        <v>3</v>
      </c>
      <c r="DU36" s="3">
        <v>3</v>
      </c>
      <c r="DV36" s="3">
        <v>5</v>
      </c>
      <c r="DW36" s="3">
        <v>2</v>
      </c>
      <c r="DX36" s="3">
        <v>5</v>
      </c>
      <c r="DY36" s="3">
        <f t="shared" si="2"/>
        <v>27.5</v>
      </c>
      <c r="DZ36" s="3"/>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row>
    <row r="37" spans="1:281">
      <c r="B37" s="9">
        <v>32</v>
      </c>
      <c r="C37" s="33">
        <v>0.25</v>
      </c>
      <c r="D37" s="33">
        <v>0.25</v>
      </c>
      <c r="E37" s="33">
        <v>0.25</v>
      </c>
      <c r="F37" s="33">
        <v>0</v>
      </c>
      <c r="G37" s="36">
        <v>1</v>
      </c>
      <c r="H37" s="33">
        <v>1</v>
      </c>
      <c r="I37" s="33">
        <v>1</v>
      </c>
      <c r="J37" s="34">
        <v>1</v>
      </c>
      <c r="L37" s="9">
        <v>32</v>
      </c>
      <c r="M37" s="6">
        <v>261</v>
      </c>
      <c r="N37" s="6">
        <v>117</v>
      </c>
      <c r="O37" s="6">
        <v>135</v>
      </c>
      <c r="P37" s="6">
        <v>180</v>
      </c>
      <c r="Q37" s="6">
        <v>82</v>
      </c>
      <c r="R37" s="6">
        <v>31</v>
      </c>
      <c r="S37" s="6">
        <v>28</v>
      </c>
      <c r="T37" s="7">
        <v>28</v>
      </c>
      <c r="U37" s="83"/>
      <c r="V37" s="2">
        <v>32</v>
      </c>
      <c r="W37" s="3">
        <v>3</v>
      </c>
      <c r="X37" s="3">
        <v>3</v>
      </c>
      <c r="Y37" s="3">
        <v>3</v>
      </c>
      <c r="Z37" s="3">
        <v>1</v>
      </c>
      <c r="AA37" s="3">
        <v>4</v>
      </c>
      <c r="AB37" s="3">
        <v>5</v>
      </c>
      <c r="AC37" s="3">
        <v>5</v>
      </c>
      <c r="AD37" s="3">
        <v>5</v>
      </c>
      <c r="AF37" s="2">
        <v>32</v>
      </c>
      <c r="AG37" s="3">
        <v>4</v>
      </c>
      <c r="AH37" s="3">
        <v>2</v>
      </c>
      <c r="AI37" s="3">
        <v>4</v>
      </c>
      <c r="AJ37" s="3">
        <v>1</v>
      </c>
      <c r="AK37" s="3">
        <v>5</v>
      </c>
      <c r="AL37" s="3">
        <v>1</v>
      </c>
      <c r="AM37" s="3">
        <v>5</v>
      </c>
      <c r="AN37" s="3">
        <v>2</v>
      </c>
      <c r="AO37" s="3">
        <v>4</v>
      </c>
      <c r="AP37" s="3">
        <v>1</v>
      </c>
      <c r="AQ37" s="3">
        <f>((AG37-1)+(5-AH37)+(AI37-1)+(5-AJ37)+(AK37-1)+(5-AL37)+(AM37-1)+(5-AN37)+(AO37-1)+(5-AP37))*2.5</f>
        <v>87.5</v>
      </c>
      <c r="AR37" s="3"/>
      <c r="AS37" s="9">
        <v>32</v>
      </c>
      <c r="AT37" s="33">
        <v>1</v>
      </c>
      <c r="AU37" s="33">
        <v>0.25</v>
      </c>
      <c r="AV37" s="33">
        <v>0</v>
      </c>
      <c r="AW37" s="33">
        <v>0.25</v>
      </c>
      <c r="AX37" s="33">
        <v>1</v>
      </c>
      <c r="AY37" s="33">
        <v>0.25</v>
      </c>
      <c r="AZ37" s="33">
        <v>0</v>
      </c>
      <c r="BA37" s="33">
        <v>1</v>
      </c>
      <c r="BC37" s="9">
        <v>32</v>
      </c>
      <c r="BD37" s="6">
        <v>136</v>
      </c>
      <c r="BE37" s="6">
        <v>180</v>
      </c>
      <c r="BF37" s="6">
        <v>130</v>
      </c>
      <c r="BG37" s="6">
        <v>180</v>
      </c>
      <c r="BH37" s="6">
        <v>133</v>
      </c>
      <c r="BI37" s="6">
        <v>145</v>
      </c>
      <c r="BJ37" s="6">
        <v>86</v>
      </c>
      <c r="BK37" s="7">
        <v>89</v>
      </c>
      <c r="BM37" s="2">
        <v>32</v>
      </c>
      <c r="BN37" s="3">
        <v>4</v>
      </c>
      <c r="BO37" s="3">
        <v>1</v>
      </c>
      <c r="BP37" s="3">
        <v>1</v>
      </c>
      <c r="BQ37" s="3">
        <v>1</v>
      </c>
      <c r="BR37" s="3">
        <v>2</v>
      </c>
      <c r="BS37" s="3">
        <v>1</v>
      </c>
      <c r="BT37" s="3">
        <v>1</v>
      </c>
      <c r="BU37" s="3">
        <v>3</v>
      </c>
      <c r="BW37" s="2">
        <v>32</v>
      </c>
      <c r="BX37" s="3">
        <v>1</v>
      </c>
      <c r="BY37" s="3">
        <v>5</v>
      </c>
      <c r="BZ37" s="3">
        <v>1</v>
      </c>
      <c r="CA37" s="3">
        <v>3</v>
      </c>
      <c r="CB37" s="3">
        <v>1</v>
      </c>
      <c r="CC37" s="3">
        <v>1</v>
      </c>
      <c r="CD37" s="3">
        <v>2</v>
      </c>
      <c r="CE37" s="3">
        <v>5</v>
      </c>
      <c r="CF37" s="3">
        <v>1</v>
      </c>
      <c r="CG37" s="3">
        <v>4</v>
      </c>
      <c r="CH37" s="3">
        <f>((BX37-1)+(5-BY37)+(BZ37-1)+(5-CA37)+(CB37-1)+(5-CC37)+(CD37-1)+(5-CE37)+(CF37-1)+(5-CG37))*2.5</f>
        <v>20</v>
      </c>
      <c r="CJ37" s="9">
        <v>32</v>
      </c>
      <c r="CK37" s="33">
        <v>1</v>
      </c>
      <c r="CL37" s="33">
        <v>1</v>
      </c>
      <c r="CM37" s="33">
        <v>0.25</v>
      </c>
      <c r="CN37" s="33">
        <v>1</v>
      </c>
      <c r="CO37" s="33">
        <v>0</v>
      </c>
      <c r="CP37" s="33">
        <v>0</v>
      </c>
      <c r="CQ37" s="33">
        <v>0</v>
      </c>
      <c r="CR37" s="34">
        <v>1</v>
      </c>
      <c r="CS37" s="84"/>
      <c r="CT37" s="9">
        <v>32</v>
      </c>
      <c r="CU37" s="6">
        <v>299</v>
      </c>
      <c r="CV37" s="6">
        <v>74</v>
      </c>
      <c r="CW37" s="6">
        <v>180</v>
      </c>
      <c r="CX37" s="6">
        <v>136</v>
      </c>
      <c r="CY37" s="6">
        <v>127</v>
      </c>
      <c r="CZ37" s="6">
        <v>180</v>
      </c>
      <c r="DA37" s="6">
        <v>176</v>
      </c>
      <c r="DB37" s="7">
        <v>60</v>
      </c>
      <c r="DD37" s="2">
        <v>32</v>
      </c>
      <c r="DE37" s="3">
        <v>3</v>
      </c>
      <c r="DF37" s="3">
        <v>5</v>
      </c>
      <c r="DG37" s="3">
        <v>2</v>
      </c>
      <c r="DH37" s="3">
        <v>3</v>
      </c>
      <c r="DI37" s="3">
        <v>1</v>
      </c>
      <c r="DJ37" s="3">
        <v>2</v>
      </c>
      <c r="DK37" s="3">
        <v>4</v>
      </c>
      <c r="DL37" s="3">
        <v>4</v>
      </c>
      <c r="DN37" s="2">
        <v>32</v>
      </c>
      <c r="DO37" s="3">
        <v>2</v>
      </c>
      <c r="DP37" s="3">
        <v>2</v>
      </c>
      <c r="DQ37" s="3">
        <v>2</v>
      </c>
      <c r="DR37" s="3">
        <v>1</v>
      </c>
      <c r="DS37" s="3">
        <v>1</v>
      </c>
      <c r="DT37" s="3">
        <v>4</v>
      </c>
      <c r="DU37" s="3">
        <v>2</v>
      </c>
      <c r="DV37" s="3">
        <v>3</v>
      </c>
      <c r="DW37" s="3">
        <v>2</v>
      </c>
      <c r="DX37" s="3">
        <v>3</v>
      </c>
      <c r="DY37" s="3">
        <f>((DO37-1)+(5-DP37)+(DQ37-1)+(5-DR37)+(DS37-1)+(5-DT37)+(DU37-1)+(5-DV37)+(DW37-1)+(5-DX37))*2.5</f>
        <v>40</v>
      </c>
      <c r="DZ37" s="3"/>
    </row>
    <row r="38" spans="1:281">
      <c r="B38" s="9">
        <v>33</v>
      </c>
      <c r="C38" s="33">
        <v>0.25</v>
      </c>
      <c r="D38" s="33">
        <v>0</v>
      </c>
      <c r="E38" s="33">
        <v>0</v>
      </c>
      <c r="F38" s="33">
        <v>1</v>
      </c>
      <c r="G38" s="33">
        <v>0.25</v>
      </c>
      <c r="H38" s="33">
        <v>1</v>
      </c>
      <c r="I38" s="33">
        <v>0</v>
      </c>
      <c r="J38" s="34">
        <v>1</v>
      </c>
      <c r="L38" s="9">
        <v>33</v>
      </c>
      <c r="M38" s="6">
        <v>155</v>
      </c>
      <c r="N38" s="6">
        <v>87</v>
      </c>
      <c r="O38" s="6">
        <v>57</v>
      </c>
      <c r="P38" s="6">
        <v>54</v>
      </c>
      <c r="Q38" s="6">
        <v>43</v>
      </c>
      <c r="R38" s="6">
        <v>38</v>
      </c>
      <c r="S38" s="6">
        <v>43</v>
      </c>
      <c r="T38" s="7">
        <v>24</v>
      </c>
      <c r="U38" s="83"/>
      <c r="V38" s="2">
        <v>33</v>
      </c>
      <c r="W38" s="3">
        <v>2</v>
      </c>
      <c r="X38" s="3">
        <v>3</v>
      </c>
      <c r="Y38" s="3">
        <v>3</v>
      </c>
      <c r="Z38" s="3">
        <v>4</v>
      </c>
      <c r="AA38" s="3">
        <v>1</v>
      </c>
      <c r="AB38" s="3">
        <v>4</v>
      </c>
      <c r="AC38" s="3">
        <v>2</v>
      </c>
      <c r="AD38" s="3">
        <v>5</v>
      </c>
      <c r="AF38" s="2">
        <v>33</v>
      </c>
      <c r="AG38" s="3">
        <v>3</v>
      </c>
      <c r="AH38" s="3">
        <v>3</v>
      </c>
      <c r="AI38" s="3">
        <v>2</v>
      </c>
      <c r="AJ38" s="3">
        <v>2</v>
      </c>
      <c r="AK38" s="3">
        <v>3</v>
      </c>
      <c r="AL38" s="3">
        <v>3</v>
      </c>
      <c r="AM38" s="3">
        <v>1</v>
      </c>
      <c r="AN38" s="3">
        <v>3</v>
      </c>
      <c r="AO38" s="3">
        <v>2</v>
      </c>
      <c r="AP38" s="3">
        <v>2</v>
      </c>
      <c r="AQ38" s="3">
        <f>((AG38-1)+(5-AH38)+(AI38-1)+(5-AJ38)+(AK38-1)+(5-AL38)+(AM38-1)+(5-AN38)+(AO38-1)+(5-AP38))*2.5</f>
        <v>45</v>
      </c>
      <c r="AR38" s="3"/>
      <c r="AS38" s="9">
        <v>33</v>
      </c>
      <c r="AT38" s="33">
        <v>0.25</v>
      </c>
      <c r="AU38" s="33">
        <v>0</v>
      </c>
      <c r="AV38" s="33">
        <v>0</v>
      </c>
      <c r="AW38" s="33">
        <v>0</v>
      </c>
      <c r="AX38" s="33">
        <v>0.25</v>
      </c>
      <c r="AY38" s="33">
        <v>0</v>
      </c>
      <c r="AZ38" s="33">
        <v>0</v>
      </c>
      <c r="BA38" s="34">
        <v>0</v>
      </c>
      <c r="BC38" s="9">
        <v>33</v>
      </c>
      <c r="BD38" s="6">
        <v>158</v>
      </c>
      <c r="BE38" s="6">
        <v>180</v>
      </c>
      <c r="BF38" s="6">
        <v>87</v>
      </c>
      <c r="BG38" s="6">
        <v>67</v>
      </c>
      <c r="BH38" s="6">
        <v>169</v>
      </c>
      <c r="BI38" s="6">
        <v>49</v>
      </c>
      <c r="BJ38" s="6">
        <v>84</v>
      </c>
      <c r="BK38" s="7">
        <v>49</v>
      </c>
      <c r="BM38" s="2">
        <v>33</v>
      </c>
      <c r="BN38" s="3">
        <v>4</v>
      </c>
      <c r="BO38" s="3">
        <v>2</v>
      </c>
      <c r="BP38" s="3">
        <v>3</v>
      </c>
      <c r="BQ38" s="3">
        <v>2</v>
      </c>
      <c r="BR38" s="3">
        <v>3</v>
      </c>
      <c r="BS38" s="3">
        <v>4</v>
      </c>
      <c r="BT38" s="3">
        <v>2</v>
      </c>
      <c r="BU38" s="3">
        <v>1</v>
      </c>
      <c r="BW38" s="2">
        <v>33</v>
      </c>
      <c r="BX38" s="3">
        <v>2</v>
      </c>
      <c r="BY38" s="3">
        <v>2</v>
      </c>
      <c r="BZ38" s="3">
        <v>1</v>
      </c>
      <c r="CA38" s="3">
        <v>5</v>
      </c>
      <c r="CB38" s="3">
        <v>5</v>
      </c>
      <c r="CC38" s="3">
        <v>3</v>
      </c>
      <c r="CD38" s="3">
        <v>1</v>
      </c>
      <c r="CE38" s="3">
        <v>3</v>
      </c>
      <c r="CF38" s="3">
        <v>1</v>
      </c>
      <c r="CG38" s="3">
        <v>5</v>
      </c>
      <c r="CH38" s="3">
        <f t="shared" si="1"/>
        <v>30</v>
      </c>
      <c r="CJ38" s="9">
        <v>33</v>
      </c>
      <c r="CK38" s="33">
        <v>0</v>
      </c>
      <c r="CL38" s="33">
        <v>0.25</v>
      </c>
      <c r="CM38" s="33">
        <v>0</v>
      </c>
      <c r="CN38" s="33">
        <v>0</v>
      </c>
      <c r="CO38" s="33">
        <v>0</v>
      </c>
      <c r="CP38" s="33">
        <v>0</v>
      </c>
      <c r="CQ38" s="33">
        <v>0.25</v>
      </c>
      <c r="CR38" s="34">
        <v>0</v>
      </c>
      <c r="CS38" s="84"/>
      <c r="CT38" s="9">
        <v>33</v>
      </c>
      <c r="CU38" s="6">
        <v>105</v>
      </c>
      <c r="CV38" s="6">
        <v>43</v>
      </c>
      <c r="CW38" s="6">
        <v>85</v>
      </c>
      <c r="CX38" s="6">
        <v>14</v>
      </c>
      <c r="CY38" s="6">
        <v>71</v>
      </c>
      <c r="CZ38" s="6">
        <v>55</v>
      </c>
      <c r="DA38" s="6">
        <v>60</v>
      </c>
      <c r="DB38" s="7">
        <v>31</v>
      </c>
      <c r="DD38" s="2">
        <v>33</v>
      </c>
      <c r="DE38" s="3">
        <v>1</v>
      </c>
      <c r="DF38" s="3">
        <v>2</v>
      </c>
      <c r="DG38" s="3">
        <v>2</v>
      </c>
      <c r="DH38" s="3">
        <v>2</v>
      </c>
      <c r="DI38" s="3">
        <v>1</v>
      </c>
      <c r="DJ38" s="3">
        <v>1</v>
      </c>
      <c r="DK38" s="3">
        <v>1</v>
      </c>
      <c r="DL38" s="3">
        <v>3</v>
      </c>
      <c r="DN38" s="2">
        <v>33</v>
      </c>
      <c r="DO38" s="3">
        <v>1</v>
      </c>
      <c r="DP38" s="3">
        <v>1</v>
      </c>
      <c r="DQ38" s="3">
        <v>1</v>
      </c>
      <c r="DR38" s="3">
        <v>4</v>
      </c>
      <c r="DS38" s="3">
        <v>5</v>
      </c>
      <c r="DT38" s="3">
        <v>4</v>
      </c>
      <c r="DU38" s="3">
        <v>1</v>
      </c>
      <c r="DV38" s="3">
        <v>3</v>
      </c>
      <c r="DW38" s="3">
        <v>1</v>
      </c>
      <c r="DX38" s="3">
        <v>2</v>
      </c>
      <c r="DY38" s="3">
        <f>((DO38-1)+(5-DP38)+(DQ38-1)+(5-DR38)+(DS38-1)+(5-DT38)+(DU38-1)+(5-DV38)+(DW38-1)+(5-DX38))*2.5</f>
        <v>37.5</v>
      </c>
      <c r="DZ38" s="3"/>
    </row>
    <row r="39" spans="1:281">
      <c r="B39" s="9">
        <v>34</v>
      </c>
      <c r="C39" s="33">
        <v>0.25</v>
      </c>
      <c r="D39" s="33">
        <v>0.25</v>
      </c>
      <c r="E39" s="33">
        <v>0.25</v>
      </c>
      <c r="F39" s="33">
        <v>1</v>
      </c>
      <c r="G39" s="33">
        <v>1</v>
      </c>
      <c r="H39" s="33">
        <v>1</v>
      </c>
      <c r="I39" s="33">
        <v>1</v>
      </c>
      <c r="J39" s="34">
        <v>1</v>
      </c>
      <c r="L39" s="9">
        <v>34</v>
      </c>
      <c r="M39" s="6">
        <v>300</v>
      </c>
      <c r="N39" s="6">
        <v>180</v>
      </c>
      <c r="O39" s="6">
        <v>102</v>
      </c>
      <c r="P39" s="6">
        <v>81</v>
      </c>
      <c r="Q39" s="6">
        <v>35</v>
      </c>
      <c r="R39" s="6">
        <v>40</v>
      </c>
      <c r="S39" s="6">
        <v>55</v>
      </c>
      <c r="T39" s="7">
        <v>20</v>
      </c>
      <c r="U39" s="83"/>
      <c r="V39" s="2">
        <v>34</v>
      </c>
      <c r="W39" s="3">
        <v>3</v>
      </c>
      <c r="X39" s="3">
        <v>2</v>
      </c>
      <c r="Y39" s="3">
        <v>4</v>
      </c>
      <c r="Z39" s="3">
        <v>4</v>
      </c>
      <c r="AA39" s="3">
        <v>4</v>
      </c>
      <c r="AB39" s="3">
        <v>4</v>
      </c>
      <c r="AC39" s="3">
        <v>4</v>
      </c>
      <c r="AD39" s="3">
        <v>5</v>
      </c>
      <c r="AF39" s="2">
        <v>34</v>
      </c>
      <c r="AG39" s="3">
        <v>4</v>
      </c>
      <c r="AH39" s="3">
        <v>2</v>
      </c>
      <c r="AI39" s="3">
        <v>3</v>
      </c>
      <c r="AJ39" s="3">
        <v>1</v>
      </c>
      <c r="AK39" s="3">
        <v>4</v>
      </c>
      <c r="AL39" s="3">
        <v>2</v>
      </c>
      <c r="AM39" s="3">
        <v>4</v>
      </c>
      <c r="AN39" s="3">
        <v>3</v>
      </c>
      <c r="AO39" s="3">
        <v>4</v>
      </c>
      <c r="AP39" s="3">
        <v>1</v>
      </c>
      <c r="AQ39" s="3">
        <f>((AG39-1)+(5-AH39)+(AI39-1)+(5-AJ39)+(AK39-1)+(5-AL39)+(AM39-1)+(5-AN39)+(AO39-1)+(5-AP39))*2.5</f>
        <v>75</v>
      </c>
      <c r="AR39" s="3"/>
      <c r="AS39" s="9">
        <v>34</v>
      </c>
      <c r="AT39" s="33">
        <v>0.25</v>
      </c>
      <c r="AU39" s="33">
        <v>0</v>
      </c>
      <c r="AV39" s="33">
        <v>0</v>
      </c>
      <c r="AW39" s="33">
        <v>0</v>
      </c>
      <c r="AX39" s="33">
        <v>1</v>
      </c>
      <c r="AY39" s="33">
        <v>0.25</v>
      </c>
      <c r="AZ39" s="33">
        <v>0</v>
      </c>
      <c r="BA39" s="34">
        <v>0.25</v>
      </c>
      <c r="BC39" s="9">
        <v>34</v>
      </c>
      <c r="BD39" s="6">
        <v>105</v>
      </c>
      <c r="BE39" s="6">
        <v>180</v>
      </c>
      <c r="BF39" s="6">
        <v>180</v>
      </c>
      <c r="BG39" s="6">
        <v>180</v>
      </c>
      <c r="BH39" s="6">
        <v>96</v>
      </c>
      <c r="BI39" s="6">
        <v>106</v>
      </c>
      <c r="BJ39" s="6">
        <v>300</v>
      </c>
      <c r="BK39" s="7">
        <v>300</v>
      </c>
      <c r="BM39" s="2">
        <v>34</v>
      </c>
      <c r="BN39" s="3">
        <v>4</v>
      </c>
      <c r="BO39" s="3">
        <v>1</v>
      </c>
      <c r="BP39" s="3">
        <v>1</v>
      </c>
      <c r="BQ39" s="3">
        <v>1</v>
      </c>
      <c r="BR39" s="3">
        <v>4</v>
      </c>
      <c r="BS39" s="3">
        <v>3</v>
      </c>
      <c r="BT39" s="3">
        <v>1</v>
      </c>
      <c r="BU39" s="3">
        <v>1</v>
      </c>
      <c r="BW39" s="2">
        <v>34</v>
      </c>
      <c r="BX39" s="3">
        <v>2</v>
      </c>
      <c r="BY39" s="3">
        <v>5</v>
      </c>
      <c r="BZ39" s="3">
        <v>2</v>
      </c>
      <c r="CA39" s="3">
        <v>4</v>
      </c>
      <c r="CB39" s="3">
        <v>3</v>
      </c>
      <c r="CC39" s="3">
        <v>3</v>
      </c>
      <c r="CD39" s="3">
        <v>1</v>
      </c>
      <c r="CE39" s="3">
        <v>4</v>
      </c>
      <c r="CF39" s="3">
        <v>2</v>
      </c>
      <c r="CG39" s="3">
        <v>4</v>
      </c>
      <c r="CH39" s="3">
        <f>((BX39-1)+(5-BY39)+(BZ39-1)+(5-CA39)+(CB39-1)+(5-CC39)+(CD39-1)+(5-CE39)+(CF39-1)+(5-CG39))*2.5</f>
        <v>25</v>
      </c>
      <c r="CJ39" s="9">
        <v>34</v>
      </c>
      <c r="CK39" s="33">
        <v>1</v>
      </c>
      <c r="CL39" s="33">
        <v>1</v>
      </c>
      <c r="CM39" s="33">
        <v>1</v>
      </c>
      <c r="CN39" s="33">
        <v>1</v>
      </c>
      <c r="CO39" s="33">
        <v>0.25</v>
      </c>
      <c r="CP39" s="33">
        <v>0.25</v>
      </c>
      <c r="CQ39" s="33">
        <v>1</v>
      </c>
      <c r="CR39" s="34">
        <v>1</v>
      </c>
      <c r="CS39" s="84"/>
      <c r="CT39" s="9">
        <v>34</v>
      </c>
      <c r="CU39" s="6">
        <v>300</v>
      </c>
      <c r="CV39" s="6">
        <v>76</v>
      </c>
      <c r="CW39" s="6">
        <v>180</v>
      </c>
      <c r="CX39" s="6">
        <v>51</v>
      </c>
      <c r="CY39" s="6">
        <v>43</v>
      </c>
      <c r="CZ39" s="6">
        <v>113</v>
      </c>
      <c r="DA39" s="6">
        <v>152</v>
      </c>
      <c r="DB39" s="7">
        <v>44</v>
      </c>
      <c r="DD39" s="2">
        <v>34</v>
      </c>
      <c r="DE39" s="3">
        <v>3</v>
      </c>
      <c r="DF39" s="3">
        <v>4</v>
      </c>
      <c r="DG39" s="3">
        <v>3</v>
      </c>
      <c r="DH39" s="3">
        <v>4</v>
      </c>
      <c r="DI39" s="3">
        <v>5</v>
      </c>
      <c r="DJ39" s="3">
        <v>3</v>
      </c>
      <c r="DK39" s="3">
        <v>4</v>
      </c>
      <c r="DL39" s="3">
        <v>4</v>
      </c>
      <c r="DN39" s="2">
        <v>34</v>
      </c>
      <c r="DO39" s="3">
        <v>3</v>
      </c>
      <c r="DP39" s="3">
        <v>2</v>
      </c>
      <c r="DQ39" s="3">
        <v>3</v>
      </c>
      <c r="DR39" s="3">
        <v>2</v>
      </c>
      <c r="DS39" s="3">
        <v>3</v>
      </c>
      <c r="DT39" s="3">
        <v>3</v>
      </c>
      <c r="DU39" s="3">
        <v>4</v>
      </c>
      <c r="DV39" s="3">
        <v>3</v>
      </c>
      <c r="DW39" s="3">
        <v>3</v>
      </c>
      <c r="DX39" s="3">
        <v>2</v>
      </c>
      <c r="DY39" s="3">
        <f>((DO39-1)+(5-DP39)+(DQ39-1)+(5-DR39)+(DS39-1)+(5-DT39)+(DU39-1)+(5-DV39)+(DW39-1)+(5-DX39))*2.5</f>
        <v>60</v>
      </c>
      <c r="DZ39" s="3"/>
    </row>
    <row r="40" spans="1:281" s="88" customFormat="1">
      <c r="A40" s="1"/>
      <c r="B40" s="9">
        <v>35</v>
      </c>
      <c r="C40" s="33">
        <v>0.25</v>
      </c>
      <c r="D40" s="33">
        <v>0</v>
      </c>
      <c r="E40" s="33">
        <v>0.25</v>
      </c>
      <c r="F40" s="33">
        <v>1</v>
      </c>
      <c r="G40" s="33">
        <v>1</v>
      </c>
      <c r="H40" s="33">
        <v>1</v>
      </c>
      <c r="I40" s="33">
        <v>1</v>
      </c>
      <c r="J40" s="33">
        <v>1</v>
      </c>
      <c r="K40" s="1"/>
      <c r="L40" s="9">
        <v>35</v>
      </c>
      <c r="M40" s="6">
        <v>227</v>
      </c>
      <c r="N40" s="6">
        <v>180</v>
      </c>
      <c r="O40" s="6">
        <v>180</v>
      </c>
      <c r="P40" s="6">
        <v>75</v>
      </c>
      <c r="Q40" s="6">
        <v>156</v>
      </c>
      <c r="R40" s="6">
        <v>24</v>
      </c>
      <c r="S40" s="6">
        <v>33</v>
      </c>
      <c r="T40" s="7">
        <v>38</v>
      </c>
      <c r="U40" s="83"/>
      <c r="V40" s="2">
        <v>35</v>
      </c>
      <c r="W40" s="3">
        <v>2</v>
      </c>
      <c r="X40" s="3">
        <v>1</v>
      </c>
      <c r="Y40" s="3">
        <v>2</v>
      </c>
      <c r="Z40" s="3">
        <v>2</v>
      </c>
      <c r="AA40" s="3">
        <v>2</v>
      </c>
      <c r="AB40" s="3">
        <v>4</v>
      </c>
      <c r="AC40" s="3">
        <v>4</v>
      </c>
      <c r="AD40" s="3">
        <v>5</v>
      </c>
      <c r="AE40" s="1"/>
      <c r="AF40" s="2">
        <v>35</v>
      </c>
      <c r="AG40" s="3">
        <v>2</v>
      </c>
      <c r="AH40" s="3">
        <v>3</v>
      </c>
      <c r="AI40" s="3">
        <v>2</v>
      </c>
      <c r="AJ40" s="3">
        <v>4</v>
      </c>
      <c r="AK40" s="3">
        <v>3</v>
      </c>
      <c r="AL40" s="3">
        <v>4</v>
      </c>
      <c r="AM40" s="3">
        <v>2</v>
      </c>
      <c r="AN40" s="3">
        <v>4</v>
      </c>
      <c r="AO40" s="3">
        <v>2</v>
      </c>
      <c r="AP40" s="3">
        <v>4</v>
      </c>
      <c r="AQ40" s="3">
        <f>((AG40-1)+(5-AH40)+(AI40-1)+(5-AJ40)+(AK40-1)+(5-AL40)+(AM40-1)+(5-AN40)+(AO40-1)+(5-AP40))*2.5</f>
        <v>30</v>
      </c>
      <c r="AR40" s="3"/>
      <c r="AS40" s="9">
        <v>35</v>
      </c>
      <c r="AT40" s="33">
        <v>1</v>
      </c>
      <c r="AU40" s="33">
        <v>0</v>
      </c>
      <c r="AV40" s="33">
        <v>0</v>
      </c>
      <c r="AW40" s="33">
        <v>1</v>
      </c>
      <c r="AX40" s="33">
        <v>0.25</v>
      </c>
      <c r="AY40" s="33">
        <v>0</v>
      </c>
      <c r="AZ40" s="33">
        <v>0</v>
      </c>
      <c r="BA40" s="33">
        <v>1</v>
      </c>
      <c r="BB40" s="1"/>
      <c r="BC40" s="9">
        <v>35</v>
      </c>
      <c r="BD40" s="6">
        <v>105</v>
      </c>
      <c r="BE40" s="6">
        <v>180</v>
      </c>
      <c r="BF40" s="6">
        <v>180</v>
      </c>
      <c r="BG40" s="6">
        <v>97</v>
      </c>
      <c r="BH40" s="6">
        <v>107</v>
      </c>
      <c r="BI40" s="6">
        <v>62</v>
      </c>
      <c r="BJ40" s="6">
        <v>125</v>
      </c>
      <c r="BK40" s="7">
        <v>180</v>
      </c>
      <c r="BL40" s="1"/>
      <c r="BM40" s="2">
        <v>35</v>
      </c>
      <c r="BN40" s="3">
        <v>5</v>
      </c>
      <c r="BO40" s="3">
        <v>2</v>
      </c>
      <c r="BP40" s="3">
        <v>1</v>
      </c>
      <c r="BQ40" s="3">
        <v>3</v>
      </c>
      <c r="BR40" s="3">
        <v>4</v>
      </c>
      <c r="BS40" s="3">
        <v>4</v>
      </c>
      <c r="BT40" s="3">
        <v>3</v>
      </c>
      <c r="BU40" s="3">
        <v>2</v>
      </c>
      <c r="BV40" s="1"/>
      <c r="BW40" s="2">
        <v>35</v>
      </c>
      <c r="BX40" s="3">
        <v>3</v>
      </c>
      <c r="BY40" s="3">
        <v>4</v>
      </c>
      <c r="BZ40" s="3">
        <v>3</v>
      </c>
      <c r="CA40" s="3">
        <v>3</v>
      </c>
      <c r="CB40" s="3">
        <v>3</v>
      </c>
      <c r="CC40" s="3">
        <v>4</v>
      </c>
      <c r="CD40" s="3">
        <v>3</v>
      </c>
      <c r="CE40" s="3">
        <v>3</v>
      </c>
      <c r="CF40" s="3">
        <v>3</v>
      </c>
      <c r="CG40" s="3">
        <v>3</v>
      </c>
      <c r="CH40" s="3">
        <f>((BX40-1)+(5-BY40)+(BZ40-1)+(5-CA40)+(CB40-1)+(5-CC40)+(CD40-1)+(5-CE40)+(CF40-1)+(5-CG40))*2.5</f>
        <v>45</v>
      </c>
      <c r="CI40" s="1"/>
      <c r="CJ40" s="9">
        <v>35</v>
      </c>
      <c r="CK40" s="33">
        <v>1</v>
      </c>
      <c r="CL40" s="33">
        <v>1</v>
      </c>
      <c r="CM40" s="33">
        <v>1</v>
      </c>
      <c r="CN40" s="33">
        <v>1</v>
      </c>
      <c r="CO40" s="33">
        <v>0.25</v>
      </c>
      <c r="CP40" s="33">
        <v>0</v>
      </c>
      <c r="CQ40" s="33">
        <v>0.25</v>
      </c>
      <c r="CR40" s="33">
        <v>1</v>
      </c>
      <c r="CS40" s="84"/>
      <c r="CT40" s="9">
        <v>35</v>
      </c>
      <c r="CU40" s="6">
        <v>248</v>
      </c>
      <c r="CV40" s="6">
        <v>71</v>
      </c>
      <c r="CW40" s="6">
        <v>110</v>
      </c>
      <c r="CX40" s="6">
        <v>26</v>
      </c>
      <c r="CY40" s="6">
        <v>68</v>
      </c>
      <c r="CZ40" s="6">
        <v>180</v>
      </c>
      <c r="DA40" s="6">
        <v>84</v>
      </c>
      <c r="DB40" s="7">
        <v>22</v>
      </c>
      <c r="DC40" s="1"/>
      <c r="DD40" s="2">
        <v>35</v>
      </c>
      <c r="DE40" s="3">
        <v>4</v>
      </c>
      <c r="DF40" s="3">
        <v>4</v>
      </c>
      <c r="DG40" s="3">
        <v>4</v>
      </c>
      <c r="DH40" s="3">
        <v>5</v>
      </c>
      <c r="DI40" s="3">
        <v>4</v>
      </c>
      <c r="DJ40" s="3">
        <v>1</v>
      </c>
      <c r="DK40" s="3">
        <v>3</v>
      </c>
      <c r="DL40" s="3">
        <v>4</v>
      </c>
      <c r="DM40" s="1"/>
      <c r="DN40" s="2">
        <v>35</v>
      </c>
      <c r="DO40" s="3">
        <v>4</v>
      </c>
      <c r="DP40" s="3">
        <v>2</v>
      </c>
      <c r="DQ40" s="3">
        <v>4</v>
      </c>
      <c r="DR40" s="3">
        <v>3</v>
      </c>
      <c r="DS40" s="3">
        <v>4</v>
      </c>
      <c r="DT40" s="3">
        <v>3</v>
      </c>
      <c r="DU40" s="3">
        <v>4</v>
      </c>
      <c r="DV40" s="3">
        <v>2</v>
      </c>
      <c r="DW40" s="3">
        <v>4</v>
      </c>
      <c r="DX40" s="3">
        <v>3</v>
      </c>
      <c r="DY40" s="3">
        <f>((DO40-1)+(5-DP40)+(DQ40-1)+(5-DR40)+(DS40-1)+(5-DT40)+(DU40-1)+(5-DV40)+(DW40-1)+(5-DX40))*2.5</f>
        <v>67.5</v>
      </c>
      <c r="DZ40" s="3"/>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row>
    <row r="41" spans="1:281" s="88" customFormat="1">
      <c r="A41" s="1"/>
      <c r="B41" s="9">
        <v>36</v>
      </c>
      <c r="C41" s="33">
        <v>0.25</v>
      </c>
      <c r="D41" s="33">
        <v>0.25</v>
      </c>
      <c r="E41" s="33">
        <v>0.25</v>
      </c>
      <c r="F41" s="33">
        <v>0</v>
      </c>
      <c r="G41" s="33">
        <v>1</v>
      </c>
      <c r="H41" s="33">
        <v>0</v>
      </c>
      <c r="I41" s="33">
        <v>0.25</v>
      </c>
      <c r="J41" s="33">
        <v>0.25</v>
      </c>
      <c r="K41" s="1"/>
      <c r="L41" s="9">
        <v>36</v>
      </c>
      <c r="M41" s="8">
        <v>99</v>
      </c>
      <c r="N41" s="8">
        <v>107</v>
      </c>
      <c r="O41" s="8">
        <v>76</v>
      </c>
      <c r="P41" s="8">
        <v>180</v>
      </c>
      <c r="Q41" s="8">
        <v>48</v>
      </c>
      <c r="R41" s="8">
        <v>122</v>
      </c>
      <c r="S41" s="8">
        <v>68</v>
      </c>
      <c r="T41" s="4">
        <v>16</v>
      </c>
      <c r="U41" s="83"/>
      <c r="V41" s="2">
        <v>36</v>
      </c>
      <c r="W41" s="3">
        <v>4</v>
      </c>
      <c r="X41" s="3">
        <v>4</v>
      </c>
      <c r="Y41" s="3">
        <v>4</v>
      </c>
      <c r="Z41" s="3">
        <v>1</v>
      </c>
      <c r="AA41" s="3">
        <v>4</v>
      </c>
      <c r="AB41" s="3">
        <v>1</v>
      </c>
      <c r="AC41" s="3">
        <v>3</v>
      </c>
      <c r="AD41" s="3">
        <v>5</v>
      </c>
      <c r="AE41" s="1"/>
      <c r="AF41" s="2">
        <v>36</v>
      </c>
      <c r="AG41" s="3">
        <v>3</v>
      </c>
      <c r="AH41" s="3">
        <v>3</v>
      </c>
      <c r="AI41" s="3">
        <v>3</v>
      </c>
      <c r="AJ41" s="3">
        <v>5</v>
      </c>
      <c r="AK41" s="3">
        <v>3</v>
      </c>
      <c r="AL41" s="3">
        <v>5</v>
      </c>
      <c r="AM41" s="3">
        <v>2</v>
      </c>
      <c r="AN41" s="3">
        <v>2</v>
      </c>
      <c r="AO41" s="22">
        <v>2</v>
      </c>
      <c r="AP41" s="22">
        <v>1</v>
      </c>
      <c r="AQ41" s="22">
        <f>((AG41-1)+(5-AH41)+(AI41-1)+(5-AJ41)+(AK41-1)+(5-AL41)+(AM41-1)+(5-AN41)+(AO41-1)+(5-AP41))*2.5</f>
        <v>42.5</v>
      </c>
      <c r="AR41" s="3"/>
      <c r="AS41" s="9">
        <v>36</v>
      </c>
      <c r="AT41" s="33">
        <v>0.25</v>
      </c>
      <c r="AU41" s="33">
        <v>0.25</v>
      </c>
      <c r="AV41" s="33">
        <v>0</v>
      </c>
      <c r="AW41" s="33">
        <v>0</v>
      </c>
      <c r="AX41" s="33">
        <v>0.25</v>
      </c>
      <c r="AY41" s="33">
        <v>0</v>
      </c>
      <c r="AZ41" s="33">
        <v>0.25</v>
      </c>
      <c r="BA41" s="33">
        <v>0</v>
      </c>
      <c r="BB41" s="1"/>
      <c r="BC41" s="9">
        <v>36</v>
      </c>
      <c r="BD41" s="8">
        <v>140</v>
      </c>
      <c r="BE41" s="8">
        <v>180</v>
      </c>
      <c r="BF41" s="8">
        <v>25</v>
      </c>
      <c r="BG41" s="8">
        <v>66</v>
      </c>
      <c r="BH41" s="8">
        <v>50</v>
      </c>
      <c r="BI41" s="8">
        <v>39</v>
      </c>
      <c r="BJ41" s="8">
        <v>86</v>
      </c>
      <c r="BK41" s="4">
        <v>170</v>
      </c>
      <c r="BL41" s="1"/>
      <c r="BM41" s="2">
        <v>36</v>
      </c>
      <c r="BN41" s="3">
        <v>4</v>
      </c>
      <c r="BO41" s="3">
        <v>2</v>
      </c>
      <c r="BP41" s="3">
        <v>4</v>
      </c>
      <c r="BQ41" s="3">
        <v>1</v>
      </c>
      <c r="BR41" s="3">
        <v>4</v>
      </c>
      <c r="BS41" s="3">
        <v>3</v>
      </c>
      <c r="BT41" s="3">
        <v>1</v>
      </c>
      <c r="BU41" s="3">
        <v>1</v>
      </c>
      <c r="BV41" s="1"/>
      <c r="BW41" s="2">
        <v>36</v>
      </c>
      <c r="BX41" s="3">
        <v>2</v>
      </c>
      <c r="BY41" s="3">
        <v>4</v>
      </c>
      <c r="BZ41" s="3">
        <v>2</v>
      </c>
      <c r="CA41" s="3">
        <v>5</v>
      </c>
      <c r="CB41" s="3">
        <v>4</v>
      </c>
      <c r="CC41" s="3">
        <v>4</v>
      </c>
      <c r="CD41" s="3">
        <v>2</v>
      </c>
      <c r="CE41" s="3">
        <v>4</v>
      </c>
      <c r="CF41" s="22">
        <v>1</v>
      </c>
      <c r="CG41" s="22">
        <v>4</v>
      </c>
      <c r="CH41" s="3">
        <f>((BX41-1)+(5-BY41)+(BZ41-1)+(5-CA41)+(CB41-1)+(5-CC41)+(CD41-1)+(5-CE41)+(CF41-1)+(5-CG41))*2.5</f>
        <v>25</v>
      </c>
      <c r="CI41" s="1"/>
      <c r="CJ41" s="9">
        <v>36</v>
      </c>
      <c r="CK41" s="33">
        <v>0.25</v>
      </c>
      <c r="CL41" s="33">
        <v>0.25</v>
      </c>
      <c r="CM41" s="33">
        <v>0.25</v>
      </c>
      <c r="CN41" s="33">
        <v>0.25</v>
      </c>
      <c r="CO41" s="33">
        <v>0.25</v>
      </c>
      <c r="CP41" s="33">
        <v>0</v>
      </c>
      <c r="CQ41" s="33">
        <v>0</v>
      </c>
      <c r="CR41" s="33">
        <v>1</v>
      </c>
      <c r="CS41" s="84"/>
      <c r="CT41" s="9">
        <v>36</v>
      </c>
      <c r="CU41" s="8">
        <v>171</v>
      </c>
      <c r="CV41" s="8">
        <v>38</v>
      </c>
      <c r="CW41" s="8">
        <v>180</v>
      </c>
      <c r="CX41" s="8">
        <v>21</v>
      </c>
      <c r="CY41" s="8">
        <v>92</v>
      </c>
      <c r="CZ41" s="8">
        <v>76</v>
      </c>
      <c r="DA41" s="8">
        <v>125</v>
      </c>
      <c r="DB41" s="4">
        <v>49</v>
      </c>
      <c r="DC41" s="1"/>
      <c r="DD41" s="2">
        <v>36</v>
      </c>
      <c r="DE41" s="3">
        <v>4</v>
      </c>
      <c r="DF41" s="3">
        <v>4</v>
      </c>
      <c r="DG41" s="3">
        <v>4</v>
      </c>
      <c r="DH41" s="3">
        <v>4</v>
      </c>
      <c r="DI41" s="3">
        <v>2</v>
      </c>
      <c r="DJ41" s="3">
        <v>2</v>
      </c>
      <c r="DK41" s="3">
        <v>1</v>
      </c>
      <c r="DL41" s="3">
        <v>4</v>
      </c>
      <c r="DM41" s="1"/>
      <c r="DN41" s="2">
        <v>36</v>
      </c>
      <c r="DO41" s="3">
        <v>4</v>
      </c>
      <c r="DP41" s="3">
        <v>2</v>
      </c>
      <c r="DQ41" s="3">
        <v>3</v>
      </c>
      <c r="DR41" s="3">
        <v>2</v>
      </c>
      <c r="DS41" s="3">
        <v>4</v>
      </c>
      <c r="DT41" s="3">
        <v>2</v>
      </c>
      <c r="DU41" s="3">
        <v>4</v>
      </c>
      <c r="DV41" s="3">
        <v>2</v>
      </c>
      <c r="DW41" s="22">
        <v>3</v>
      </c>
      <c r="DX41" s="22">
        <v>2</v>
      </c>
      <c r="DY41" s="3">
        <f>((DO41-1)+(5-DP41)+(DQ41-1)+(5-DR41)+(DS41-1)+(5-DT41)+(DU41-1)+(5-DV41)+(DW41-1)+(5-DX41))*2.5</f>
        <v>70</v>
      </c>
      <c r="DZ41" s="3"/>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row>
    <row r="42" spans="1:281">
      <c r="B42" s="89" t="s">
        <v>11</v>
      </c>
      <c r="C42" s="90">
        <f>SUBTOTAL(101,Table351[Task 1a])</f>
        <v>0.1736111111111111</v>
      </c>
      <c r="D42" s="90">
        <f>SUBTOTAL(101,Table351[Task 1b])</f>
        <v>0.16666666666666666</v>
      </c>
      <c r="E42" s="90">
        <f>SUBTOTAL(101,Table351[Task 2])</f>
        <v>0.15972222222222221</v>
      </c>
      <c r="F42" s="90">
        <f>SUBTOTAL(101,Table351[Task 3])</f>
        <v>0.46527777777777779</v>
      </c>
      <c r="G42" s="90">
        <f>SUBTOTAL(101,Table351[Task 4])</f>
        <v>0.69444444444444442</v>
      </c>
      <c r="H42" s="90">
        <f>SUBTOTAL(101,Table351[Task 5])</f>
        <v>0.75694444444444442</v>
      </c>
      <c r="I42" s="90">
        <f>SUBTOTAL(101,Table351[Task 6])</f>
        <v>0.61111111111111116</v>
      </c>
      <c r="J42" s="90">
        <f>SUBTOTAL(101,Table351[Task 7])</f>
        <v>0.77083333333333337</v>
      </c>
      <c r="L42" s="16" t="s">
        <v>11</v>
      </c>
      <c r="M42" s="17">
        <f>SUBTOTAL(101,Table452[Task 1a])</f>
        <v>249.25</v>
      </c>
      <c r="N42" s="17">
        <f>SUBTOTAL(101,Table452[Task 1b])</f>
        <v>152.69444444444446</v>
      </c>
      <c r="O42" s="17">
        <f>SUBTOTAL(101,Table452[Task 2])</f>
        <v>132.02777777777777</v>
      </c>
      <c r="P42" s="17">
        <f>SUBTOTAL(101,Table452[Task 3])</f>
        <v>122.30555555555556</v>
      </c>
      <c r="Q42" s="17">
        <f>SUBTOTAL(101,Table452[Task 4])</f>
        <v>94.444444444444443</v>
      </c>
      <c r="R42" s="17">
        <f>SUBTOTAL(101,Table452[Task 5])</f>
        <v>62.027777777777779</v>
      </c>
      <c r="S42" s="17">
        <f>SUBTOTAL(101,Table452[Task 6])</f>
        <v>68.333333333333329</v>
      </c>
      <c r="T42" s="17">
        <f>SUBTOTAL(101,Table452[Task 7])</f>
        <v>61.083333333333336</v>
      </c>
      <c r="U42" s="83"/>
      <c r="V42" s="2" t="s">
        <v>11</v>
      </c>
      <c r="W42" s="5">
        <f>SUBTOTAL(101,Table553[Task 1a])</f>
        <v>2.6666666666666665</v>
      </c>
      <c r="X42" s="5">
        <f>SUBTOTAL(101,Table553[Task 1b])</f>
        <v>2.4722222222222223</v>
      </c>
      <c r="Y42" s="5">
        <f>SUBTOTAL(101,Table553[Task 2])</f>
        <v>2.7777777777777777</v>
      </c>
      <c r="Z42" s="5">
        <f>SUBTOTAL(101,Table553[Task 3])</f>
        <v>2.25</v>
      </c>
      <c r="AA42" s="5">
        <f>SUBTOTAL(101,Table553[Task 4])</f>
        <v>2.9444444444444446</v>
      </c>
      <c r="AB42" s="5">
        <f>SUBTOTAL(101,Table553[Task 5])</f>
        <v>3.75</v>
      </c>
      <c r="AC42" s="5">
        <f>SUBTOTAL(101,Table553[Task 6])</f>
        <v>3.0277777777777777</v>
      </c>
      <c r="AD42" s="5">
        <f>SUBTOTAL(101,Table553[Task 7])</f>
        <v>3.9444444444444446</v>
      </c>
      <c r="AF42" s="2" t="s">
        <v>11</v>
      </c>
      <c r="AG42" s="5">
        <f>SUBTOTAL(101,Table5254[Q1])</f>
        <v>3.1666666666666665</v>
      </c>
      <c r="AH42" s="5">
        <f>SUBTOTAL(101,Table5254[Q2])</f>
        <v>2.8333333333333335</v>
      </c>
      <c r="AI42" s="5">
        <f>SUBTOTAL(101,Table5254[Q3])</f>
        <v>2.8888888888888888</v>
      </c>
      <c r="AJ42" s="5">
        <f>SUBTOTAL(101,Table5254[Q4])</f>
        <v>2.75</v>
      </c>
      <c r="AK42" s="5">
        <f>SUBTOTAL(101,Table5254[Q5])</f>
        <v>2.8611111111111112</v>
      </c>
      <c r="AL42" s="5">
        <f>SUBTOTAL(101,Table5254[Q6])</f>
        <v>2.8611111111111112</v>
      </c>
      <c r="AM42" s="5">
        <f>SUBTOTAL(101,Table5254[Q7])</f>
        <v>3.3055555555555554</v>
      </c>
      <c r="AN42" s="5">
        <f>SUBTOTAL(101,Table5254[Q8])</f>
        <v>2.9166666666666665</v>
      </c>
      <c r="AO42" s="5">
        <f>SUBTOTAL(101,Table5254[Q9])</f>
        <v>2.6388888888888888</v>
      </c>
      <c r="AP42" s="5">
        <f>SUBTOTAL(101,Table5254[Q10])</f>
        <v>3.0555555555555554</v>
      </c>
      <c r="AQ42" s="5">
        <f>SUBTOTAL(101,Table5254[TOTAL])</f>
        <v>51.111111111111114</v>
      </c>
      <c r="AR42" s="20"/>
      <c r="AS42" s="16" t="s">
        <v>11</v>
      </c>
      <c r="AT42" s="102">
        <f>SUBTOTAL(101,Table3360[Task 1a])</f>
        <v>0.40277777777777779</v>
      </c>
      <c r="AU42" s="102">
        <f>SUBTOTAL(101,Table3360[Task 1b])</f>
        <v>4.1666666666666664E-2</v>
      </c>
      <c r="AV42" s="102">
        <f>SUBTOTAL(101,Table3360[Task 2])</f>
        <v>6.9444444444444448E-2</v>
      </c>
      <c r="AW42" s="102">
        <f>SUBTOTAL(101,Table3360[Task 3])</f>
        <v>0.19444444444444445</v>
      </c>
      <c r="AX42" s="102">
        <f>SUBTOTAL(101,Table3360[Task 4])</f>
        <v>0.3611111111111111</v>
      </c>
      <c r="AY42" s="102">
        <f>SUBTOTAL(101,Table3360[Task 5])</f>
        <v>0.1388888888888889</v>
      </c>
      <c r="AZ42" s="102">
        <f>SUBTOTAL(101,Table3360[Task 6])</f>
        <v>0.16666666666666666</v>
      </c>
      <c r="BA42" s="102">
        <f>SUBTOTAL(101,Table3360[Task 7])</f>
        <v>0.43055555555555558</v>
      </c>
      <c r="BC42" s="16" t="s">
        <v>11</v>
      </c>
      <c r="BD42" s="17">
        <f>SUBTOTAL(101,Table41061[Task 1a])</f>
        <v>209.38888888888889</v>
      </c>
      <c r="BE42" s="17">
        <f>SUBTOTAL(101,Table41061[Task 1b])</f>
        <v>157.05555555555554</v>
      </c>
      <c r="BF42" s="17">
        <f>SUBTOTAL(101,Table41061[Task 2])</f>
        <v>129.77777777777777</v>
      </c>
      <c r="BG42" s="17">
        <f>SUBTOTAL(101,Table41061[Task 3])</f>
        <v>116.36111111111111</v>
      </c>
      <c r="BH42" s="17">
        <f>SUBTOTAL(101,Table41061[Task 4])</f>
        <v>126.30555555555556</v>
      </c>
      <c r="BI42" s="17">
        <f>SUBTOTAL(101,Table41061[Task 5])</f>
        <v>101.27777777777777</v>
      </c>
      <c r="BJ42" s="17">
        <f>SUBTOTAL(101,Table41061[Task 6])</f>
        <v>122.94444444444444</v>
      </c>
      <c r="BK42" s="17">
        <f>SUBTOTAL(101,Table41061[Task 7])</f>
        <v>140.69444444444446</v>
      </c>
      <c r="BM42" s="2" t="s">
        <v>11</v>
      </c>
      <c r="BN42" s="5">
        <f>SUBTOTAL(101,Table51162[Task 1a])</f>
        <v>3.3055555555555554</v>
      </c>
      <c r="BO42" s="5">
        <f>SUBTOTAL(101,Table51162[Task 1b])</f>
        <v>1.8055555555555556</v>
      </c>
      <c r="BP42" s="5">
        <f>SUBTOTAL(101,Table51162[Task 2])</f>
        <v>2</v>
      </c>
      <c r="BQ42" s="5">
        <f>SUBTOTAL(101,Table51162[Task 3])</f>
        <v>1.7222222222222223</v>
      </c>
      <c r="BR42" s="5">
        <f>SUBTOTAL(101,Table51162[Task 4])</f>
        <v>2.8333333333333335</v>
      </c>
      <c r="BS42" s="5">
        <f>SUBTOTAL(101,Table51162[Task 5])</f>
        <v>2.1388888888888888</v>
      </c>
      <c r="BT42" s="5">
        <f>SUBTOTAL(101,Table51162[Task 6])</f>
        <v>1.9166666666666667</v>
      </c>
      <c r="BU42" s="5">
        <f>SUBTOTAL(101,Table51162[Task 7])</f>
        <v>1.9166666666666667</v>
      </c>
      <c r="BW42" s="2" t="s">
        <v>11</v>
      </c>
      <c r="BX42" s="5">
        <f>SUBTOTAL(101,Table521263[Q1])</f>
        <v>2.3611111111111112</v>
      </c>
      <c r="BY42" s="5">
        <f>SUBTOTAL(101,Table521263[Q2])</f>
        <v>3.75</v>
      </c>
      <c r="BZ42" s="5">
        <f>SUBTOTAL(101,Table521263[Q3])</f>
        <v>1.75</v>
      </c>
      <c r="CA42" s="5">
        <f>SUBTOTAL(101,Table521263[Q4])</f>
        <v>3.7222222222222223</v>
      </c>
      <c r="CB42" s="5">
        <f>SUBTOTAL(101,Table521263[Q5])</f>
        <v>2.6111111111111112</v>
      </c>
      <c r="CC42" s="5">
        <f>SUBTOTAL(101,Table521263[Q6])</f>
        <v>3.1944444444444446</v>
      </c>
      <c r="CD42" s="5">
        <f>SUBTOTAL(101,Table521263[Q7])</f>
        <v>2.2222222222222223</v>
      </c>
      <c r="CE42" s="5">
        <f>SUBTOTAL(101,Table521263[Q8])</f>
        <v>3.5277777777777777</v>
      </c>
      <c r="CF42" s="5">
        <f>SUBTOTAL(101,Table521263[Q8])</f>
        <v>3.5277777777777777</v>
      </c>
      <c r="CG42" s="5">
        <f>SUBTOTAL(101,Table521263[Q10])</f>
        <v>4.1944444444444446</v>
      </c>
      <c r="CH42" s="5">
        <f>SUBTOTAL(101,Table521263[TOTAL])</f>
        <v>31.111111111111111</v>
      </c>
      <c r="CJ42" s="16" t="s">
        <v>11</v>
      </c>
      <c r="CK42" s="102">
        <f>SUBTOTAL(101,Table31364[Task 1a])</f>
        <v>0.25694444444444442</v>
      </c>
      <c r="CL42" s="102">
        <f>SUBTOTAL(101,Table31364[Task 1b])</f>
        <v>0.47222222222222221</v>
      </c>
      <c r="CM42" s="102">
        <f>SUBTOTAL(101,Table31364[Task 2])</f>
        <v>0.2638888888888889</v>
      </c>
      <c r="CN42" s="102">
        <f>SUBTOTAL(101,Table31364[Task 3])</f>
        <v>0.45833333333333331</v>
      </c>
      <c r="CO42" s="102">
        <f>SUBTOTAL(101,Table31364[Task 4])</f>
        <v>0.125</v>
      </c>
      <c r="CP42" s="102">
        <f>SUBTOTAL(101,Table31364[Task 5])</f>
        <v>0.3125</v>
      </c>
      <c r="CQ42" s="102">
        <f>SUBTOTAL(101,Table31364[Task 6])</f>
        <v>0.27777777777777779</v>
      </c>
      <c r="CR42" s="102">
        <f>SUBTOTAL(101,Table31364[Task 7])</f>
        <v>0.69444444444444442</v>
      </c>
      <c r="CS42" s="83"/>
      <c r="CT42" s="16" t="s">
        <v>11</v>
      </c>
      <c r="CU42" s="17">
        <f>SUBTOTAL(101,Table41465[Task 1a])</f>
        <v>231.44444444444446</v>
      </c>
      <c r="CV42" s="17">
        <f>SUBTOTAL(101,Table41465[Task 1b])</f>
        <v>119.08333333333333</v>
      </c>
      <c r="CW42" s="17">
        <f>SUBTOTAL(101,Table41465[Task 2])</f>
        <v>152.80555555555554</v>
      </c>
      <c r="CX42" s="17">
        <f>SUBTOTAL(101,Table41465[Task 3])</f>
        <v>106.25</v>
      </c>
      <c r="CY42" s="17">
        <f>SUBTOTAL(101,Table41465[Task 4])</f>
        <v>113.83333333333333</v>
      </c>
      <c r="CZ42" s="17">
        <f>SUBTOTAL(101,Table41465[Task 5])</f>
        <v>119.75</v>
      </c>
      <c r="DA42" s="17">
        <f>SUBTOTAL(101,Table41465[Task 6])</f>
        <v>100.52777777777777</v>
      </c>
      <c r="DB42" s="17">
        <f>SUBTOTAL(101,Table41465[Task 7])</f>
        <v>102.38888888888889</v>
      </c>
      <c r="DD42" s="2" t="s">
        <v>11</v>
      </c>
      <c r="DE42" s="5">
        <f>SUBTOTAL(101,Table51566[Task 1a])</f>
        <v>2.2777777777777777</v>
      </c>
      <c r="DF42" s="5">
        <f>SUBTOTAL(101,Table51566[Task 1b])</f>
        <v>2.8055555555555554</v>
      </c>
      <c r="DG42" s="5">
        <f>SUBTOTAL(101,Table51566[Task 2])</f>
        <v>2.5</v>
      </c>
      <c r="DH42" s="5">
        <f>SUBTOTAL(101,Table51566[Task 3])</f>
        <v>2.7777777777777777</v>
      </c>
      <c r="DI42" s="5">
        <f>SUBTOTAL(101,Table51566[Task 4])</f>
        <v>2.3888888888888888</v>
      </c>
      <c r="DJ42" s="5">
        <f>SUBTOTAL(101,Table51566[Task 5])</f>
        <v>2.1388888888888888</v>
      </c>
      <c r="DK42" s="5">
        <f>SUBTOTAL(101,Table51566[Task 6])</f>
        <v>2.6111111111111112</v>
      </c>
      <c r="DL42" s="5">
        <f>SUBTOTAL(101,Table51566[Task 7])</f>
        <v>3.1944444444444446</v>
      </c>
      <c r="DN42" s="2" t="s">
        <v>11</v>
      </c>
      <c r="DO42" s="5">
        <f>SUBTOTAL(101,Table521667[Q1])</f>
        <v>2.8333333333333335</v>
      </c>
      <c r="DP42" s="5">
        <f>SUBTOTAL(101,Table521667[Q2])</f>
        <v>3.0555555555555554</v>
      </c>
      <c r="DQ42" s="5">
        <f>SUBTOTAL(101,Table521667[Q3])</f>
        <v>2.4166666666666665</v>
      </c>
      <c r="DR42" s="5">
        <f>SUBTOTAL(101,Table521667[Q4])</f>
        <v>3.0833333333333335</v>
      </c>
      <c r="DS42" s="5">
        <f>SUBTOTAL(101,Table521667[Q5])</f>
        <v>2.8055555555555554</v>
      </c>
      <c r="DT42" s="5">
        <f>SUBTOTAL(101,Table521667[Q6])</f>
        <v>2.8333333333333335</v>
      </c>
      <c r="DU42" s="5">
        <f>SUBTOTAL(101,Table521667[Q7])</f>
        <v>2.8055555555555554</v>
      </c>
      <c r="DV42" s="5">
        <f>SUBTOTAL(101,Table521667[Q8])</f>
        <v>3.0555555555555554</v>
      </c>
      <c r="DW42" s="5">
        <f>SUBTOTAL(101,Table521667[Q9])</f>
        <v>2.4444444444444446</v>
      </c>
      <c r="DX42" s="5">
        <f>SUBTOTAL(101,Table521667[Q10])</f>
        <v>3.7777777777777777</v>
      </c>
      <c r="DY42" s="5">
        <f>SUBTOTAL(101,Table521667[TOTAL])</f>
        <v>43.75</v>
      </c>
      <c r="DZ42" s="20"/>
    </row>
    <row r="46" spans="1:281" ht="26.25">
      <c r="B46" s="151" t="s">
        <v>230</v>
      </c>
      <c r="C46" s="147"/>
      <c r="D46" s="147"/>
      <c r="E46" s="147"/>
      <c r="F46" s="147"/>
      <c r="G46" s="147"/>
      <c r="H46" s="147"/>
      <c r="I46" s="147"/>
      <c r="J46" s="147"/>
      <c r="K46" s="147"/>
      <c r="L46" s="147"/>
      <c r="M46" s="147"/>
    </row>
    <row r="47" spans="1:281" ht="26.25">
      <c r="B47" s="149" t="s">
        <v>236</v>
      </c>
      <c r="C47" s="149"/>
      <c r="D47" s="149"/>
      <c r="E47" s="149"/>
      <c r="F47" s="149"/>
      <c r="G47" s="149"/>
      <c r="H47" s="149"/>
      <c r="I47" s="149"/>
      <c r="J47" s="149"/>
      <c r="K47" s="149"/>
      <c r="L47" s="149"/>
      <c r="M47" s="149"/>
    </row>
    <row r="48" spans="1:281">
      <c r="B48" s="152">
        <v>0</v>
      </c>
      <c r="C48" s="1" t="s">
        <v>239</v>
      </c>
    </row>
    <row r="49" spans="2:13">
      <c r="B49" s="152">
        <v>0.25</v>
      </c>
      <c r="C49" s="1" t="s">
        <v>237</v>
      </c>
    </row>
    <row r="50" spans="2:13">
      <c r="B50" s="152">
        <v>1</v>
      </c>
      <c r="C50" s="1" t="s">
        <v>238</v>
      </c>
    </row>
    <row r="51" spans="2:13" ht="26.25">
      <c r="B51" s="149" t="s">
        <v>235</v>
      </c>
      <c r="C51" s="147"/>
      <c r="D51" s="147"/>
      <c r="E51" s="147"/>
      <c r="F51" s="147"/>
      <c r="G51" s="147"/>
      <c r="H51" s="147"/>
      <c r="I51" s="147"/>
      <c r="J51" s="147"/>
      <c r="K51" s="147"/>
      <c r="L51" s="147"/>
      <c r="M51" s="147"/>
    </row>
    <row r="52" spans="2:13" ht="15.75">
      <c r="B52" s="150" t="s">
        <v>27</v>
      </c>
      <c r="C52" s="141" t="s">
        <v>221</v>
      </c>
      <c r="D52" s="141"/>
      <c r="E52" s="141"/>
      <c r="F52" s="141"/>
      <c r="G52" s="141"/>
      <c r="H52" s="141"/>
      <c r="I52" s="141"/>
      <c r="J52" s="141"/>
      <c r="K52" s="141"/>
      <c r="L52" s="141"/>
      <c r="M52" s="141"/>
    </row>
    <row r="53" spans="2:13" ht="15.75">
      <c r="B53" s="150" t="s">
        <v>28</v>
      </c>
      <c r="C53" s="141" t="s">
        <v>222</v>
      </c>
      <c r="D53" s="141"/>
      <c r="E53" s="141"/>
      <c r="F53" s="141"/>
      <c r="G53" s="141"/>
      <c r="H53" s="141"/>
      <c r="I53" s="141"/>
      <c r="J53" s="141"/>
      <c r="K53" s="141"/>
      <c r="L53" s="141"/>
      <c r="M53" s="141"/>
    </row>
    <row r="54" spans="2:13" ht="15.75">
      <c r="B54" s="150" t="s">
        <v>2</v>
      </c>
      <c r="C54" s="141" t="s">
        <v>223</v>
      </c>
      <c r="D54" s="141"/>
      <c r="E54" s="141"/>
      <c r="F54" s="141"/>
      <c r="G54" s="141"/>
      <c r="H54" s="141"/>
      <c r="I54" s="141"/>
      <c r="J54" s="141"/>
      <c r="K54" s="141"/>
      <c r="L54" s="141"/>
      <c r="M54" s="141"/>
    </row>
    <row r="55" spans="2:13" ht="15.75">
      <c r="B55" s="150" t="s">
        <v>3</v>
      </c>
      <c r="C55" s="141" t="s">
        <v>224</v>
      </c>
      <c r="D55" s="141"/>
      <c r="E55" s="141"/>
      <c r="F55" s="141"/>
      <c r="G55" s="141"/>
      <c r="H55" s="141"/>
      <c r="I55" s="141"/>
      <c r="J55" s="141"/>
      <c r="K55" s="141"/>
      <c r="L55" s="141"/>
      <c r="M55" s="141"/>
    </row>
    <row r="56" spans="2:13" ht="15.75">
      <c r="B56" s="150" t="s">
        <v>4</v>
      </c>
      <c r="C56" s="141" t="s">
        <v>225</v>
      </c>
      <c r="D56" s="141"/>
      <c r="E56" s="141"/>
      <c r="F56" s="141"/>
      <c r="G56" s="141"/>
      <c r="H56" s="141"/>
      <c r="I56" s="141"/>
      <c r="J56" s="141"/>
      <c r="K56" s="141"/>
      <c r="L56" s="141"/>
      <c r="M56" s="141"/>
    </row>
    <row r="57" spans="2:13" ht="15.75">
      <c r="B57" s="150" t="s">
        <v>5</v>
      </c>
      <c r="C57" s="141" t="s">
        <v>226</v>
      </c>
      <c r="D57" s="141"/>
      <c r="E57" s="141"/>
      <c r="F57" s="141"/>
      <c r="G57" s="141"/>
      <c r="H57" s="141"/>
      <c r="I57" s="141"/>
      <c r="J57" s="141"/>
      <c r="K57" s="141"/>
      <c r="L57" s="141"/>
      <c r="M57" s="141"/>
    </row>
    <row r="58" spans="2:13" ht="15.75">
      <c r="B58" s="150" t="s">
        <v>6</v>
      </c>
      <c r="C58" s="141" t="s">
        <v>227</v>
      </c>
      <c r="D58" s="141"/>
      <c r="E58" s="141"/>
      <c r="F58" s="141"/>
      <c r="G58" s="141"/>
      <c r="H58" s="141"/>
      <c r="I58" s="141"/>
      <c r="J58" s="141"/>
      <c r="K58" s="141"/>
      <c r="L58" s="141"/>
      <c r="M58" s="141"/>
    </row>
    <row r="59" spans="2:13" ht="15.75">
      <c r="B59" s="150" t="s">
        <v>7</v>
      </c>
      <c r="C59" s="141" t="s">
        <v>228</v>
      </c>
      <c r="D59" s="141"/>
      <c r="E59" s="141"/>
      <c r="F59" s="141"/>
      <c r="G59" s="141"/>
      <c r="H59" s="141"/>
      <c r="I59" s="141"/>
      <c r="J59" s="141"/>
      <c r="K59" s="141"/>
      <c r="L59" s="141"/>
      <c r="M59" s="141"/>
    </row>
  </sheetData>
  <mergeCells count="15">
    <mergeCell ref="B3:AQ3"/>
    <mergeCell ref="AS3:CH3"/>
    <mergeCell ref="CJ3:DY3"/>
    <mergeCell ref="DO4:DY4"/>
    <mergeCell ref="C4:J4"/>
    <mergeCell ref="M4:T4"/>
    <mergeCell ref="W4:AD4"/>
    <mergeCell ref="AG4:AQ4"/>
    <mergeCell ref="AT4:BA4"/>
    <mergeCell ref="BD4:BK4"/>
    <mergeCell ref="BN4:BU4"/>
    <mergeCell ref="BX4:CH4"/>
    <mergeCell ref="CK4:CR4"/>
    <mergeCell ref="CU4:DB4"/>
    <mergeCell ref="DE4:DL4"/>
  </mergeCells>
  <pageMargins left="0.7" right="0.7" top="0.75" bottom="0.75" header="0.3" footer="0.3"/>
  <pageSetup paperSize="9" orientation="portrait" horizontalDpi="0" verticalDpi="0"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opLeftCell="E1" workbookViewId="0">
      <selection activeCell="N1" sqref="N1:R1"/>
    </sheetView>
  </sheetViews>
  <sheetFormatPr defaultRowHeight="15"/>
  <cols>
    <col min="1" max="1" width="28.5703125" bestFit="1" customWidth="1"/>
    <col min="3" max="3" width="15.5703125" bestFit="1" customWidth="1"/>
    <col min="4" max="4" width="9.7109375" bestFit="1" customWidth="1"/>
    <col min="5" max="5" width="11.28515625" bestFit="1" customWidth="1"/>
    <col min="8" max="8" width="15.5703125" bestFit="1" customWidth="1"/>
    <col min="9" max="9" width="9.7109375" bestFit="1" customWidth="1"/>
    <col min="10" max="10" width="11.28515625" bestFit="1" customWidth="1"/>
    <col min="11" max="11" width="9.28515625" customWidth="1"/>
    <col min="14" max="14" width="28.5703125" bestFit="1" customWidth="1"/>
    <col min="15" max="15" width="16.42578125" customWidth="1"/>
    <col min="16" max="16" width="11.85546875" customWidth="1"/>
    <col min="17" max="17" width="14" customWidth="1"/>
    <col min="18" max="18" width="9.5703125" customWidth="1"/>
  </cols>
  <sheetData>
    <row r="1" spans="1:18" ht="38.25" customHeight="1">
      <c r="A1" s="118" t="s">
        <v>185</v>
      </c>
      <c r="B1" s="119"/>
      <c r="C1" s="117"/>
      <c r="D1" s="121" t="s">
        <v>149</v>
      </c>
      <c r="E1" s="120"/>
      <c r="F1" s="120"/>
      <c r="G1" s="117"/>
      <c r="H1" s="168" t="s">
        <v>218</v>
      </c>
      <c r="I1" s="168"/>
      <c r="J1" s="168"/>
      <c r="K1" s="168"/>
      <c r="L1" s="117"/>
      <c r="M1" s="117"/>
      <c r="N1" s="171" t="s">
        <v>219</v>
      </c>
      <c r="O1" s="171"/>
      <c r="P1" s="171"/>
      <c r="Q1" s="171"/>
      <c r="R1" s="171"/>
    </row>
    <row r="2" spans="1:18">
      <c r="B2" s="112"/>
      <c r="C2" s="112"/>
      <c r="D2" s="112"/>
      <c r="E2" s="112"/>
    </row>
    <row r="3" spans="1:18">
      <c r="B3" s="114" t="s">
        <v>150</v>
      </c>
      <c r="C3" s="114" t="s">
        <v>157</v>
      </c>
      <c r="D3" s="114" t="s">
        <v>158</v>
      </c>
      <c r="E3" s="114" t="s">
        <v>10</v>
      </c>
      <c r="F3" s="114" t="s">
        <v>12</v>
      </c>
      <c r="H3" s="114" t="s">
        <v>157</v>
      </c>
      <c r="I3" s="114" t="s">
        <v>158</v>
      </c>
      <c r="J3" s="114" t="s">
        <v>10</v>
      </c>
      <c r="K3" s="114" t="s">
        <v>12</v>
      </c>
      <c r="O3" s="114" t="s">
        <v>157</v>
      </c>
      <c r="P3" s="114" t="s">
        <v>158</v>
      </c>
      <c r="Q3" s="114" t="s">
        <v>10</v>
      </c>
      <c r="R3" s="114" t="s">
        <v>12</v>
      </c>
    </row>
    <row r="4" spans="1:18">
      <c r="A4" s="96" t="s">
        <v>116</v>
      </c>
      <c r="B4">
        <f>COUNTIF(Table110[Category of phone], "Non-SMART")</f>
        <v>14</v>
      </c>
      <c r="C4" s="95">
        <f>SUMIF(Table110[Category of phone], "Non-SMART", 'Profiles - Group B'!K6:K41)</f>
        <v>108.25</v>
      </c>
      <c r="D4" s="95">
        <f>SUMIF(Table110[Category of phone], "Non-SMART", 'Profiles - Group B'!L6:L41)</f>
        <v>44731</v>
      </c>
      <c r="E4" s="95">
        <f>SUMIF(Table110[Category of phone], "Non-SMART", 'Profiles - Group B'!M6:M41)</f>
        <v>836</v>
      </c>
      <c r="F4" s="95">
        <f>SUMIF(Table110[Category of phone], "Non-SMART", 'Profiles - Group B'!N6:N41)</f>
        <v>1730</v>
      </c>
      <c r="G4" s="95"/>
      <c r="H4" s="95">
        <f t="shared" ref="H4:J5" si="0">C4/(24*$B4)</f>
        <v>0.32217261904761907</v>
      </c>
      <c r="I4" s="95">
        <f t="shared" si="0"/>
        <v>133.1279761904762</v>
      </c>
      <c r="J4" s="95">
        <f t="shared" si="0"/>
        <v>2.4880952380952381</v>
      </c>
      <c r="K4" s="95">
        <f>F4/($B4*3)</f>
        <v>41.19047619047619</v>
      </c>
      <c r="N4" s="96" t="s">
        <v>116</v>
      </c>
      <c r="O4" s="95">
        <f>AVERAGE('Demographic Analysis - Group A'!H4, 'Demographic Analysis - Group B'!H4)*100</f>
        <v>31.863501082251084</v>
      </c>
      <c r="P4" s="95">
        <f>AVERAGE('Demographic Analysis - Group A'!I4, 'Demographic Analysis - Group B'!I4)</f>
        <v>128.73281926406926</v>
      </c>
      <c r="Q4" s="95">
        <f>AVERAGE('Demographic Analysis - Group A'!J4, 'Demographic Analysis - Group B'!J4)</f>
        <v>2.6466450216450217</v>
      </c>
      <c r="R4" s="95">
        <f>AVERAGE('Demographic Analysis - Group A'!K4, 'Demographic Analysis - Group B'!K4)</f>
        <v>38.571428571428569</v>
      </c>
    </row>
    <row r="5" spans="1:18">
      <c r="A5" s="96" t="s">
        <v>115</v>
      </c>
      <c r="B5">
        <f>COUNTIF(Table110[Category of phone], "&lt;&gt;Non-SMART")</f>
        <v>22</v>
      </c>
      <c r="C5" s="95">
        <f>SUMIF(Table110[Category of phone], "&lt;&gt;Non-SMART", 'Profiles - Group B'!K7:K42)</f>
        <v>173.5</v>
      </c>
      <c r="D5" s="95">
        <f>SUMIF(Table110[Category of phone], "&lt;&gt;Non-SMART", 'Profiles - Group B'!L7:L42)</f>
        <v>64784</v>
      </c>
      <c r="E5" s="95">
        <f>SUMIF(Table110[Category of phone], "&lt;&gt;Non-SMART", 'Profiles - Group B'!M7:M42)</f>
        <v>1276</v>
      </c>
      <c r="F5" s="95">
        <f>SUMIF(Table110[Category of phone], "&lt;&gt;Non-SMART", 'Profiles - Group B'!N7:N42)</f>
        <v>2457.5</v>
      </c>
      <c r="H5" s="95">
        <f t="shared" si="0"/>
        <v>0.32859848484848486</v>
      </c>
      <c r="I5" s="95">
        <f t="shared" si="0"/>
        <v>122.6969696969697</v>
      </c>
      <c r="J5" s="95">
        <f t="shared" si="0"/>
        <v>2.4166666666666665</v>
      </c>
      <c r="K5" s="95">
        <f>F5/($B5*3)</f>
        <v>37.234848484848484</v>
      </c>
      <c r="N5" s="96" t="s">
        <v>115</v>
      </c>
      <c r="O5" s="95">
        <f>AVERAGE('Demographic Analysis - Group A'!H5, 'Demographic Analysis - Group B'!H5)*100</f>
        <v>36.703684573002761</v>
      </c>
      <c r="P5" s="95">
        <f>AVERAGE('Demographic Analysis - Group A'!I5, 'Demographic Analysis - Group B'!I5)</f>
        <v>113.88774104683196</v>
      </c>
      <c r="Q5" s="95">
        <f>AVERAGE('Demographic Analysis - Group A'!J5, 'Demographic Analysis - Group B'!J5)</f>
        <v>2.8643250688705235</v>
      </c>
      <c r="R5" s="95">
        <f>AVERAGE('Demographic Analysis - Group A'!K5, 'Demographic Analysis - Group B'!K5)</f>
        <v>48.01136363636364</v>
      </c>
    </row>
    <row r="6" spans="1:18">
      <c r="A6" s="96"/>
      <c r="C6" s="95"/>
      <c r="D6" s="95"/>
      <c r="H6" s="95"/>
      <c r="I6" s="95"/>
      <c r="J6" s="95"/>
      <c r="K6" s="95"/>
      <c r="N6" s="96"/>
    </row>
    <row r="7" spans="1:18">
      <c r="A7" s="96"/>
      <c r="C7" s="95"/>
      <c r="D7" s="95"/>
      <c r="H7" s="95"/>
      <c r="I7" s="95"/>
      <c r="J7" s="95"/>
      <c r="K7" s="95"/>
      <c r="N7" s="96"/>
    </row>
    <row r="8" spans="1:18">
      <c r="A8" s="96" t="s">
        <v>59</v>
      </c>
      <c r="B8">
        <f>COUNTIF(Table110[Age range], A8)</f>
        <v>5</v>
      </c>
      <c r="C8" s="95">
        <f>SUMIF(Table110[Age range], $A8, 'Profiles - Group B'!K6:K41)</f>
        <v>50.75</v>
      </c>
      <c r="D8" s="95">
        <f>SUMIF(Table110[Age range], $A8, 'Profiles - Group B'!L6:L41)</f>
        <v>10181</v>
      </c>
      <c r="E8" s="95">
        <f>SUMIF(Table110[Age range], $A8, 'Profiles - Group B'!M6:M41)</f>
        <v>354</v>
      </c>
      <c r="F8" s="95">
        <f>SUMIF(Table110[Age range], $A8, 'Profiles - Group B'!N6:N41)</f>
        <v>697.5</v>
      </c>
      <c r="H8" s="95">
        <f>C8/(24*$B8)</f>
        <v>0.42291666666666666</v>
      </c>
      <c r="I8" s="95">
        <f>D8/(24*$B8)</f>
        <v>84.841666666666669</v>
      </c>
      <c r="J8" s="95">
        <f>E8/(24*$B8)</f>
        <v>2.95</v>
      </c>
      <c r="K8" s="95">
        <f t="shared" ref="K8:K13" si="1">F8/($B8*3)</f>
        <v>46.5</v>
      </c>
      <c r="N8" s="96" t="s">
        <v>59</v>
      </c>
      <c r="O8" s="95">
        <f>AVERAGE('Demographic Analysis - Group A'!H8, 'Demographic Analysis - Group B'!H8)*100</f>
        <v>44.327651515151508</v>
      </c>
      <c r="P8" s="95">
        <f>AVERAGE('Demographic Analysis - Group A'!I8, 'Demographic Analysis - Group B'!I8)</f>
        <v>89.193560606060601</v>
      </c>
      <c r="Q8" s="95">
        <f>AVERAGE('Demographic Analysis - Group A'!J8, 'Demographic Analysis - Group B'!J8)</f>
        <v>3.3431818181818183</v>
      </c>
      <c r="R8" s="95">
        <f>AVERAGE('Demographic Analysis - Group A'!K8, 'Demographic Analysis - Group B'!K8)</f>
        <v>59.416666666666664</v>
      </c>
    </row>
    <row r="9" spans="1:18">
      <c r="A9" s="96" t="s">
        <v>57</v>
      </c>
      <c r="B9">
        <f>COUNTIF(Table110[Age range], A9)</f>
        <v>5</v>
      </c>
      <c r="C9" s="95">
        <f>SUMIF(Table110[Age range], $A9, 'Profiles - Group B'!K7:K42)</f>
        <v>44.25</v>
      </c>
      <c r="D9" s="95">
        <f>SUMIF(Table110[Age range], $A9, 'Profiles - Group B'!L7:L42)</f>
        <v>13544</v>
      </c>
      <c r="E9" s="95">
        <f>SUMIF(Table110[Age range], $A9, 'Profiles - Group B'!M7:M42)</f>
        <v>336</v>
      </c>
      <c r="F9" s="95">
        <f>SUMIF(Table110[Age range], $A9, 'Profiles - Group B'!N7:N42)</f>
        <v>655</v>
      </c>
      <c r="H9" s="95">
        <f t="shared" ref="H9:H13" si="2">C9/(24*$B9)</f>
        <v>0.36875000000000002</v>
      </c>
      <c r="I9" s="95">
        <f t="shared" ref="I9:I13" si="3">D9/(24*$B9)</f>
        <v>112.86666666666666</v>
      </c>
      <c r="J9" s="95">
        <f t="shared" ref="J9:J13" si="4">E9/(24*$B9)</f>
        <v>2.8</v>
      </c>
      <c r="K9" s="95">
        <f t="shared" si="1"/>
        <v>43.666666666666664</v>
      </c>
      <c r="N9" s="96" t="s">
        <v>57</v>
      </c>
      <c r="O9" s="95">
        <f>AVERAGE('Demographic Analysis - Group A'!H9, 'Demographic Analysis - Group B'!H9)*100</f>
        <v>42.1875</v>
      </c>
      <c r="P9" s="95">
        <f>AVERAGE('Demographic Analysis - Group A'!I9, 'Demographic Analysis - Group B'!I9)</f>
        <v>97.287878787878782</v>
      </c>
      <c r="Q9" s="95">
        <f>AVERAGE('Demographic Analysis - Group A'!J9, 'Demographic Analysis - Group B'!J9)</f>
        <v>3.2136363636363638</v>
      </c>
      <c r="R9" s="95">
        <f>AVERAGE('Demographic Analysis - Group A'!K9, 'Demographic Analysis - Group B'!K9)</f>
        <v>49.25</v>
      </c>
    </row>
    <row r="10" spans="1:18">
      <c r="A10" s="96" t="s">
        <v>52</v>
      </c>
      <c r="B10">
        <f>COUNTIF(Table110[Age range], A10)</f>
        <v>7</v>
      </c>
      <c r="C10" s="95">
        <f>SUMIF(Table110[Age range], $A10, 'Profiles - Group B'!K8:K43)</f>
        <v>65.75</v>
      </c>
      <c r="D10" s="95">
        <f>SUMIF(Table110[Age range], $A10, 'Profiles - Group B'!L8:L43)</f>
        <v>24189</v>
      </c>
      <c r="E10" s="95">
        <f>SUMIF(Table110[Age range], $A10, 'Profiles - Group B'!M8:M43)</f>
        <v>496</v>
      </c>
      <c r="F10" s="95">
        <f>SUMIF(Table110[Age range], $A10, 'Profiles - Group B'!N8:N43)</f>
        <v>1207.5</v>
      </c>
      <c r="H10" s="95">
        <f t="shared" si="2"/>
        <v>0.39136904761904762</v>
      </c>
      <c r="I10" s="95">
        <f t="shared" si="3"/>
        <v>143.98214285714286</v>
      </c>
      <c r="J10" s="95">
        <f t="shared" si="4"/>
        <v>2.9523809523809526</v>
      </c>
      <c r="K10" s="95">
        <f t="shared" si="1"/>
        <v>57.5</v>
      </c>
      <c r="N10" s="96" t="s">
        <v>52</v>
      </c>
      <c r="O10" s="95">
        <f>AVERAGE('Demographic Analysis - Group A'!H10, 'Demographic Analysis - Group B'!H10)*100</f>
        <v>34.584686147186147</v>
      </c>
      <c r="P10" s="95">
        <f>AVERAGE('Demographic Analysis - Group A'!I10, 'Demographic Analysis - Group B'!I10)</f>
        <v>127.24756493506493</v>
      </c>
      <c r="Q10" s="95">
        <f>AVERAGE('Demographic Analysis - Group A'!J10, 'Demographic Analysis - Group B'!J10)</f>
        <v>2.9826839826839828</v>
      </c>
      <c r="R10" s="95">
        <f>AVERAGE('Demographic Analysis - Group A'!K10, 'Demographic Analysis - Group B'!K10)</f>
        <v>54.285714285714285</v>
      </c>
    </row>
    <row r="11" spans="1:18">
      <c r="A11" s="96" t="s">
        <v>41</v>
      </c>
      <c r="B11">
        <f>COUNTIF(Table110[Age range], A11)</f>
        <v>8</v>
      </c>
      <c r="C11" s="95">
        <f>SUMIF(Table110[Age range], $A11, 'Profiles - Group B'!K9:K44)</f>
        <v>77.5</v>
      </c>
      <c r="D11" s="95">
        <f>SUMIF(Table110[Age range], $A11, 'Profiles - Group B'!L9:L44)</f>
        <v>24281</v>
      </c>
      <c r="E11" s="95">
        <f>SUMIF(Table110[Age range], $A11, 'Profiles - Group B'!M9:M44)</f>
        <v>530</v>
      </c>
      <c r="F11" s="95">
        <f>SUMIF(Table110[Age range], $A11, 'Profiles - Group B'!N9:N44)</f>
        <v>1135</v>
      </c>
      <c r="H11" s="95">
        <f t="shared" si="2"/>
        <v>0.40364583333333331</v>
      </c>
      <c r="I11" s="95">
        <f t="shared" si="3"/>
        <v>126.46354166666667</v>
      </c>
      <c r="J11" s="95">
        <f t="shared" si="4"/>
        <v>2.7604166666666665</v>
      </c>
      <c r="K11" s="95">
        <f t="shared" si="1"/>
        <v>47.291666666666664</v>
      </c>
      <c r="N11" s="96" t="s">
        <v>41</v>
      </c>
      <c r="O11" s="95">
        <f>AVERAGE('Demographic Analysis - Group A'!H11, 'Demographic Analysis - Group B'!H11)*100</f>
        <v>38.875473484848484</v>
      </c>
      <c r="P11" s="95">
        <f>AVERAGE('Demographic Analysis - Group A'!I11, 'Demographic Analysis - Group B'!I11)</f>
        <v>127.37665719696969</v>
      </c>
      <c r="Q11" s="95">
        <f>AVERAGE('Demographic Analysis - Group A'!J11, 'Demographic Analysis - Group B'!J11)</f>
        <v>2.8290719696969697</v>
      </c>
      <c r="R11" s="95">
        <f>AVERAGE('Demographic Analysis - Group A'!K11, 'Demographic Analysis - Group B'!K11)</f>
        <v>44.53125</v>
      </c>
    </row>
    <row r="12" spans="1:18">
      <c r="A12" s="96" t="s">
        <v>54</v>
      </c>
      <c r="B12">
        <f>COUNTIF(Table110[Age range], A12)</f>
        <v>6</v>
      </c>
      <c r="C12" s="95">
        <f>SUMIF(Table110[Age range], $A12, 'Profiles - Group B'!K10:K45)</f>
        <v>52.25</v>
      </c>
      <c r="D12" s="95">
        <f>SUMIF(Table110[Age range], $A12, 'Profiles - Group B'!L10:L45)</f>
        <v>19571</v>
      </c>
      <c r="E12" s="95">
        <f>SUMIF(Table110[Age range], $A12, 'Profiles - Group B'!M10:M45)</f>
        <v>350</v>
      </c>
      <c r="F12" s="95">
        <f>SUMIF(Table110[Age range], $A12, 'Profiles - Group B'!N10:N45)</f>
        <v>715</v>
      </c>
      <c r="H12" s="95">
        <f t="shared" si="2"/>
        <v>0.36284722222222221</v>
      </c>
      <c r="I12" s="95">
        <f t="shared" si="3"/>
        <v>135.90972222222223</v>
      </c>
      <c r="J12" s="95">
        <f t="shared" si="4"/>
        <v>2.4305555555555554</v>
      </c>
      <c r="K12" s="95">
        <f t="shared" si="1"/>
        <v>39.722222222222221</v>
      </c>
      <c r="N12" s="96" t="s">
        <v>54</v>
      </c>
      <c r="O12" s="95">
        <f>AVERAGE('Demographic Analysis - Group A'!H12, 'Demographic Analysis - Group B'!H12)*100</f>
        <v>32.725694444444443</v>
      </c>
      <c r="P12" s="95">
        <f>AVERAGE('Demographic Analysis - Group A'!I12, 'Demographic Analysis - Group B'!I12)</f>
        <v>134.55334595959596</v>
      </c>
      <c r="Q12" s="95">
        <f>AVERAGE('Demographic Analysis - Group A'!J12, 'Demographic Analysis - Group B'!J12)</f>
        <v>2.639520202020202</v>
      </c>
      <c r="R12" s="95">
        <f>AVERAGE('Demographic Analysis - Group A'!K12, 'Demographic Analysis - Group B'!K12)</f>
        <v>42.847222222222221</v>
      </c>
    </row>
    <row r="13" spans="1:18">
      <c r="A13" s="96" t="s">
        <v>45</v>
      </c>
      <c r="B13">
        <f>COUNTIF(Table110[Age range], A13)</f>
        <v>5</v>
      </c>
      <c r="C13" s="95">
        <f>SUMIF(Table110[Age range], $A13, 'Profiles - Group B'!K11:K46)</f>
        <v>37.5</v>
      </c>
      <c r="D13" s="95">
        <f>SUMIF(Table110[Age range], $A13, 'Profiles - Group B'!L11:L46)</f>
        <v>16544</v>
      </c>
      <c r="E13" s="95">
        <f>SUMIF(Table110[Age range], $A13, 'Profiles - Group B'!M11:M46)</f>
        <v>293</v>
      </c>
      <c r="F13" s="95">
        <f>SUMIF(Table110[Age range], $A13, 'Profiles - Group B'!N11:N46)</f>
        <v>642.5</v>
      </c>
      <c r="H13" s="95">
        <f t="shared" si="2"/>
        <v>0.3125</v>
      </c>
      <c r="I13" s="95">
        <f t="shared" si="3"/>
        <v>137.86666666666667</v>
      </c>
      <c r="J13" s="95">
        <f t="shared" si="4"/>
        <v>2.4416666666666669</v>
      </c>
      <c r="K13" s="95">
        <f t="shared" si="1"/>
        <v>42.833333333333336</v>
      </c>
      <c r="N13" s="96" t="s">
        <v>45</v>
      </c>
      <c r="O13" s="95">
        <f>AVERAGE('Demographic Analysis - Group A'!H13, 'Demographic Analysis - Group B'!H13)*100</f>
        <v>33.579545454545453</v>
      </c>
      <c r="P13" s="95">
        <f>AVERAGE('Demographic Analysis - Group A'!I13, 'Demographic Analysis - Group B'!I13)</f>
        <v>126.64242424242425</v>
      </c>
      <c r="Q13" s="95">
        <f>AVERAGE('Demographic Analysis - Group A'!J13, 'Demographic Analysis - Group B'!J13)</f>
        <v>2.6162878787878787</v>
      </c>
      <c r="R13" s="95">
        <f>AVERAGE('Demographic Analysis - Group A'!K13, 'Demographic Analysis - Group B'!K13)</f>
        <v>40.75</v>
      </c>
    </row>
    <row r="14" spans="1:18">
      <c r="A14" s="96"/>
      <c r="C14" s="95"/>
      <c r="D14" s="95"/>
      <c r="H14" s="95"/>
      <c r="I14" s="95"/>
      <c r="J14" s="95"/>
      <c r="K14" s="95"/>
      <c r="N14" s="96"/>
    </row>
    <row r="15" spans="1:18">
      <c r="A15" s="96"/>
      <c r="C15" s="95"/>
      <c r="D15" s="95"/>
      <c r="H15" s="95"/>
      <c r="I15" s="95"/>
      <c r="J15" s="95"/>
      <c r="K15" s="95"/>
      <c r="N15" s="96"/>
    </row>
    <row r="16" spans="1:18">
      <c r="A16" s="96" t="s">
        <v>55</v>
      </c>
      <c r="B16">
        <f>COUNTIF(Table110[Q9. How much is your total pre-tax household income?], A16)</f>
        <v>6</v>
      </c>
      <c r="C16" s="95">
        <f>SUMIF(Table110[Q9. How much is your total pre-tax household income?], $A16, 'Profiles - Group B'!K6:K41)</f>
        <v>57.25</v>
      </c>
      <c r="D16" s="95">
        <f>SUMIF(Table110[Q9. How much is your total pre-tax household income?], $A16, 'Profiles - Group B'!L6:L41)</f>
        <v>18725</v>
      </c>
      <c r="E16" s="95">
        <f>SUMIF(Table110[Q9. How much is your total pre-tax household income?], $A16, 'Profiles - Group B'!M6:M41)</f>
        <v>409</v>
      </c>
      <c r="F16" s="95">
        <f>SUMIF(Table110[Q9. How much is your total pre-tax household income?], $A16, 'Profiles - Group B'!N6:N41)</f>
        <v>750</v>
      </c>
      <c r="H16" s="95">
        <f>C16/(24*$B16)</f>
        <v>0.39756944444444442</v>
      </c>
      <c r="I16" s="95">
        <f t="shared" ref="I16:J19" si="5">D16/(24*$B16)</f>
        <v>130.03472222222223</v>
      </c>
      <c r="J16" s="95">
        <f t="shared" si="5"/>
        <v>2.8402777777777777</v>
      </c>
      <c r="K16" s="95">
        <f>F16/($B16*3)</f>
        <v>41.666666666666664</v>
      </c>
      <c r="N16" s="96" t="s">
        <v>55</v>
      </c>
      <c r="O16" s="95">
        <f>AVERAGE('Demographic Analysis - Group A'!H16, 'Demographic Analysis - Group B'!H16)*100</f>
        <v>39.783775252525253</v>
      </c>
      <c r="P16" s="95">
        <f>AVERAGE('Demographic Analysis - Group A'!I16, 'Demographic Analysis - Group B'!I16)</f>
        <v>118.56660353535354</v>
      </c>
      <c r="Q16" s="95">
        <f>AVERAGE('Demographic Analysis - Group A'!J16, 'Demographic Analysis - Group B'!J16)</f>
        <v>3.143623737373737</v>
      </c>
      <c r="R16" s="95">
        <f>AVERAGE('Demographic Analysis - Group A'!K16, 'Demographic Analysis - Group B'!K16)</f>
        <v>45.277777777777771</v>
      </c>
    </row>
    <row r="17" spans="1:18">
      <c r="A17" s="96" t="s">
        <v>49</v>
      </c>
      <c r="B17">
        <f>COUNTIF(Table110[Q9. How much is your total pre-tax household income?], A17)</f>
        <v>13</v>
      </c>
      <c r="C17" s="95">
        <f>SUMIF(Table110[Q9. How much is your total pre-tax household income?], $A17, 'Profiles - Group B'!K7:K42)</f>
        <v>108.25</v>
      </c>
      <c r="D17" s="95">
        <f>SUMIF(Table110[Q9. How much is your total pre-tax household income?], $A17, 'Profiles - Group B'!L7:L42)</f>
        <v>36796</v>
      </c>
      <c r="E17" s="95">
        <f>SUMIF(Table110[Q9. How much is your total pre-tax household income?], $A17, 'Profiles - Group B'!M7:M42)</f>
        <v>729</v>
      </c>
      <c r="F17" s="95">
        <f>SUMIF(Table110[Q9. How much is your total pre-tax household income?], $A17, 'Profiles - Group B'!N7:N42)</f>
        <v>1352.5</v>
      </c>
      <c r="H17" s="95">
        <f t="shared" ref="H17:H19" si="6">C17/(24*$B17)</f>
        <v>0.34695512820512819</v>
      </c>
      <c r="I17" s="95">
        <f t="shared" si="5"/>
        <v>117.93589743589743</v>
      </c>
      <c r="J17" s="95">
        <f t="shared" si="5"/>
        <v>2.3365384615384617</v>
      </c>
      <c r="K17" s="95">
        <f>F17/($B17*3)</f>
        <v>34.679487179487182</v>
      </c>
      <c r="N17" s="96" t="s">
        <v>49</v>
      </c>
      <c r="O17" s="95">
        <f>AVERAGE('Demographic Analysis - Group A'!H17, 'Demographic Analysis - Group B'!H17)*100</f>
        <v>33.606497668997669</v>
      </c>
      <c r="P17" s="95">
        <f>AVERAGE('Demographic Analysis - Group A'!I17, 'Demographic Analysis - Group B'!I17)</f>
        <v>111.04312354312354</v>
      </c>
      <c r="Q17" s="95">
        <f>AVERAGE('Demographic Analysis - Group A'!J17, 'Demographic Analysis - Group B'!J17)</f>
        <v>2.7119755244755246</v>
      </c>
      <c r="R17" s="95">
        <f>AVERAGE('Demographic Analysis - Group A'!K17, 'Demographic Analysis - Group B'!K17)</f>
        <v>42.115384615384613</v>
      </c>
    </row>
    <row r="18" spans="1:18">
      <c r="A18" s="96" t="s">
        <v>44</v>
      </c>
      <c r="B18">
        <f>COUNTIF(Table110[Q9. How much is your total pre-tax household income?], A18)</f>
        <v>12</v>
      </c>
      <c r="C18" s="95">
        <f>SUMIF(Table110[Q9. How much is your total pre-tax household income?], $A18, 'Profiles - Group B'!K8:K43)</f>
        <v>94.5</v>
      </c>
      <c r="D18" s="95">
        <f>SUMIF(Table110[Q9. How much is your total pre-tax household income?], $A18, 'Profiles - Group B'!L8:L43)</f>
        <v>36665</v>
      </c>
      <c r="E18" s="95">
        <f>SUMIF(Table110[Q9. How much is your total pre-tax household income?], $A18, 'Profiles - Group B'!M8:M43)</f>
        <v>674</v>
      </c>
      <c r="F18" s="95">
        <f>SUMIF(Table110[Q9. How much is your total pre-tax household income?], $A18, 'Profiles - Group B'!N8:N43)</f>
        <v>1382.5</v>
      </c>
      <c r="H18" s="95">
        <f t="shared" si="6"/>
        <v>0.328125</v>
      </c>
      <c r="I18" s="95">
        <f t="shared" si="5"/>
        <v>127.30902777777777</v>
      </c>
      <c r="J18" s="95">
        <f t="shared" si="5"/>
        <v>2.3402777777777777</v>
      </c>
      <c r="K18" s="95">
        <f>F18/($B18*3)</f>
        <v>38.402777777777779</v>
      </c>
      <c r="N18" s="96" t="s">
        <v>44</v>
      </c>
      <c r="O18" s="95">
        <f>AVERAGE('Demographic Analysis - Group A'!H18, 'Demographic Analysis - Group B'!H18)*100</f>
        <v>36.57670454545454</v>
      </c>
      <c r="P18" s="95">
        <f>AVERAGE('Demographic Analysis - Group A'!I18, 'Demographic Analysis - Group B'!I18)</f>
        <v>123.46133207070707</v>
      </c>
      <c r="Q18" s="95">
        <f>AVERAGE('Demographic Analysis - Group A'!J18, 'Demographic Analysis - Group B'!J18)</f>
        <v>2.6985479797979797</v>
      </c>
      <c r="R18" s="95">
        <f>AVERAGE('Demographic Analysis - Group A'!K18, 'Demographic Analysis - Group B'!K18)</f>
        <v>43.923611111111114</v>
      </c>
    </row>
    <row r="19" spans="1:18">
      <c r="A19" s="96" t="s">
        <v>56</v>
      </c>
      <c r="B19">
        <f>COUNTIF(Table110[Q9. How much is your total pre-tax household income?], A19)</f>
        <v>5</v>
      </c>
      <c r="C19" s="95">
        <f>SUMIF(Table110[Q9. How much is your total pre-tax household income?], $A19, 'Profiles - Group B'!K9:K44)</f>
        <v>47.75</v>
      </c>
      <c r="D19" s="95">
        <f>SUMIF(Table110[Q9. How much is your total pre-tax household income?], $A19, 'Profiles - Group B'!L9:L44)</f>
        <v>10953</v>
      </c>
      <c r="E19" s="95">
        <f>SUMIF(Table110[Q9. How much is your total pre-tax household income?], $A19, 'Profiles - Group B'!M9:M44)</f>
        <v>295</v>
      </c>
      <c r="F19" s="95">
        <f>SUMIF(Table110[Q9. How much is your total pre-tax household income?], $A19, 'Profiles - Group B'!N9:N44)</f>
        <v>617.5</v>
      </c>
      <c r="H19" s="95">
        <f t="shared" si="6"/>
        <v>0.39791666666666664</v>
      </c>
      <c r="I19" s="95">
        <f t="shared" si="5"/>
        <v>91.275000000000006</v>
      </c>
      <c r="J19" s="95">
        <f t="shared" si="5"/>
        <v>2.4583333333333335</v>
      </c>
      <c r="K19" s="95">
        <f>F19/($B19*3)</f>
        <v>41.166666666666664</v>
      </c>
      <c r="N19" s="96" t="s">
        <v>56</v>
      </c>
      <c r="O19" s="95">
        <f>AVERAGE('Demographic Analysis - Group A'!H19, 'Demographic Analysis - Group B'!H19)*100</f>
        <v>38.645833333333336</v>
      </c>
      <c r="P19" s="95">
        <f>AVERAGE('Demographic Analysis - Group A'!I19, 'Demographic Analysis - Group B'!I19)</f>
        <v>107.69204545454545</v>
      </c>
      <c r="Q19" s="95">
        <f>AVERAGE('Demographic Analysis - Group A'!J19, 'Demographic Analysis - Group B'!J19)</f>
        <v>2.6928030303030304</v>
      </c>
      <c r="R19" s="95">
        <f>AVERAGE('Demographic Analysis - Group A'!K19, 'Demographic Analysis - Group B'!K19)</f>
        <v>47.166666666666664</v>
      </c>
    </row>
    <row r="20" spans="1:18">
      <c r="A20" s="96"/>
      <c r="C20" s="95"/>
      <c r="D20" s="95"/>
      <c r="H20" s="95"/>
      <c r="I20" s="95"/>
      <c r="J20" s="95"/>
      <c r="K20" s="95"/>
      <c r="N20" s="96"/>
    </row>
    <row r="21" spans="1:18">
      <c r="A21" s="96"/>
      <c r="C21" s="95"/>
      <c r="D21" s="95"/>
      <c r="H21" s="95"/>
      <c r="I21" s="95"/>
      <c r="J21" s="95"/>
      <c r="K21" s="95"/>
      <c r="N21" s="96"/>
    </row>
    <row r="22" spans="1:18">
      <c r="A22" s="96" t="s">
        <v>42</v>
      </c>
      <c r="B22">
        <f>COUNTIF(Table110[Education level], 'Demographic Analysis - Group B'!A22)</f>
        <v>10</v>
      </c>
      <c r="C22" s="95">
        <f>SUMIF(Table110[Education level], 'Demographic Analysis - Group B'!$A22, 'Profiles - Group B'!K6:K41)</f>
        <v>69.25</v>
      </c>
      <c r="D22" s="95">
        <f>SUMIF(Table110[Education level], 'Demographic Analysis - Group B'!$A22, 'Profiles - Group B'!L6:L41)</f>
        <v>34838</v>
      </c>
      <c r="E22" s="95">
        <f>SUMIF(Table110[Education level], 'Demographic Analysis - Group B'!$A22, 'Profiles - Group B'!M6:M41)</f>
        <v>581</v>
      </c>
      <c r="F22" s="95">
        <f>SUMIF(Table110[Education level], 'Demographic Analysis - Group B'!$A22, 'Profiles - Group B'!N6:N41)</f>
        <v>1197.5</v>
      </c>
      <c r="H22" s="95">
        <f>C22/(24*$B22)</f>
        <v>0.28854166666666664</v>
      </c>
      <c r="I22" s="95">
        <f t="shared" ref="I22:I25" si="7">D22/(24*$B22)</f>
        <v>145.15833333333333</v>
      </c>
      <c r="J22" s="95">
        <f t="shared" ref="J22:J25" si="8">E22/(24*$B22)</f>
        <v>2.4208333333333334</v>
      </c>
      <c r="K22" s="95">
        <f>F22/($B22*3)</f>
        <v>39.916666666666664</v>
      </c>
      <c r="N22" s="96" t="s">
        <v>42</v>
      </c>
      <c r="O22" s="95">
        <f>AVERAGE('Demographic Analysis - Group A'!H22, 'Demographic Analysis - Group B'!H22)*100</f>
        <v>32.381628787878789</v>
      </c>
      <c r="P22" s="95">
        <f>AVERAGE('Demographic Analysis - Group A'!I22, 'Demographic Analysis - Group B'!I22)</f>
        <v>136.07007575757575</v>
      </c>
      <c r="Q22" s="95">
        <f>AVERAGE('Demographic Analysis - Group A'!J22, 'Demographic Analysis - Group B'!J22)</f>
        <v>2.6467803030303028</v>
      </c>
      <c r="R22" s="95">
        <f>AVERAGE('Demographic Analysis - Group A'!K22, 'Demographic Analysis - Group B'!K22)</f>
        <v>44</v>
      </c>
    </row>
    <row r="23" spans="1:18">
      <c r="A23" s="96" t="s">
        <v>50</v>
      </c>
      <c r="B23">
        <f>COUNTIF(Table110[Education level], 'Demographic Analysis - Group B'!A23)</f>
        <v>14</v>
      </c>
      <c r="C23" s="95">
        <f>SUMIF(Table110[Education level], 'Demographic Analysis - Group B'!$A23, 'Profiles - Group B'!K7:K42)</f>
        <v>101.5</v>
      </c>
      <c r="D23" s="95">
        <f>SUMIF(Table110[Education level], 'Demographic Analysis - Group B'!$A23, 'Profiles - Group B'!L7:L42)</f>
        <v>37285</v>
      </c>
      <c r="E23" s="95">
        <f>SUMIF(Table110[Education level], 'Demographic Analysis - Group B'!$A23, 'Profiles - Group B'!M7:M42)</f>
        <v>828</v>
      </c>
      <c r="F23" s="95">
        <f>SUMIF(Table110[Education level], 'Demographic Analysis - Group B'!$A23, 'Profiles - Group B'!N7:N42)</f>
        <v>1700</v>
      </c>
      <c r="H23" s="95">
        <f t="shared" ref="H23:H25" si="9">C23/(24*$B23)</f>
        <v>0.30208333333333331</v>
      </c>
      <c r="I23" s="95">
        <f t="shared" si="7"/>
        <v>110.9672619047619</v>
      </c>
      <c r="J23" s="95">
        <f t="shared" si="8"/>
        <v>2.4642857142857144</v>
      </c>
      <c r="K23" s="95">
        <f>F23/($B23*3)</f>
        <v>40.476190476190474</v>
      </c>
      <c r="N23" s="96" t="s">
        <v>50</v>
      </c>
      <c r="O23" s="95">
        <f>AVERAGE('Demographic Analysis - Group A'!H23, 'Demographic Analysis - Group B'!H23)*100</f>
        <v>30.94020562770563</v>
      </c>
      <c r="P23" s="95">
        <f>AVERAGE('Demographic Analysis - Group A'!I23, 'Demographic Analysis - Group B'!I23)</f>
        <v>106.70441017316017</v>
      </c>
      <c r="Q23" s="95">
        <f>AVERAGE('Demographic Analysis - Group A'!J23, 'Demographic Analysis - Group B'!J23)</f>
        <v>2.7142857142857144</v>
      </c>
      <c r="R23" s="95">
        <f>AVERAGE('Demographic Analysis - Group A'!K23, 'Demographic Analysis - Group B'!K23)</f>
        <v>42.232142857142861</v>
      </c>
    </row>
    <row r="24" spans="1:18">
      <c r="A24" s="96" t="s">
        <v>51</v>
      </c>
      <c r="B24">
        <f>COUNTIF(Table110[Education level], 'Demographic Analysis - Group B'!A24)</f>
        <v>9</v>
      </c>
      <c r="C24" s="95">
        <f>SUMIF(Table110[Education level], 'Demographic Analysis - Group B'!$A24, 'Profiles - Group B'!K8:K43)</f>
        <v>77.25</v>
      </c>
      <c r="D24" s="95">
        <f>SUMIF(Table110[Education level], 'Demographic Analysis - Group B'!$A24, 'Profiles - Group B'!L8:L43)</f>
        <v>26796</v>
      </c>
      <c r="E24" s="95">
        <f>SUMIF(Table110[Education level], 'Demographic Analysis - Group B'!$A24, 'Profiles - Group B'!M8:M43)</f>
        <v>573</v>
      </c>
      <c r="F24" s="95">
        <f>SUMIF(Table110[Education level], 'Demographic Analysis - Group B'!$A24, 'Profiles - Group B'!N8:N43)</f>
        <v>1157.5</v>
      </c>
      <c r="H24" s="95">
        <f t="shared" si="9"/>
        <v>0.3576388888888889</v>
      </c>
      <c r="I24" s="95">
        <f t="shared" si="7"/>
        <v>124.05555555555556</v>
      </c>
      <c r="J24" s="95">
        <f t="shared" si="8"/>
        <v>2.6527777777777777</v>
      </c>
      <c r="K24" s="95">
        <f>F24/($B24*3)</f>
        <v>42.870370370370374</v>
      </c>
      <c r="N24" s="96" t="s">
        <v>51</v>
      </c>
      <c r="O24" s="95">
        <f>AVERAGE('Demographic Analysis - Group A'!H24, 'Demographic Analysis - Group B'!H24)*100</f>
        <v>40.167297979797979</v>
      </c>
      <c r="P24" s="95">
        <f>AVERAGE('Demographic Analysis - Group A'!I24, 'Demographic Analysis - Group B'!I24)</f>
        <v>116.82828282828282</v>
      </c>
      <c r="Q24" s="95">
        <f>AVERAGE('Demographic Analysis - Group A'!J24, 'Demographic Analysis - Group B'!J24)</f>
        <v>3.0688131313131315</v>
      </c>
      <c r="R24" s="95">
        <f>AVERAGE('Demographic Analysis - Group A'!K24, 'Demographic Analysis - Group B'!K24)</f>
        <v>48.93518518518519</v>
      </c>
    </row>
    <row r="25" spans="1:18">
      <c r="A25" s="96" t="s">
        <v>53</v>
      </c>
      <c r="B25">
        <f>COUNTIF(Table110[Education level], 'Demographic Analysis - Group B'!A25)</f>
        <v>3</v>
      </c>
      <c r="C25" s="95">
        <f>SUMIF(Table110[Education level], 'Demographic Analysis - Group B'!$A25, 'Profiles - Group B'!K9:K44)</f>
        <v>27</v>
      </c>
      <c r="D25" s="95">
        <f>SUMIF(Table110[Education level], 'Demographic Analysis - Group B'!$A25, 'Profiles - Group B'!L9:L44)</f>
        <v>8532</v>
      </c>
      <c r="E25" s="95">
        <f>SUMIF(Table110[Education level], 'Demographic Analysis - Group B'!$A25, 'Profiles - Group B'!M9:M44)</f>
        <v>197</v>
      </c>
      <c r="F25" s="95">
        <f>SUMIF(Table110[Education level], 'Demographic Analysis - Group B'!$A25, 'Profiles - Group B'!N9:N44)</f>
        <v>402.5</v>
      </c>
      <c r="H25" s="95">
        <f t="shared" si="9"/>
        <v>0.375</v>
      </c>
      <c r="I25" s="95">
        <f t="shared" si="7"/>
        <v>118.5</v>
      </c>
      <c r="J25" s="95">
        <f t="shared" si="8"/>
        <v>2.7361111111111112</v>
      </c>
      <c r="K25" s="95">
        <f>F25/($B25*3)</f>
        <v>44.722222222222221</v>
      </c>
      <c r="N25" s="96" t="s">
        <v>53</v>
      </c>
      <c r="O25" s="95">
        <f>AVERAGE('Demographic Analysis - Group A'!H25, 'Demographic Analysis - Group B'!H25)*100</f>
        <v>40.340909090909093</v>
      </c>
      <c r="P25" s="95">
        <f>AVERAGE('Demographic Analysis - Group A'!I25, 'Demographic Analysis - Group B'!I25)</f>
        <v>119.59090909090909</v>
      </c>
      <c r="Q25" s="95">
        <f>AVERAGE('Demographic Analysis - Group A'!J25, 'Demographic Analysis - Group B'!J25)</f>
        <v>3.1256313131313131</v>
      </c>
      <c r="R25" s="95">
        <f>AVERAGE('Demographic Analysis - Group A'!K25, 'Demographic Analysis - Group B'!K25)</f>
        <v>56.527777777777771</v>
      </c>
    </row>
    <row r="26" spans="1:18">
      <c r="A26" s="96"/>
      <c r="C26" s="95"/>
      <c r="D26" s="95"/>
      <c r="H26" s="95"/>
      <c r="I26" s="95"/>
      <c r="J26" s="95"/>
      <c r="K26" s="95"/>
      <c r="N26" s="96"/>
    </row>
    <row r="27" spans="1:18">
      <c r="A27" s="96"/>
      <c r="C27" s="95"/>
      <c r="D27" s="95"/>
      <c r="H27" s="95"/>
      <c r="I27" s="95"/>
      <c r="J27" s="95"/>
      <c r="K27" s="95"/>
      <c r="N27" s="96"/>
    </row>
    <row r="28" spans="1:18">
      <c r="A28" s="96" t="s">
        <v>123</v>
      </c>
      <c r="B28">
        <f>COUNTIF(Table110[B: Accessibilty Screener], "&lt;&gt;No")</f>
        <v>6</v>
      </c>
      <c r="C28" s="95">
        <f>SUMIF(Table110[B: Accessibilty Screener], "&lt;&gt;No", 'Profiles - Group B'!K6:K41)</f>
        <v>45</v>
      </c>
      <c r="D28" s="95">
        <f>SUMIF(Table110[B: Accessibilty Screener], "&lt;&gt;No", 'Profiles - Group B'!L6:L41)</f>
        <v>20726</v>
      </c>
      <c r="E28" s="95">
        <f>SUMIF(Table110[B: Accessibilty Screener], "&lt;&gt;No", 'Profiles - Group B'!M6:M41)</f>
        <v>343</v>
      </c>
      <c r="F28" s="95">
        <f>SUMIF(Table110[B: Accessibilty Screener], "&lt;&gt;No", 'Profiles - Group B'!N6:N41)</f>
        <v>650</v>
      </c>
      <c r="H28" s="95">
        <f>C28/(24*$B28)</f>
        <v>0.3125</v>
      </c>
      <c r="I28" s="95">
        <f t="shared" ref="I28:I29" si="10">D28/(24*$B28)</f>
        <v>143.93055555555554</v>
      </c>
      <c r="J28" s="95">
        <f t="shared" ref="J28:J29" si="11">E28/(24*$B28)</f>
        <v>2.3819444444444446</v>
      </c>
      <c r="K28" s="95">
        <f>F28/($B28*3)</f>
        <v>36.111111111111114</v>
      </c>
      <c r="N28" s="96" t="s">
        <v>123</v>
      </c>
      <c r="O28" s="95">
        <f>AVERAGE('Demographic Analysis - Group A'!H28, 'Demographic Analysis - Group B'!H28)*100</f>
        <v>34.015151515151516</v>
      </c>
      <c r="P28" s="95">
        <f>AVERAGE('Demographic Analysis - Group A'!I28, 'Demographic Analysis - Group B'!I28)</f>
        <v>130.16603535353534</v>
      </c>
      <c r="Q28" s="95">
        <f>AVERAGE('Demographic Analysis - Group A'!J28, 'Demographic Analysis - Group B'!J28)</f>
        <v>2.9144570707070709</v>
      </c>
      <c r="R28" s="95">
        <f>AVERAGE('Demographic Analysis - Group A'!K28, 'Demographic Analysis - Group B'!K28)</f>
        <v>43.194444444444443</v>
      </c>
    </row>
    <row r="29" spans="1:18">
      <c r="A29" s="96" t="s">
        <v>124</v>
      </c>
      <c r="B29">
        <f>COUNTIF(Table110[B: Accessibilty Screener], "No")</f>
        <v>30</v>
      </c>
      <c r="C29" s="95">
        <f>SUMIF(Table110[B: Accessibilty Screener], "No", 'Profiles - Group B'!K6:K41)</f>
        <v>259.75</v>
      </c>
      <c r="D29" s="95">
        <f>SUMIF(Table110[B: Accessibilty Screener], "No", 'Profiles - Group B'!L6:L41)</f>
        <v>90588</v>
      </c>
      <c r="E29" s="95">
        <f>SUMIF(Table110[B: Accessibilty Screener], "No", 'Profiles - Group B'!M6:M41)</f>
        <v>1895</v>
      </c>
      <c r="F29" s="95">
        <f>SUMIF(Table110[B: Accessibilty Screener], "No", 'Profiles - Group B'!N6:N41)</f>
        <v>3885</v>
      </c>
      <c r="H29" s="95">
        <f t="shared" ref="H29" si="12">C29/(24*$B29)</f>
        <v>0.36076388888888888</v>
      </c>
      <c r="I29" s="95">
        <f t="shared" si="10"/>
        <v>125.81666666666666</v>
      </c>
      <c r="J29" s="95">
        <f t="shared" si="11"/>
        <v>2.6319444444444446</v>
      </c>
      <c r="K29" s="95">
        <f>F29/($B29*3)</f>
        <v>43.166666666666664</v>
      </c>
      <c r="N29" s="96" t="s">
        <v>124</v>
      </c>
      <c r="O29" s="95">
        <f>AVERAGE('Demographic Analysis - Group A'!H29, 'Demographic Analysis - Group B'!H29)*100</f>
        <v>36.579861111111114</v>
      </c>
      <c r="P29" s="95">
        <f>AVERAGE('Demographic Analysis - Group A'!I29, 'Demographic Analysis - Group B'!I29)</f>
        <v>118.80909090909091</v>
      </c>
      <c r="Q29" s="95">
        <f>AVERAGE('Demographic Analysis - Group A'!J29, 'Demographic Analysis - Group B'!J29)</f>
        <v>2.8402146464646467</v>
      </c>
      <c r="R29" s="95">
        <f>AVERAGE('Demographic Analysis - Group A'!K29, 'Demographic Analysis - Group B'!K29)</f>
        <v>46.5</v>
      </c>
    </row>
    <row r="30" spans="1:18">
      <c r="C30" s="95"/>
      <c r="D30" s="95"/>
    </row>
    <row r="31" spans="1:18">
      <c r="C31" s="95"/>
      <c r="D31" s="95"/>
    </row>
    <row r="32" spans="1:18">
      <c r="A32" s="96" t="s">
        <v>151</v>
      </c>
      <c r="B32">
        <f>SUM(B8:B9)</f>
        <v>10</v>
      </c>
      <c r="C32" s="95">
        <f>SUM(C8:C9)</f>
        <v>95</v>
      </c>
      <c r="D32" s="95">
        <f t="shared" ref="D32:F32" si="13">SUM(D8:D9)</f>
        <v>23725</v>
      </c>
      <c r="E32" s="95">
        <f t="shared" si="13"/>
        <v>690</v>
      </c>
      <c r="F32" s="95">
        <f t="shared" si="13"/>
        <v>1352.5</v>
      </c>
      <c r="H32" s="95">
        <f t="shared" ref="H32:J34" si="14">C32/(22*$B32)</f>
        <v>0.43181818181818182</v>
      </c>
      <c r="I32" s="95">
        <f t="shared" si="14"/>
        <v>107.84090909090909</v>
      </c>
      <c r="J32" s="95">
        <f t="shared" si="14"/>
        <v>3.1363636363636362</v>
      </c>
      <c r="K32" s="95">
        <f t="shared" ref="K32:K34" si="15">F32/($B32*3)</f>
        <v>45.083333333333336</v>
      </c>
      <c r="N32" s="96" t="s">
        <v>159</v>
      </c>
      <c r="O32" s="95">
        <f>AVERAGE('Demographic Analysis - Group A'!H32, 'Demographic Analysis - Group B'!H32)*100</f>
        <v>45.05681818181818</v>
      </c>
      <c r="P32" s="95">
        <f>AVERAGE('Demographic Analysis - Group A'!I32, 'Demographic Analysis - Group B'!I32)</f>
        <v>97.734090909090909</v>
      </c>
      <c r="Q32" s="95">
        <f>AVERAGE('Demographic Analysis - Group A'!J32, 'Demographic Analysis - Group B'!J32)</f>
        <v>3.4090909090909092</v>
      </c>
      <c r="R32" s="95">
        <f>AVERAGE('Demographic Analysis - Group A'!K32, 'Demographic Analysis - Group B'!K32)</f>
        <v>54.333333333333336</v>
      </c>
    </row>
    <row r="33" spans="1:18">
      <c r="A33" s="96" t="s">
        <v>152</v>
      </c>
      <c r="B33">
        <f>SUM(B10:B11)</f>
        <v>15</v>
      </c>
      <c r="C33" s="95">
        <f>SUM(C10:C11)</f>
        <v>143.25</v>
      </c>
      <c r="D33" s="95">
        <f t="shared" ref="D33:F33" si="16">SUM(D10:D11)</f>
        <v>48470</v>
      </c>
      <c r="E33" s="95">
        <f t="shared" si="16"/>
        <v>1026</v>
      </c>
      <c r="F33" s="95">
        <f t="shared" si="16"/>
        <v>2342.5</v>
      </c>
      <c r="H33" s="95">
        <f t="shared" si="14"/>
        <v>0.43409090909090908</v>
      </c>
      <c r="I33" s="95">
        <f t="shared" si="14"/>
        <v>146.87878787878788</v>
      </c>
      <c r="J33" s="95">
        <f t="shared" si="14"/>
        <v>3.1090909090909089</v>
      </c>
      <c r="K33" s="95">
        <f t="shared" si="15"/>
        <v>52.055555555555557</v>
      </c>
      <c r="N33" s="96" t="s">
        <v>160</v>
      </c>
      <c r="O33" s="95">
        <f>AVERAGE('Demographic Analysis - Group A'!H33, 'Demographic Analysis - Group B'!H33)*100</f>
        <v>38.681818181818187</v>
      </c>
      <c r="P33" s="95">
        <f>AVERAGE('Demographic Analysis - Group A'!I33, 'Demographic Analysis - Group B'!I33)</f>
        <v>133.43636363636364</v>
      </c>
      <c r="Q33" s="95">
        <f>AVERAGE('Demographic Analysis - Group A'!J33, 'Demographic Analysis - Group B'!J33)</f>
        <v>3.0303030303030303</v>
      </c>
      <c r="R33" s="95">
        <f>AVERAGE('Demographic Analysis - Group A'!K33, 'Demographic Analysis - Group B'!K33)</f>
        <v>49.083333333333336</v>
      </c>
    </row>
    <row r="34" spans="1:18">
      <c r="A34" s="96" t="s">
        <v>153</v>
      </c>
      <c r="B34">
        <f>SUM(B12:B13)</f>
        <v>11</v>
      </c>
      <c r="C34" s="95">
        <f>SUM(C12:C13)</f>
        <v>89.75</v>
      </c>
      <c r="D34" s="95">
        <f t="shared" ref="D34:F34" si="17">SUM(D12:D13)</f>
        <v>36115</v>
      </c>
      <c r="E34" s="95">
        <f t="shared" si="17"/>
        <v>643</v>
      </c>
      <c r="F34" s="95">
        <f t="shared" si="17"/>
        <v>1357.5</v>
      </c>
      <c r="H34" s="95">
        <f t="shared" si="14"/>
        <v>0.37086776859504134</v>
      </c>
      <c r="I34" s="95">
        <f t="shared" si="14"/>
        <v>149.23553719008265</v>
      </c>
      <c r="J34" s="95">
        <f t="shared" si="14"/>
        <v>2.6570247933884299</v>
      </c>
      <c r="K34" s="95">
        <f t="shared" si="15"/>
        <v>41.136363636363633</v>
      </c>
      <c r="N34" s="96" t="s">
        <v>161</v>
      </c>
      <c r="O34" s="95">
        <f>AVERAGE('Demographic Analysis - Group A'!H34, 'Demographic Analysis - Group B'!H34)*100</f>
        <v>34.659090909090907</v>
      </c>
      <c r="P34" s="95">
        <f>AVERAGE('Demographic Analysis - Group A'!I34, 'Demographic Analysis - Group B'!I34)</f>
        <v>137.17561983471074</v>
      </c>
      <c r="Q34" s="95">
        <f>AVERAGE('Demographic Analysis - Group A'!J34, 'Demographic Analysis - Group B'!J34)</f>
        <v>2.7396694214876032</v>
      </c>
      <c r="R34" s="95">
        <f>AVERAGE('Demographic Analysis - Group A'!K34, 'Demographic Analysis - Group B'!K34)</f>
        <v>41.893939393939391</v>
      </c>
    </row>
    <row r="35" spans="1:18">
      <c r="A35" s="96"/>
      <c r="C35" s="95"/>
      <c r="D35" s="95"/>
      <c r="N35" s="96"/>
    </row>
    <row r="36" spans="1:18">
      <c r="A36" s="96" t="s">
        <v>154</v>
      </c>
      <c r="B36">
        <f>SUM(B22:B23)</f>
        <v>24</v>
      </c>
      <c r="C36" s="95">
        <f>SUM(C22:C23)</f>
        <v>170.75</v>
      </c>
      <c r="D36" s="95">
        <f t="shared" ref="D36:F36" si="18">SUM(D22:D23)</f>
        <v>72123</v>
      </c>
      <c r="E36" s="95">
        <f t="shared" si="18"/>
        <v>1409</v>
      </c>
      <c r="F36" s="95">
        <f t="shared" si="18"/>
        <v>2897.5</v>
      </c>
      <c r="H36" s="95">
        <f t="shared" ref="H36:J37" si="19">C36/(22*$B36)</f>
        <v>0.32339015151515149</v>
      </c>
      <c r="I36" s="95">
        <f t="shared" si="19"/>
        <v>136.59659090909091</v>
      </c>
      <c r="J36" s="95">
        <f t="shared" si="19"/>
        <v>2.668560606060606</v>
      </c>
      <c r="K36" s="95">
        <f t="shared" ref="K36:K37" si="20">F36/($B36*3)</f>
        <v>40.243055555555557</v>
      </c>
      <c r="N36" s="96" t="s">
        <v>162</v>
      </c>
      <c r="O36" s="95">
        <f>AVERAGE('Demographic Analysis - Group A'!H36, 'Demographic Analysis - Group B'!H36)*100</f>
        <v>32.888257575757571</v>
      </c>
      <c r="P36" s="95">
        <f>AVERAGE('Demographic Analysis - Group A'!I36, 'Demographic Analysis - Group B'!I36)</f>
        <v>124.63162878787878</v>
      </c>
      <c r="Q36" s="95">
        <f>AVERAGE('Demographic Analysis - Group A'!J36, 'Demographic Analysis - Group B'!J36)</f>
        <v>2.7973484848484849</v>
      </c>
      <c r="R36" s="95">
        <f>AVERAGE('Demographic Analysis - Group A'!K36, 'Demographic Analysis - Group B'!K36)</f>
        <v>42.96875</v>
      </c>
    </row>
    <row r="37" spans="1:18">
      <c r="A37" s="96" t="s">
        <v>155</v>
      </c>
      <c r="B37">
        <f>SUM(B24:B25)</f>
        <v>12</v>
      </c>
      <c r="C37" s="95">
        <f>SUM(C24:C25)</f>
        <v>104.25</v>
      </c>
      <c r="D37" s="95">
        <f t="shared" ref="D37:F37" si="21">SUM(D24:D25)</f>
        <v>35328</v>
      </c>
      <c r="E37" s="95">
        <f t="shared" si="21"/>
        <v>770</v>
      </c>
      <c r="F37" s="95">
        <f t="shared" si="21"/>
        <v>1560</v>
      </c>
      <c r="H37" s="95">
        <f t="shared" si="19"/>
        <v>0.39488636363636365</v>
      </c>
      <c r="I37" s="95">
        <f t="shared" si="19"/>
        <v>133.81818181818181</v>
      </c>
      <c r="J37" s="95">
        <f t="shared" si="19"/>
        <v>2.9166666666666665</v>
      </c>
      <c r="K37" s="95">
        <f t="shared" si="20"/>
        <v>43.333333333333336</v>
      </c>
      <c r="N37" s="96" t="s">
        <v>163</v>
      </c>
      <c r="O37" s="95">
        <f>AVERAGE('Demographic Analysis - Group A'!H37, 'Demographic Analysis - Group B'!H37)*100</f>
        <v>41.856060606060609</v>
      </c>
      <c r="P37" s="95">
        <f>AVERAGE('Demographic Analysis - Group A'!I37, 'Demographic Analysis - Group B'!I37)</f>
        <v>123.09469696969697</v>
      </c>
      <c r="Q37" s="95">
        <f>AVERAGE('Demographic Analysis - Group A'!J37, 'Demographic Analysis - Group B'!J37)</f>
        <v>3.2045454545454541</v>
      </c>
      <c r="R37" s="95">
        <f>AVERAGE('Demographic Analysis - Group A'!K37, 'Demographic Analysis - Group B'!K37)</f>
        <v>50.833333333333336</v>
      </c>
    </row>
    <row r="38" spans="1:18">
      <c r="C38" s="95"/>
      <c r="D38" s="95"/>
    </row>
    <row r="39" spans="1:18">
      <c r="A39" s="96" t="s">
        <v>156</v>
      </c>
      <c r="B39">
        <f>SUM(B17:B18)</f>
        <v>25</v>
      </c>
      <c r="C39" s="95">
        <f>SUM(C17:C18)</f>
        <v>202.75</v>
      </c>
      <c r="D39" s="95">
        <f t="shared" ref="D39:F39" si="22">SUM(D17:D18)</f>
        <v>73461</v>
      </c>
      <c r="E39" s="95">
        <f t="shared" si="22"/>
        <v>1403</v>
      </c>
      <c r="F39" s="95">
        <f t="shared" si="22"/>
        <v>2735</v>
      </c>
      <c r="H39" s="95">
        <f t="shared" ref="H39:J39" si="23">C39/(22*$B39)</f>
        <v>0.36863636363636365</v>
      </c>
      <c r="I39" s="95">
        <f t="shared" si="23"/>
        <v>133.56545454545454</v>
      </c>
      <c r="J39" s="95">
        <f t="shared" si="23"/>
        <v>2.5509090909090908</v>
      </c>
      <c r="K39" s="95">
        <f>F39/($B39*3)</f>
        <v>36.466666666666669</v>
      </c>
      <c r="N39" s="96" t="s">
        <v>156</v>
      </c>
      <c r="O39" s="95">
        <f>AVERAGE('Demographic Analysis - Group A'!H39, 'Demographic Analysis - Group B'!H39)*100</f>
        <v>36.56818181818182</v>
      </c>
      <c r="P39" s="95">
        <f>AVERAGE('Demographic Analysis - Group A'!I39, 'Demographic Analysis - Group B'!I39)</f>
        <v>122.5690909090909</v>
      </c>
      <c r="Q39" s="95">
        <f>AVERAGE('Demographic Analysis - Group A'!J39, 'Demographic Analysis - Group B'!J39)</f>
        <v>2.8118181818181816</v>
      </c>
      <c r="R39" s="95">
        <f>AVERAGE('Demographic Analysis - Group A'!K39, 'Demographic Analysis - Group B'!K39)</f>
        <v>42.983333333333334</v>
      </c>
    </row>
  </sheetData>
  <mergeCells count="2">
    <mergeCell ref="H1:K1"/>
    <mergeCell ref="N1:R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
  <sheetViews>
    <sheetView zoomScale="90" zoomScaleNormal="90" workbookViewId="0">
      <selection activeCell="A4" sqref="A4"/>
    </sheetView>
  </sheetViews>
  <sheetFormatPr defaultRowHeight="15"/>
  <sheetData>
    <row r="1" spans="1:36" ht="47.25" customHeight="1">
      <c r="A1" s="123" t="s">
        <v>186</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row>
    <row r="2" spans="1:36" ht="20.25" customHeight="1"/>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3"/>
  <sheetViews>
    <sheetView zoomScale="80" zoomScaleNormal="80" workbookViewId="0">
      <selection activeCell="V4" sqref="V4:AC4"/>
    </sheetView>
  </sheetViews>
  <sheetFormatPr defaultRowHeight="15"/>
  <sheetData>
    <row r="1" spans="1:29" ht="36">
      <c r="A1" s="127" t="s">
        <v>187</v>
      </c>
      <c r="B1" s="127"/>
      <c r="C1" s="127"/>
      <c r="D1" s="127"/>
      <c r="E1" s="127"/>
      <c r="F1" s="127"/>
      <c r="G1" s="127"/>
      <c r="H1" s="127"/>
      <c r="I1" s="127"/>
      <c r="K1" s="127" t="s">
        <v>188</v>
      </c>
      <c r="L1" s="127"/>
      <c r="M1" s="127"/>
      <c r="N1" s="127"/>
      <c r="O1" s="127"/>
      <c r="P1" s="127"/>
      <c r="Q1" s="127"/>
      <c r="R1" s="127"/>
      <c r="S1" s="127"/>
    </row>
    <row r="2" spans="1:29" ht="14.25" customHeight="1">
      <c r="A2" s="128"/>
      <c r="B2" s="128"/>
      <c r="C2" s="128"/>
      <c r="D2" s="128"/>
      <c r="E2" s="128"/>
      <c r="F2" s="128"/>
      <c r="G2" s="128"/>
      <c r="H2" s="128"/>
      <c r="I2" s="128"/>
    </row>
    <row r="3" spans="1:29" ht="31.5">
      <c r="B3" s="172" t="s">
        <v>126</v>
      </c>
      <c r="C3" s="172"/>
      <c r="D3" s="172"/>
      <c r="E3" s="172"/>
      <c r="F3" s="172"/>
      <c r="G3" s="172"/>
      <c r="H3" s="172"/>
      <c r="I3" s="172"/>
      <c r="L3" s="173" t="s">
        <v>131</v>
      </c>
      <c r="M3" s="173"/>
      <c r="N3" s="173"/>
      <c r="O3" s="173"/>
      <c r="P3" s="173"/>
      <c r="Q3" s="173"/>
      <c r="R3" s="173"/>
      <c r="S3" s="173"/>
      <c r="V3" s="172" t="s">
        <v>127</v>
      </c>
      <c r="W3" s="172"/>
      <c r="X3" s="172"/>
      <c r="Y3" s="172"/>
      <c r="Z3" s="172"/>
      <c r="AA3" s="172"/>
      <c r="AB3" s="172"/>
      <c r="AC3" s="172"/>
    </row>
    <row r="4" spans="1:29">
      <c r="B4" s="174" t="s">
        <v>25</v>
      </c>
      <c r="C4" s="174"/>
      <c r="D4" s="174"/>
      <c r="E4" s="174"/>
      <c r="F4" s="174"/>
      <c r="G4" s="174"/>
      <c r="H4" s="174"/>
      <c r="I4" s="175"/>
      <c r="L4" s="174" t="s">
        <v>25</v>
      </c>
      <c r="M4" s="174"/>
      <c r="N4" s="174"/>
      <c r="O4" s="174"/>
      <c r="P4" s="174"/>
      <c r="Q4" s="174"/>
      <c r="R4" s="174"/>
      <c r="S4" s="175"/>
      <c r="V4" s="174" t="s">
        <v>25</v>
      </c>
      <c r="W4" s="174"/>
      <c r="X4" s="174"/>
      <c r="Y4" s="174"/>
      <c r="Z4" s="174"/>
      <c r="AA4" s="174"/>
      <c r="AB4" s="174"/>
      <c r="AC4" s="175"/>
    </row>
    <row r="5" spans="1:29">
      <c r="A5" t="s">
        <v>0</v>
      </c>
      <c r="B5" s="13" t="s">
        <v>27</v>
      </c>
      <c r="C5" s="13" t="s">
        <v>28</v>
      </c>
      <c r="D5" s="13" t="s">
        <v>2</v>
      </c>
      <c r="E5" s="13" t="s">
        <v>3</v>
      </c>
      <c r="F5" s="13" t="s">
        <v>4</v>
      </c>
      <c r="G5" s="13" t="s">
        <v>5</v>
      </c>
      <c r="H5" s="13" t="s">
        <v>6</v>
      </c>
      <c r="I5" s="14" t="s">
        <v>7</v>
      </c>
      <c r="K5" s="41" t="s">
        <v>0</v>
      </c>
      <c r="L5" s="13" t="s">
        <v>27</v>
      </c>
      <c r="M5" s="13" t="s">
        <v>28</v>
      </c>
      <c r="N5" s="13" t="s">
        <v>2</v>
      </c>
      <c r="O5" s="13" t="s">
        <v>3</v>
      </c>
      <c r="P5" s="13" t="s">
        <v>4</v>
      </c>
      <c r="Q5" s="13" t="s">
        <v>5</v>
      </c>
      <c r="R5" s="13" t="s">
        <v>6</v>
      </c>
      <c r="S5" s="14" t="s">
        <v>7</v>
      </c>
      <c r="U5" s="41" t="s">
        <v>0</v>
      </c>
      <c r="V5" s="13" t="s">
        <v>27</v>
      </c>
      <c r="W5" s="13" t="s">
        <v>28</v>
      </c>
      <c r="X5" s="13" t="s">
        <v>2</v>
      </c>
      <c r="Y5" s="13" t="s">
        <v>3</v>
      </c>
      <c r="Z5" s="13" t="s">
        <v>4</v>
      </c>
      <c r="AA5" s="13" t="s">
        <v>5</v>
      </c>
      <c r="AB5" s="13" t="s">
        <v>6</v>
      </c>
      <c r="AC5" s="14" t="s">
        <v>7</v>
      </c>
    </row>
    <row r="6" spans="1:29">
      <c r="A6" s="42">
        <v>1</v>
      </c>
      <c r="B6" s="43">
        <f>IF('Task metrics - Group A'!C6&gt;0, 'Task metrics - Group A'!M6)</f>
        <v>108</v>
      </c>
      <c r="C6" s="43"/>
      <c r="D6" s="43" t="s">
        <v>217</v>
      </c>
      <c r="E6" s="43" t="s">
        <v>217</v>
      </c>
      <c r="F6" s="43" t="s">
        <v>217</v>
      </c>
      <c r="G6" s="43">
        <f>IF('Task metrics - Group A'!H6&gt;0, 'Task metrics - Group A'!R6)</f>
        <v>45</v>
      </c>
      <c r="H6" s="43" t="s">
        <v>217</v>
      </c>
      <c r="I6" s="43"/>
      <c r="K6" s="9">
        <v>1</v>
      </c>
      <c r="L6" s="44">
        <f>IF('Task metrics - Group A'!AT6&gt;0, 'Task metrics - Group A'!BD6)</f>
        <v>216</v>
      </c>
      <c r="M6" s="44">
        <f>IF('Task metrics - Group A'!AU6&gt;0, 'Task metrics - Group A'!BE6)</f>
        <v>120</v>
      </c>
      <c r="N6" s="44">
        <f>IF('Task metrics - Group A'!AV6&gt;0, 'Task metrics - Group A'!BF6)</f>
        <v>46</v>
      </c>
      <c r="O6" s="44">
        <f>IF('Task metrics - Group A'!AW6&gt;0, 'Task metrics - Group A'!BG6)</f>
        <v>100</v>
      </c>
      <c r="P6" s="44">
        <f>IF('Task metrics - Group A'!AX6&gt;0, 'Task metrics - Group A'!BH6)</f>
        <v>105</v>
      </c>
      <c r="Q6" s="44">
        <f>IF('Task metrics - Group A'!AY6&gt;0, 'Task metrics - Group A'!BI6)</f>
        <v>21</v>
      </c>
      <c r="R6" s="44">
        <f>IF('Task metrics - Group A'!AZ6&gt;0, 'Task metrics - Group A'!BJ6)</f>
        <v>107</v>
      </c>
      <c r="S6" s="44">
        <f>IF('Task metrics - Group A'!BA6&gt;0, 'Task metrics - Group A'!BK6)</f>
        <v>33</v>
      </c>
      <c r="U6" s="9">
        <v>1</v>
      </c>
      <c r="V6" s="44" t="s">
        <v>217</v>
      </c>
      <c r="W6" s="44" t="s">
        <v>217</v>
      </c>
      <c r="X6" s="44" t="s">
        <v>217</v>
      </c>
      <c r="Y6" s="44">
        <f>IF('Task metrics - Group A'!CN6&gt;0, 'Task metrics - Group A'!CX6)</f>
        <v>116</v>
      </c>
      <c r="Z6" s="44">
        <f>IF('Task metrics - Group A'!CO6&gt;0, 'Task metrics - Group A'!CY6)</f>
        <v>54</v>
      </c>
      <c r="AA6" s="44" t="s">
        <v>217</v>
      </c>
      <c r="AB6" s="44" t="s">
        <v>217</v>
      </c>
      <c r="AC6" s="44">
        <f>IF('Task metrics - Group A'!CR6&gt;0, 'Task metrics - Group A'!DB6)</f>
        <v>42</v>
      </c>
    </row>
    <row r="7" spans="1:29">
      <c r="A7" s="42">
        <v>2</v>
      </c>
      <c r="B7" s="43">
        <f>IF('Task metrics - Group A'!C7&gt;0, 'Task metrics - Group A'!M7)</f>
        <v>81</v>
      </c>
      <c r="C7" s="43"/>
      <c r="D7" s="43">
        <f>IF('Task metrics - Group A'!E7&gt;0, 'Task metrics - Group A'!O7)</f>
        <v>180</v>
      </c>
      <c r="E7" s="43" t="s">
        <v>217</v>
      </c>
      <c r="F7" s="43" t="s">
        <v>217</v>
      </c>
      <c r="G7" s="43" t="s">
        <v>217</v>
      </c>
      <c r="H7" s="43" t="s">
        <v>217</v>
      </c>
      <c r="I7" s="43"/>
      <c r="K7" s="9">
        <v>2</v>
      </c>
      <c r="L7" s="44" t="s">
        <v>217</v>
      </c>
      <c r="M7" s="44">
        <f>IF('Task metrics - Group A'!AU7&gt;0, 'Task metrics - Group A'!BE7)</f>
        <v>179</v>
      </c>
      <c r="N7" s="44">
        <f>IF('Task metrics - Group A'!AV7&gt;0, 'Task metrics - Group A'!BF7)</f>
        <v>105</v>
      </c>
      <c r="O7" s="44">
        <f>IF('Task metrics - Group A'!AW7&gt;0, 'Task metrics - Group A'!BG7)</f>
        <v>50</v>
      </c>
      <c r="P7" s="44">
        <f>IF('Task metrics - Group A'!AX7&gt;0, 'Task metrics - Group A'!BH7)</f>
        <v>50</v>
      </c>
      <c r="Q7" s="44" t="s">
        <v>217</v>
      </c>
      <c r="R7" s="44">
        <f>IF('Task metrics - Group A'!AZ7&gt;0, 'Task metrics - Group A'!BJ7)</f>
        <v>110</v>
      </c>
      <c r="S7" s="44">
        <f>IF('Task metrics - Group A'!BA7&gt;0, 'Task metrics - Group A'!BK7)</f>
        <v>27</v>
      </c>
      <c r="U7" s="9">
        <v>2</v>
      </c>
      <c r="V7" s="44" t="s">
        <v>217</v>
      </c>
      <c r="W7" s="44" t="s">
        <v>217</v>
      </c>
      <c r="X7" s="44" t="s">
        <v>217</v>
      </c>
      <c r="Y7" s="44" t="s">
        <v>217</v>
      </c>
      <c r="Z7" s="44" t="s">
        <v>217</v>
      </c>
      <c r="AA7" s="44" t="s">
        <v>217</v>
      </c>
      <c r="AB7" s="44" t="s">
        <v>217</v>
      </c>
      <c r="AC7" s="44" t="s">
        <v>217</v>
      </c>
    </row>
    <row r="8" spans="1:29">
      <c r="A8" s="42">
        <v>3</v>
      </c>
      <c r="B8" s="43">
        <f>IF('Task metrics - Group A'!C8&gt;0, 'Task metrics - Group A'!M8)</f>
        <v>93</v>
      </c>
      <c r="C8" s="43"/>
      <c r="D8" s="43">
        <f>IF('Task metrics - Group A'!E8&gt;0, 'Task metrics - Group A'!O8)</f>
        <v>121</v>
      </c>
      <c r="E8" s="43" t="s">
        <v>217</v>
      </c>
      <c r="F8" s="43" t="s">
        <v>217</v>
      </c>
      <c r="G8" s="43" t="s">
        <v>217</v>
      </c>
      <c r="H8" s="43">
        <f>IF('Task metrics - Group A'!I8&gt;0, 'Task metrics - Group A'!S8)</f>
        <v>172</v>
      </c>
      <c r="I8" s="43"/>
      <c r="K8" s="9">
        <v>3</v>
      </c>
      <c r="L8" s="44" t="s">
        <v>217</v>
      </c>
      <c r="M8" s="44" t="s">
        <v>217</v>
      </c>
      <c r="N8" s="44" t="s">
        <v>217</v>
      </c>
      <c r="O8" s="44">
        <f>IF('Task metrics - Group A'!AW8&gt;0, 'Task metrics - Group A'!BG8)</f>
        <v>14</v>
      </c>
      <c r="P8" s="44">
        <f>IF('Task metrics - Group A'!AX8&gt;0, 'Task metrics - Group A'!BH8)</f>
        <v>168</v>
      </c>
      <c r="Q8" s="44">
        <f>IF('Task metrics - Group A'!AY8&gt;0, 'Task metrics - Group A'!BI8)</f>
        <v>21</v>
      </c>
      <c r="R8" s="44">
        <f>IF('Task metrics - Group A'!AZ8&gt;0, 'Task metrics - Group A'!BJ8)</f>
        <v>19</v>
      </c>
      <c r="S8" s="44">
        <f>IF('Task metrics - Group A'!BA8&gt;0, 'Task metrics - Group A'!BK8)</f>
        <v>13</v>
      </c>
      <c r="U8" s="9">
        <v>3</v>
      </c>
      <c r="V8" s="44" t="s">
        <v>217</v>
      </c>
      <c r="W8" s="44" t="s">
        <v>217</v>
      </c>
      <c r="X8" s="44">
        <f>IF('Task metrics - Group A'!CM8&gt;0, 'Task metrics - Group A'!CW8)</f>
        <v>300</v>
      </c>
      <c r="Y8" s="44">
        <f>IF('Task metrics - Group A'!CN8&gt;0, 'Task metrics - Group A'!CX8)</f>
        <v>20</v>
      </c>
      <c r="Z8" s="44">
        <f>IF('Task metrics - Group A'!CO8&gt;0, 'Task metrics - Group A'!CY8)</f>
        <v>29</v>
      </c>
      <c r="AA8" s="44" t="s">
        <v>217</v>
      </c>
      <c r="AB8" s="44" t="s">
        <v>217</v>
      </c>
      <c r="AC8" s="44">
        <f>IF('Task metrics - Group A'!CR8&gt;0, 'Task metrics - Group A'!DB8)</f>
        <v>23</v>
      </c>
    </row>
    <row r="9" spans="1:29">
      <c r="A9" s="42">
        <v>4</v>
      </c>
      <c r="B9" s="43">
        <f>IF('Task metrics - Group A'!C9&gt;0, 'Task metrics - Group A'!M9)</f>
        <v>200</v>
      </c>
      <c r="C9" s="43"/>
      <c r="D9" s="43" t="s">
        <v>217</v>
      </c>
      <c r="E9" s="43" t="s">
        <v>217</v>
      </c>
      <c r="F9" s="43">
        <f>IF('Task metrics - Group A'!G9&gt;0, 'Task metrics - Group A'!Q9)</f>
        <v>83</v>
      </c>
      <c r="G9" s="43">
        <f>IF('Task metrics - Group A'!H9&gt;0, 'Task metrics - Group A'!R9)</f>
        <v>52</v>
      </c>
      <c r="H9" s="43">
        <f>IF('Task metrics - Group A'!I9&gt;0, 'Task metrics - Group A'!S9)</f>
        <v>36</v>
      </c>
      <c r="I9" s="43"/>
      <c r="K9" s="9">
        <v>4</v>
      </c>
      <c r="L9" s="44">
        <f>IF('Task metrics - Group A'!AT9&gt;0, 'Task metrics - Group A'!BD9)</f>
        <v>300</v>
      </c>
      <c r="M9" s="44">
        <f>IF('Task metrics - Group A'!AU9&gt;0, 'Task metrics - Group A'!BE9)</f>
        <v>299</v>
      </c>
      <c r="N9" s="44" t="s">
        <v>217</v>
      </c>
      <c r="O9" s="44">
        <f>IF('Task metrics - Group A'!AW9&gt;0, 'Task metrics - Group A'!BG9)</f>
        <v>33</v>
      </c>
      <c r="P9" s="44" t="s">
        <v>217</v>
      </c>
      <c r="Q9" s="44">
        <f>IF('Task metrics - Group A'!AY9&gt;0, 'Task metrics - Group A'!BI9)</f>
        <v>7</v>
      </c>
      <c r="R9" s="44" t="s">
        <v>217</v>
      </c>
      <c r="S9" s="44">
        <f>IF('Task metrics - Group A'!BA9&gt;0, 'Task metrics - Group A'!BK9)</f>
        <v>15</v>
      </c>
      <c r="U9" s="9">
        <v>4</v>
      </c>
      <c r="V9" s="44" t="s">
        <v>217</v>
      </c>
      <c r="W9" s="44" t="s">
        <v>217</v>
      </c>
      <c r="X9" s="44" t="s">
        <v>217</v>
      </c>
      <c r="Y9" s="44">
        <f>IF('Task metrics - Group A'!CN9&gt;0, 'Task metrics - Group A'!CX9)</f>
        <v>51</v>
      </c>
      <c r="Z9" s="44">
        <f>IF('Task metrics - Group A'!CO9&gt;0, 'Task metrics - Group A'!CY9)</f>
        <v>71</v>
      </c>
      <c r="AA9" s="44" t="s">
        <v>217</v>
      </c>
      <c r="AB9" s="44" t="s">
        <v>217</v>
      </c>
      <c r="AC9" s="44">
        <f>IF('Task metrics - Group A'!CR9&gt;0, 'Task metrics - Group A'!DB9)</f>
        <v>15</v>
      </c>
    </row>
    <row r="10" spans="1:29">
      <c r="A10" s="42">
        <v>5</v>
      </c>
      <c r="B10" s="43">
        <f>IF('Task metrics - Group A'!C10&gt;0, 'Task metrics - Group A'!M10)</f>
        <v>137</v>
      </c>
      <c r="C10" s="43"/>
      <c r="D10" s="43" t="s">
        <v>217</v>
      </c>
      <c r="E10" s="43" t="s">
        <v>217</v>
      </c>
      <c r="F10" s="43" t="s">
        <v>217</v>
      </c>
      <c r="G10" s="43" t="s">
        <v>217</v>
      </c>
      <c r="H10" s="43" t="s">
        <v>217</v>
      </c>
      <c r="I10" s="43"/>
      <c r="K10" s="9">
        <v>5</v>
      </c>
      <c r="L10" s="44">
        <f>IF('Task metrics - Group A'!AT10&gt;0, 'Task metrics - Group A'!BD10)</f>
        <v>196</v>
      </c>
      <c r="M10" s="44">
        <f>IF('Task metrics - Group A'!AU10&gt;0, 'Task metrics - Group A'!BE10)</f>
        <v>158</v>
      </c>
      <c r="N10" s="44" t="s">
        <v>217</v>
      </c>
      <c r="O10" s="44">
        <f>IF('Task metrics - Group A'!AW10&gt;0, 'Task metrics - Group A'!BG10)</f>
        <v>32</v>
      </c>
      <c r="P10" s="44">
        <f>IF('Task metrics - Group A'!AX10&gt;0, 'Task metrics - Group A'!BH10)</f>
        <v>31</v>
      </c>
      <c r="Q10" s="44" t="s">
        <v>217</v>
      </c>
      <c r="R10" s="44" t="s">
        <v>217</v>
      </c>
      <c r="S10" s="44">
        <f>IF('Task metrics - Group A'!BA10&gt;0, 'Task metrics - Group A'!BK10)</f>
        <v>71</v>
      </c>
      <c r="U10" s="9">
        <v>5</v>
      </c>
      <c r="V10" s="44" t="s">
        <v>217</v>
      </c>
      <c r="W10" s="44" t="s">
        <v>217</v>
      </c>
      <c r="X10" s="44">
        <f>IF('Task metrics - Group A'!CM10&gt;0, 'Task metrics - Group A'!CW10)</f>
        <v>69</v>
      </c>
      <c r="Y10" s="44" t="s">
        <v>217</v>
      </c>
      <c r="Z10" s="44">
        <f>IF('Task metrics - Group A'!CO10&gt;0, 'Task metrics - Group A'!CY10)</f>
        <v>21</v>
      </c>
      <c r="AA10" s="44">
        <f>IF('Task metrics - Group A'!CP10&gt;0, 'Task metrics - Group A'!CZ10)</f>
        <v>51</v>
      </c>
      <c r="AB10" s="44" t="s">
        <v>217</v>
      </c>
      <c r="AC10" s="44" t="s">
        <v>217</v>
      </c>
    </row>
    <row r="11" spans="1:29">
      <c r="A11" s="42">
        <v>6</v>
      </c>
      <c r="B11" s="43">
        <f>IF('Task metrics - Group A'!C11&gt;0, 'Task metrics - Group A'!M11)</f>
        <v>130</v>
      </c>
      <c r="C11" s="43"/>
      <c r="D11" s="43" t="s">
        <v>217</v>
      </c>
      <c r="E11" s="43" t="s">
        <v>217</v>
      </c>
      <c r="F11" s="43" t="s">
        <v>217</v>
      </c>
      <c r="G11" s="43">
        <f>IF('Task metrics - Group A'!H11&gt;0, 'Task metrics - Group A'!R11)</f>
        <v>71</v>
      </c>
      <c r="H11" s="43" t="s">
        <v>217</v>
      </c>
      <c r="I11" s="43"/>
      <c r="K11" s="9">
        <v>6</v>
      </c>
      <c r="L11" s="44">
        <f>IF('Task metrics - Group A'!AT11&gt;0, 'Task metrics - Group A'!BD11)</f>
        <v>127</v>
      </c>
      <c r="M11" s="44">
        <f>IF('Task metrics - Group A'!AU11&gt;0, 'Task metrics - Group A'!BE11)</f>
        <v>63</v>
      </c>
      <c r="N11" s="44">
        <f>IF('Task metrics - Group A'!AV11&gt;0, 'Task metrics - Group A'!BF11)</f>
        <v>160</v>
      </c>
      <c r="O11" s="44">
        <f>IF('Task metrics - Group A'!AW11&gt;0, 'Task metrics - Group A'!BG11)</f>
        <v>33</v>
      </c>
      <c r="P11" s="44">
        <f>IF('Task metrics - Group A'!AX11&gt;0, 'Task metrics - Group A'!BH11)</f>
        <v>61</v>
      </c>
      <c r="Q11" s="44" t="s">
        <v>217</v>
      </c>
      <c r="R11" s="44" t="s">
        <v>217</v>
      </c>
      <c r="S11" s="44">
        <f>IF('Task metrics - Group A'!BA11&gt;0, 'Task metrics - Group A'!BK11)</f>
        <v>129</v>
      </c>
      <c r="U11" s="9">
        <v>6</v>
      </c>
      <c r="V11" s="44">
        <f>IF('Task metrics - Group A'!CK11&gt;0, 'Task metrics - Group A'!CU11)</f>
        <v>259</v>
      </c>
      <c r="W11" s="44" t="s">
        <v>217</v>
      </c>
      <c r="X11" s="44" t="s">
        <v>217</v>
      </c>
      <c r="Y11" s="44" t="s">
        <v>217</v>
      </c>
      <c r="Z11" s="44">
        <f>IF('Task metrics - Group A'!CO11&gt;0, 'Task metrics - Group A'!CY11)</f>
        <v>80</v>
      </c>
      <c r="AA11" s="44" t="s">
        <v>217</v>
      </c>
      <c r="AB11" s="44" t="s">
        <v>217</v>
      </c>
      <c r="AC11" s="44">
        <f>IF('Task metrics - Group A'!CR11&gt;0, 'Task metrics - Group A'!DB11)</f>
        <v>42</v>
      </c>
    </row>
    <row r="12" spans="1:29">
      <c r="A12" s="42">
        <v>7</v>
      </c>
      <c r="B12" s="43">
        <f>IF('Task metrics - Group A'!C12&gt;0, 'Task metrics - Group A'!M12)</f>
        <v>245</v>
      </c>
      <c r="C12" s="43"/>
      <c r="D12" s="43">
        <f>IF('Task metrics - Group A'!E12&gt;0, 'Task metrics - Group A'!O12)</f>
        <v>180</v>
      </c>
      <c r="E12" s="43" t="s">
        <v>217</v>
      </c>
      <c r="F12" s="43" t="s">
        <v>217</v>
      </c>
      <c r="G12" s="43">
        <f>IF('Task metrics - Group A'!H12&gt;0, 'Task metrics - Group A'!R12)</f>
        <v>123</v>
      </c>
      <c r="H12" s="43">
        <f>IF('Task metrics - Group A'!I12&gt;0, 'Task metrics - Group A'!S12)</f>
        <v>86</v>
      </c>
      <c r="I12" s="43"/>
      <c r="K12" s="9">
        <v>7</v>
      </c>
      <c r="L12" s="44" t="s">
        <v>217</v>
      </c>
      <c r="M12" s="44">
        <f>IF('Task metrics - Group A'!AU12&gt;0, 'Task metrics - Group A'!BE12)</f>
        <v>93</v>
      </c>
      <c r="N12" s="44" t="s">
        <v>217</v>
      </c>
      <c r="O12" s="44">
        <f>IF('Task metrics - Group A'!AW12&gt;0, 'Task metrics - Group A'!BG12)</f>
        <v>116</v>
      </c>
      <c r="P12" s="44">
        <f>IF('Task metrics - Group A'!AX12&gt;0, 'Task metrics - Group A'!BH12)</f>
        <v>66</v>
      </c>
      <c r="Q12" s="44" t="s">
        <v>217</v>
      </c>
      <c r="R12" s="44">
        <f>IF('Task metrics - Group A'!AZ12&gt;0, 'Task metrics - Group A'!BJ12)</f>
        <v>91</v>
      </c>
      <c r="S12" s="44">
        <f>IF('Task metrics - Group A'!BA12&gt;0, 'Task metrics - Group A'!BK12)</f>
        <v>19</v>
      </c>
      <c r="U12" s="9">
        <v>7</v>
      </c>
      <c r="V12" s="44" t="s">
        <v>217</v>
      </c>
      <c r="W12" s="44" t="s">
        <v>217</v>
      </c>
      <c r="X12" s="44" t="s">
        <v>217</v>
      </c>
      <c r="Y12" s="44" t="s">
        <v>217</v>
      </c>
      <c r="Z12" s="44" t="s">
        <v>217</v>
      </c>
      <c r="AA12" s="44">
        <f>IF('Task metrics - Group A'!CP12&gt;0, 'Task metrics - Group A'!CZ12)</f>
        <v>176</v>
      </c>
      <c r="AB12" s="44">
        <f>IF('Task metrics - Group A'!CQ12&gt;0, 'Task metrics - Group A'!DA12)</f>
        <v>73</v>
      </c>
      <c r="AC12" s="44" t="s">
        <v>217</v>
      </c>
    </row>
    <row r="13" spans="1:29">
      <c r="A13" s="42">
        <v>8</v>
      </c>
      <c r="B13" s="43">
        <f>IF('Task metrics - Group A'!C13&gt;0, 'Task metrics - Group A'!M13)</f>
        <v>80</v>
      </c>
      <c r="C13" s="43"/>
      <c r="D13" s="43">
        <f>IF('Task metrics - Group A'!E13&gt;0, 'Task metrics - Group A'!O13)</f>
        <v>43</v>
      </c>
      <c r="E13" s="43">
        <f>IF('Task metrics - Group A'!F13&gt;0, 'Task metrics - Group A'!P13)</f>
        <v>40</v>
      </c>
      <c r="F13" s="43">
        <f>IF('Task metrics - Group A'!G13&gt;0, 'Task metrics - Group A'!Q13)</f>
        <v>61</v>
      </c>
      <c r="G13" s="43">
        <f>IF('Task metrics - Group A'!H13&gt;0, 'Task metrics - Group A'!R13)</f>
        <v>8</v>
      </c>
      <c r="H13" s="43">
        <f>IF('Task metrics - Group A'!I13&gt;0, 'Task metrics - Group A'!S13)</f>
        <v>15</v>
      </c>
      <c r="I13" s="43"/>
      <c r="K13" s="9">
        <v>8</v>
      </c>
      <c r="L13" s="44">
        <f>IF('Task metrics - Group A'!AT13&gt;0, 'Task metrics - Group A'!BD13)</f>
        <v>130</v>
      </c>
      <c r="M13" s="44">
        <f>IF('Task metrics - Group A'!AU13&gt;0, 'Task metrics - Group A'!BE13)</f>
        <v>80</v>
      </c>
      <c r="N13" s="44">
        <f>IF('Task metrics - Group A'!AV13&gt;0, 'Task metrics - Group A'!BF13)</f>
        <v>120</v>
      </c>
      <c r="O13" s="44" t="s">
        <v>217</v>
      </c>
      <c r="P13" s="44">
        <f>IF('Task metrics - Group A'!AX13&gt;0, 'Task metrics - Group A'!BH13)</f>
        <v>157</v>
      </c>
      <c r="Q13" s="44">
        <f>IF('Task metrics - Group A'!AY13&gt;0, 'Task metrics - Group A'!BI13)</f>
        <v>32</v>
      </c>
      <c r="R13" s="44" t="s">
        <v>217</v>
      </c>
      <c r="S13" s="44">
        <f>IF('Task metrics - Group A'!BA13&gt;0, 'Task metrics - Group A'!BK13)</f>
        <v>62</v>
      </c>
      <c r="U13" s="9">
        <v>8</v>
      </c>
      <c r="V13" s="44">
        <f>IF('Task metrics - Group A'!CK13&gt;0, 'Task metrics - Group A'!CU13)</f>
        <v>162</v>
      </c>
      <c r="W13" s="44" t="s">
        <v>217</v>
      </c>
      <c r="X13" s="44">
        <f>IF('Task metrics - Group A'!CM13&gt;0, 'Task metrics - Group A'!CW13)</f>
        <v>58</v>
      </c>
      <c r="Y13" s="44">
        <f>IF('Task metrics - Group A'!CN13&gt;0, 'Task metrics - Group A'!CX13)</f>
        <v>62</v>
      </c>
      <c r="Z13" s="44">
        <f>IF('Task metrics - Group A'!CO13&gt;0, 'Task metrics - Group A'!CY13)</f>
        <v>180</v>
      </c>
      <c r="AA13" s="44" t="s">
        <v>217</v>
      </c>
      <c r="AB13" s="44" t="s">
        <v>217</v>
      </c>
      <c r="AC13" s="44">
        <f>IF('Task metrics - Group A'!CR13&gt;0, 'Task metrics - Group A'!DB13)</f>
        <v>34</v>
      </c>
    </row>
    <row r="14" spans="1:29">
      <c r="A14" s="42">
        <v>9</v>
      </c>
      <c r="B14" s="43">
        <f>IF('Task metrics - Group A'!C14&gt;0, 'Task metrics - Group A'!M14)</f>
        <v>215</v>
      </c>
      <c r="C14" s="43"/>
      <c r="D14" s="43">
        <f>IF('Task metrics - Group A'!E14&gt;0, 'Task metrics - Group A'!O14)</f>
        <v>53</v>
      </c>
      <c r="E14" s="43" t="s">
        <v>217</v>
      </c>
      <c r="F14" s="43" t="s">
        <v>217</v>
      </c>
      <c r="G14" s="43">
        <f>IF('Task metrics - Group A'!H14&gt;0, 'Task metrics - Group A'!R14)</f>
        <v>11</v>
      </c>
      <c r="H14" s="43" t="s">
        <v>217</v>
      </c>
      <c r="I14" s="43"/>
      <c r="K14" s="9">
        <v>9</v>
      </c>
      <c r="L14" s="44" t="s">
        <v>217</v>
      </c>
      <c r="M14" s="44">
        <f>IF('Task metrics - Group A'!AU14&gt;0, 'Task metrics - Group A'!BE14)</f>
        <v>104</v>
      </c>
      <c r="N14" s="44" t="s">
        <v>217</v>
      </c>
      <c r="O14" s="44">
        <f>IF('Task metrics - Group A'!AW14&gt;0, 'Task metrics - Group A'!BG14)</f>
        <v>13</v>
      </c>
      <c r="P14" s="44">
        <f>IF('Task metrics - Group A'!AX14&gt;0, 'Task metrics - Group A'!BH14)</f>
        <v>93</v>
      </c>
      <c r="Q14" s="44" t="s">
        <v>217</v>
      </c>
      <c r="R14" s="44" t="s">
        <v>217</v>
      </c>
      <c r="S14" s="44">
        <f>IF('Task metrics - Group A'!BA14&gt;0, 'Task metrics - Group A'!BK14)</f>
        <v>67</v>
      </c>
      <c r="U14" s="9">
        <v>9</v>
      </c>
      <c r="V14" s="44" t="s">
        <v>217</v>
      </c>
      <c r="W14" s="44" t="s">
        <v>217</v>
      </c>
      <c r="X14" s="44" t="s">
        <v>217</v>
      </c>
      <c r="Y14" s="44" t="s">
        <v>217</v>
      </c>
      <c r="Z14" s="44">
        <f>IF('Task metrics - Group A'!CO14&gt;0, 'Task metrics - Group A'!CY14)</f>
        <v>89</v>
      </c>
      <c r="AA14" s="44" t="s">
        <v>217</v>
      </c>
      <c r="AB14" s="44" t="s">
        <v>217</v>
      </c>
      <c r="AC14" s="44" t="s">
        <v>217</v>
      </c>
    </row>
    <row r="15" spans="1:29">
      <c r="A15" s="42">
        <v>10</v>
      </c>
      <c r="B15" s="43" t="s">
        <v>217</v>
      </c>
      <c r="C15" s="43"/>
      <c r="D15" s="43" t="s">
        <v>217</v>
      </c>
      <c r="E15" s="43" t="s">
        <v>217</v>
      </c>
      <c r="F15" s="43">
        <f>IF('Task metrics - Group A'!G15&gt;0, 'Task metrics - Group A'!Q15)</f>
        <v>87</v>
      </c>
      <c r="G15" s="43">
        <f>IF('Task metrics - Group A'!H15&gt;0, 'Task metrics - Group A'!R15)</f>
        <v>143</v>
      </c>
      <c r="H15" s="43" t="s">
        <v>217</v>
      </c>
      <c r="I15" s="43"/>
      <c r="K15" s="9">
        <v>10</v>
      </c>
      <c r="L15" s="44">
        <f>IF('Task metrics - Group A'!AT15&gt;0, 'Task metrics - Group A'!BD15)</f>
        <v>176</v>
      </c>
      <c r="M15" s="44">
        <f>IF('Task metrics - Group A'!AU15&gt;0, 'Task metrics - Group A'!BE15)</f>
        <v>77</v>
      </c>
      <c r="N15" s="44">
        <f>IF('Task metrics - Group A'!AV15&gt;0, 'Task metrics - Group A'!BF15)</f>
        <v>89</v>
      </c>
      <c r="O15" s="44">
        <f>IF('Task metrics - Group A'!AW15&gt;0, 'Task metrics - Group A'!BG15)</f>
        <v>78</v>
      </c>
      <c r="P15" s="44">
        <f>IF('Task metrics - Group A'!AX15&gt;0, 'Task metrics - Group A'!BH15)</f>
        <v>144</v>
      </c>
      <c r="Q15" s="44">
        <f>IF('Task metrics - Group A'!AY15&gt;0, 'Task metrics - Group A'!BI15)</f>
        <v>53</v>
      </c>
      <c r="R15" s="44">
        <f>IF('Task metrics - Group A'!AZ15&gt;0, 'Task metrics - Group A'!BJ15)</f>
        <v>88</v>
      </c>
      <c r="S15" s="44">
        <f>IF('Task metrics - Group A'!BA15&gt;0, 'Task metrics - Group A'!BK15)</f>
        <v>77</v>
      </c>
      <c r="U15" s="9">
        <v>10</v>
      </c>
      <c r="V15" s="44" t="s">
        <v>217</v>
      </c>
      <c r="W15" s="44" t="s">
        <v>217</v>
      </c>
      <c r="X15" s="44">
        <f>IF('Task metrics - Group A'!CM15&gt;0, 'Task metrics - Group A'!CW15)</f>
        <v>180</v>
      </c>
      <c r="Y15" s="44">
        <f>IF('Task metrics - Group A'!CN15&gt;0, 'Task metrics - Group A'!CX15)</f>
        <v>81</v>
      </c>
      <c r="Z15" s="44" t="s">
        <v>217</v>
      </c>
      <c r="AA15" s="44" t="s">
        <v>217</v>
      </c>
      <c r="AB15" s="44" t="s">
        <v>217</v>
      </c>
      <c r="AC15" s="44">
        <f>IF('Task metrics - Group A'!CR15&gt;0, 'Task metrics - Group A'!DB15)</f>
        <v>116</v>
      </c>
    </row>
    <row r="16" spans="1:29">
      <c r="A16" s="42">
        <v>11</v>
      </c>
      <c r="B16" s="43">
        <f>IF('Task metrics - Group A'!C16&gt;0, 'Task metrics - Group A'!M16)</f>
        <v>69</v>
      </c>
      <c r="C16" s="43"/>
      <c r="D16" s="43">
        <f>IF('Task metrics - Group A'!E16&gt;0, 'Task metrics - Group A'!O16)</f>
        <v>95</v>
      </c>
      <c r="E16" s="43" t="s">
        <v>217</v>
      </c>
      <c r="F16" s="43" t="s">
        <v>217</v>
      </c>
      <c r="G16" s="43" t="s">
        <v>217</v>
      </c>
      <c r="H16" s="43" t="s">
        <v>217</v>
      </c>
      <c r="I16" s="43"/>
      <c r="K16" s="9">
        <v>11</v>
      </c>
      <c r="L16" s="44">
        <f>IF('Task metrics - Group A'!AT16&gt;0, 'Task metrics - Group A'!BD16)</f>
        <v>162</v>
      </c>
      <c r="M16" s="44">
        <f>IF('Task metrics - Group A'!AU16&gt;0, 'Task metrics - Group A'!BE16)</f>
        <v>131</v>
      </c>
      <c r="N16" s="44" t="s">
        <v>217</v>
      </c>
      <c r="O16" s="44">
        <f>IF('Task metrics - Group A'!AW16&gt;0, 'Task metrics - Group A'!BG16)</f>
        <v>16</v>
      </c>
      <c r="P16" s="44">
        <f>IF('Task metrics - Group A'!AX16&gt;0, 'Task metrics - Group A'!BH16)</f>
        <v>56</v>
      </c>
      <c r="Q16" s="44">
        <f>IF('Task metrics - Group A'!AY16&gt;0, 'Task metrics - Group A'!BI16)</f>
        <v>6</v>
      </c>
      <c r="R16" s="44">
        <f>IF('Task metrics - Group A'!AZ16&gt;0, 'Task metrics - Group A'!BJ16)</f>
        <v>94</v>
      </c>
      <c r="S16" s="44">
        <f>IF('Task metrics - Group A'!BA16&gt;0, 'Task metrics - Group A'!BK16)</f>
        <v>28</v>
      </c>
      <c r="U16" s="9">
        <v>11</v>
      </c>
      <c r="V16" s="44" t="s">
        <v>217</v>
      </c>
      <c r="W16" s="44">
        <f>IF('Task metrics - Group A'!CL16&gt;0, 'Task metrics - Group A'!CV16)</f>
        <v>51</v>
      </c>
      <c r="X16" s="44" t="s">
        <v>217</v>
      </c>
      <c r="Y16" s="44" t="s">
        <v>217</v>
      </c>
      <c r="Z16" s="44" t="s">
        <v>217</v>
      </c>
      <c r="AA16" s="44">
        <f>IF('Task metrics - Group A'!CP16&gt;0, 'Task metrics - Group A'!CZ16)</f>
        <v>120</v>
      </c>
      <c r="AB16" s="44">
        <f>IF('Task metrics - Group A'!CQ16&gt;0, 'Task metrics - Group A'!DA16)</f>
        <v>47</v>
      </c>
      <c r="AC16" s="44">
        <f>IF('Task metrics - Group A'!CR16&gt;0, 'Task metrics - Group A'!DB16)</f>
        <v>30</v>
      </c>
    </row>
    <row r="17" spans="1:29">
      <c r="A17" s="42">
        <v>12</v>
      </c>
      <c r="B17" s="43">
        <f>IF('Task metrics - Group A'!C17&gt;0, 'Task metrics - Group A'!M17)</f>
        <v>148</v>
      </c>
      <c r="C17" s="43"/>
      <c r="D17" s="43">
        <f>IF('Task metrics - Group A'!E17&gt;0, 'Task metrics - Group A'!O17)</f>
        <v>180</v>
      </c>
      <c r="E17" s="43">
        <f>IF('Task metrics - Group A'!F17&gt;0, 'Task metrics - Group A'!P17)</f>
        <v>63</v>
      </c>
      <c r="F17" s="43" t="s">
        <v>217</v>
      </c>
      <c r="G17" s="43">
        <f>IF('Task metrics - Group A'!H17&gt;0, 'Task metrics - Group A'!R17)</f>
        <v>4</v>
      </c>
      <c r="H17" s="43" t="s">
        <v>217</v>
      </c>
      <c r="I17" s="43"/>
      <c r="K17" s="9">
        <v>12</v>
      </c>
      <c r="L17" s="44">
        <f>IF('Task metrics - Group A'!AT17&gt;0, 'Task metrics - Group A'!BD17)</f>
        <v>112</v>
      </c>
      <c r="M17" s="44">
        <f>IF('Task metrics - Group A'!AU17&gt;0, 'Task metrics - Group A'!BE17)</f>
        <v>62</v>
      </c>
      <c r="N17" s="44">
        <f>IF('Task metrics - Group A'!AV17&gt;0, 'Task metrics - Group A'!BF17)</f>
        <v>79</v>
      </c>
      <c r="O17" s="44">
        <f>IF('Task metrics - Group A'!AW17&gt;0, 'Task metrics - Group A'!BG17)</f>
        <v>103</v>
      </c>
      <c r="P17" s="44">
        <f>IF('Task metrics - Group A'!AX17&gt;0, 'Task metrics - Group A'!BH17)</f>
        <v>39</v>
      </c>
      <c r="Q17" s="44" t="s">
        <v>217</v>
      </c>
      <c r="R17" s="44" t="s">
        <v>217</v>
      </c>
      <c r="S17" s="44">
        <f>IF('Task metrics - Group A'!BA17&gt;0, 'Task metrics - Group A'!BK17)</f>
        <v>17</v>
      </c>
      <c r="U17" s="9">
        <v>12</v>
      </c>
      <c r="V17" s="44">
        <f>IF('Task metrics - Group A'!CK17&gt;0, 'Task metrics - Group A'!CU17)</f>
        <v>300</v>
      </c>
      <c r="W17" s="44">
        <f>IF('Task metrics - Group A'!CL17&gt;0, 'Task metrics - Group A'!CV17)</f>
        <v>180</v>
      </c>
      <c r="X17" s="44">
        <f>IF('Task metrics - Group A'!CM17&gt;0, 'Task metrics - Group A'!CW17)</f>
        <v>90</v>
      </c>
      <c r="Y17" s="44">
        <f>IF('Task metrics - Group A'!CN17&gt;0, 'Task metrics - Group A'!CX17)</f>
        <v>89</v>
      </c>
      <c r="Z17" s="44">
        <f>IF('Task metrics - Group A'!CO17&gt;0, 'Task metrics - Group A'!CY17)</f>
        <v>80</v>
      </c>
      <c r="AA17" s="44">
        <f>IF('Task metrics - Group A'!CP17&gt;0, 'Task metrics - Group A'!CZ17)</f>
        <v>70</v>
      </c>
      <c r="AB17" s="44">
        <f>IF('Task metrics - Group A'!CQ17&gt;0, 'Task metrics - Group A'!DA17)</f>
        <v>34</v>
      </c>
      <c r="AC17" s="44">
        <f>IF('Task metrics - Group A'!CR17&gt;0, 'Task metrics - Group A'!DB17)</f>
        <v>15</v>
      </c>
    </row>
    <row r="18" spans="1:29">
      <c r="A18" s="42">
        <v>13</v>
      </c>
      <c r="B18" s="43">
        <f>IF('Task metrics - Group A'!C18&gt;0, 'Task metrics - Group A'!M18)</f>
        <v>68</v>
      </c>
      <c r="C18" s="43"/>
      <c r="D18" s="43">
        <f>IF('Task metrics - Group A'!E18&gt;0, 'Task metrics - Group A'!O18)</f>
        <v>88</v>
      </c>
      <c r="E18" s="43" t="s">
        <v>217</v>
      </c>
      <c r="F18" s="43">
        <f>IF('Task metrics - Group A'!G18&gt;0, 'Task metrics - Group A'!Q18)</f>
        <v>57</v>
      </c>
      <c r="G18" s="43">
        <f>IF('Task metrics - Group A'!H18&gt;0, 'Task metrics - Group A'!R18)</f>
        <v>77</v>
      </c>
      <c r="H18" s="43">
        <f>IF('Task metrics - Group A'!I18&gt;0, 'Task metrics - Group A'!S18)</f>
        <v>34</v>
      </c>
      <c r="I18" s="43"/>
      <c r="K18" s="9">
        <v>13</v>
      </c>
      <c r="L18" s="44">
        <f>IF('Task metrics - Group A'!AT18&gt;0, 'Task metrics - Group A'!BD18)</f>
        <v>186</v>
      </c>
      <c r="M18" s="44">
        <f>IF('Task metrics - Group A'!AU18&gt;0, 'Task metrics - Group A'!BE18)</f>
        <v>50</v>
      </c>
      <c r="N18" s="44">
        <f>IF('Task metrics - Group A'!AV18&gt;0, 'Task metrics - Group A'!BF18)</f>
        <v>99</v>
      </c>
      <c r="O18" s="44">
        <f>IF('Task metrics - Group A'!AW18&gt;0, 'Task metrics - Group A'!BG18)</f>
        <v>18</v>
      </c>
      <c r="P18" s="44">
        <f>IF('Task metrics - Group A'!AX18&gt;0, 'Task metrics - Group A'!BH18)</f>
        <v>140</v>
      </c>
      <c r="Q18" s="44" t="s">
        <v>217</v>
      </c>
      <c r="R18" s="44">
        <f>IF('Task metrics - Group A'!AZ18&gt;0, 'Task metrics - Group A'!BJ18)</f>
        <v>94</v>
      </c>
      <c r="S18" s="44">
        <f>IF('Task metrics - Group A'!BA18&gt;0, 'Task metrics - Group A'!BK18)</f>
        <v>10</v>
      </c>
      <c r="U18" s="9">
        <v>13</v>
      </c>
      <c r="V18" s="44">
        <f>IF('Task metrics - Group A'!CK18&gt;0, 'Task metrics - Group A'!CU18)</f>
        <v>214</v>
      </c>
      <c r="W18" s="44">
        <f>IF('Task metrics - Group A'!CL18&gt;0, 'Task metrics - Group A'!CV18)</f>
        <v>40</v>
      </c>
      <c r="X18" s="44">
        <f>IF('Task metrics - Group A'!CM18&gt;0, 'Task metrics - Group A'!CW18)</f>
        <v>140</v>
      </c>
      <c r="Y18" s="44">
        <f>IF('Task metrics - Group A'!CN18&gt;0, 'Task metrics - Group A'!CX18)</f>
        <v>19</v>
      </c>
      <c r="Z18" s="44">
        <f>IF('Task metrics - Group A'!CO18&gt;0, 'Task metrics - Group A'!CY18)</f>
        <v>69</v>
      </c>
      <c r="AA18" s="44" t="s">
        <v>217</v>
      </c>
      <c r="AB18" s="44">
        <f>IF('Task metrics - Group A'!CQ18&gt;0, 'Task metrics - Group A'!DA18)</f>
        <v>37</v>
      </c>
      <c r="AC18" s="44" t="s">
        <v>217</v>
      </c>
    </row>
    <row r="19" spans="1:29">
      <c r="A19" s="42">
        <v>14</v>
      </c>
      <c r="B19" s="43">
        <f>IF('Task metrics - Group A'!C19&gt;0, 'Task metrics - Group A'!M19)</f>
        <v>109</v>
      </c>
      <c r="C19" s="43"/>
      <c r="D19" s="43">
        <f>IF('Task metrics - Group A'!E19&gt;0, 'Task metrics - Group A'!O19)</f>
        <v>47</v>
      </c>
      <c r="E19" s="43">
        <f>IF('Task metrics - Group A'!F19&gt;0, 'Task metrics - Group A'!P19)</f>
        <v>31</v>
      </c>
      <c r="F19" s="43">
        <f>IF('Task metrics - Group A'!G19&gt;0, 'Task metrics - Group A'!Q19)</f>
        <v>23</v>
      </c>
      <c r="G19" s="43">
        <f>IF('Task metrics - Group A'!H19&gt;0, 'Task metrics - Group A'!R19)</f>
        <v>27</v>
      </c>
      <c r="H19" s="43">
        <f>IF('Task metrics - Group A'!I19&gt;0, 'Task metrics - Group A'!S19)</f>
        <v>9</v>
      </c>
      <c r="I19" s="43"/>
      <c r="K19" s="9">
        <v>14</v>
      </c>
      <c r="L19" s="44">
        <f>IF('Task metrics - Group A'!AT19&gt;0, 'Task metrics - Group A'!BD19)</f>
        <v>221</v>
      </c>
      <c r="M19" s="44">
        <f>IF('Task metrics - Group A'!AU19&gt;0, 'Task metrics - Group A'!BE19)</f>
        <v>74</v>
      </c>
      <c r="N19" s="44">
        <f>IF('Task metrics - Group A'!AV19&gt;0, 'Task metrics - Group A'!BF19)</f>
        <v>108</v>
      </c>
      <c r="O19" s="44">
        <f>IF('Task metrics - Group A'!AW19&gt;0, 'Task metrics - Group A'!BG19)</f>
        <v>32</v>
      </c>
      <c r="P19" s="44">
        <f>IF('Task metrics - Group A'!AX19&gt;0, 'Task metrics - Group A'!BH19)</f>
        <v>83</v>
      </c>
      <c r="Q19" s="44" t="s">
        <v>217</v>
      </c>
      <c r="R19" s="44" t="s">
        <v>217</v>
      </c>
      <c r="S19" s="44">
        <f>IF('Task metrics - Group A'!BA19&gt;0, 'Task metrics - Group A'!BK19)</f>
        <v>67</v>
      </c>
      <c r="U19" s="9">
        <v>14</v>
      </c>
      <c r="V19" s="44">
        <f>IF('Task metrics - Group A'!CK19&gt;0, 'Task metrics - Group A'!CU19)</f>
        <v>300</v>
      </c>
      <c r="W19" s="44">
        <f>IF('Task metrics - Group A'!CL19&gt;0, 'Task metrics - Group A'!CV19)</f>
        <v>104</v>
      </c>
      <c r="X19" s="44">
        <f>IF('Task metrics - Group A'!CM19&gt;0, 'Task metrics - Group A'!CW19)</f>
        <v>62</v>
      </c>
      <c r="Y19" s="44">
        <f>IF('Task metrics - Group A'!CN19&gt;0, 'Task metrics - Group A'!CX19)</f>
        <v>108</v>
      </c>
      <c r="Z19" s="44">
        <f>IF('Task metrics - Group A'!CO19&gt;0, 'Task metrics - Group A'!CY19)</f>
        <v>109</v>
      </c>
      <c r="AA19" s="44" t="s">
        <v>217</v>
      </c>
      <c r="AB19" s="44" t="s">
        <v>217</v>
      </c>
      <c r="AC19" s="44">
        <f>IF('Task metrics - Group A'!CR19&gt;0, 'Task metrics - Group A'!DB19)</f>
        <v>112</v>
      </c>
    </row>
    <row r="20" spans="1:29">
      <c r="A20" s="42">
        <v>15</v>
      </c>
      <c r="B20" s="43">
        <f>IF('Task metrics - Group A'!C20&gt;0, 'Task metrics - Group A'!M20)</f>
        <v>76</v>
      </c>
      <c r="C20" s="43"/>
      <c r="D20" s="43">
        <f>IF('Task metrics - Group A'!E20&gt;0, 'Task metrics - Group A'!O20)</f>
        <v>93</v>
      </c>
      <c r="E20" s="43" t="s">
        <v>217</v>
      </c>
      <c r="F20" s="43">
        <f>IF('Task metrics - Group A'!G20&gt;0, 'Task metrics - Group A'!Q20)</f>
        <v>52</v>
      </c>
      <c r="G20" s="43">
        <f>IF('Task metrics - Group A'!H20&gt;0, 'Task metrics - Group A'!R20)</f>
        <v>28</v>
      </c>
      <c r="H20" s="43" t="s">
        <v>217</v>
      </c>
      <c r="I20" s="43"/>
      <c r="K20" s="9">
        <v>15</v>
      </c>
      <c r="L20" s="44">
        <f>IF('Task metrics - Group A'!AT20&gt;0, 'Task metrics - Group A'!BD20)</f>
        <v>91</v>
      </c>
      <c r="M20" s="44">
        <f>IF('Task metrics - Group A'!AU20&gt;0, 'Task metrics - Group A'!BE20)</f>
        <v>54</v>
      </c>
      <c r="N20" s="44">
        <f>IF('Task metrics - Group A'!AV20&gt;0, 'Task metrics - Group A'!BF20)</f>
        <v>73</v>
      </c>
      <c r="O20" s="44">
        <f>IF('Task metrics - Group A'!AW20&gt;0, 'Task metrics - Group A'!BG20)</f>
        <v>25</v>
      </c>
      <c r="P20" s="44">
        <f>IF('Task metrics - Group A'!AX20&gt;0, 'Task metrics - Group A'!BH20)</f>
        <v>149</v>
      </c>
      <c r="Q20" s="44">
        <f>IF('Task metrics - Group A'!AY20&gt;0, 'Task metrics - Group A'!BI20)</f>
        <v>10</v>
      </c>
      <c r="R20" s="44" t="s">
        <v>217</v>
      </c>
      <c r="S20" s="44">
        <f>IF('Task metrics - Group A'!BA20&gt;0, 'Task metrics - Group A'!BK20)</f>
        <v>13</v>
      </c>
      <c r="U20" s="9">
        <v>15</v>
      </c>
      <c r="V20" s="44" t="s">
        <v>217</v>
      </c>
      <c r="W20" s="44" t="s">
        <v>217</v>
      </c>
      <c r="X20" s="44" t="s">
        <v>217</v>
      </c>
      <c r="Y20" s="44" t="s">
        <v>217</v>
      </c>
      <c r="Z20" s="44" t="s">
        <v>217</v>
      </c>
      <c r="AA20" s="44">
        <f>IF('Task metrics - Group A'!CP20&gt;0, 'Task metrics - Group A'!CZ20)</f>
        <v>79</v>
      </c>
      <c r="AB20" s="44">
        <f>IF('Task metrics - Group A'!CQ20&gt;0, 'Task metrics - Group A'!DA20)</f>
        <v>36</v>
      </c>
      <c r="AC20" s="44">
        <f>IF('Task metrics - Group A'!CR20&gt;0, 'Task metrics - Group A'!DB20)</f>
        <v>104</v>
      </c>
    </row>
    <row r="21" spans="1:29">
      <c r="A21" s="42">
        <v>16</v>
      </c>
      <c r="B21" s="43">
        <f>IF('Task metrics - Group A'!C21&gt;0, 'Task metrics - Group A'!M21)</f>
        <v>274</v>
      </c>
      <c r="C21" s="43"/>
      <c r="D21" s="43">
        <f>IF('Task metrics - Group A'!E21&gt;0, 'Task metrics - Group A'!O21)</f>
        <v>180</v>
      </c>
      <c r="E21" s="43" t="s">
        <v>217</v>
      </c>
      <c r="F21" s="43" t="s">
        <v>217</v>
      </c>
      <c r="G21" s="43">
        <f>IF('Task metrics - Group A'!H21&gt;0, 'Task metrics - Group A'!R21)</f>
        <v>76</v>
      </c>
      <c r="H21" s="43">
        <f>IF('Task metrics - Group A'!I21&gt;0, 'Task metrics - Group A'!S21)</f>
        <v>60</v>
      </c>
      <c r="I21" s="43"/>
      <c r="K21" s="9">
        <v>16</v>
      </c>
      <c r="L21" s="44">
        <f>IF('Task metrics - Group A'!AT21&gt;0, 'Task metrics - Group A'!BD21)</f>
        <v>300</v>
      </c>
      <c r="M21" s="44">
        <f>IF('Task metrics - Group A'!AU21&gt;0, 'Task metrics - Group A'!BE21)</f>
        <v>180</v>
      </c>
      <c r="N21" s="44" t="s">
        <v>217</v>
      </c>
      <c r="O21" s="44">
        <f>IF('Task metrics - Group A'!AW21&gt;0, 'Task metrics - Group A'!BG21)</f>
        <v>96</v>
      </c>
      <c r="P21" s="44">
        <f>IF('Task metrics - Group A'!AX21&gt;0, 'Task metrics - Group A'!BH21)</f>
        <v>180</v>
      </c>
      <c r="Q21" s="44">
        <f>IF('Task metrics - Group A'!AY21&gt;0, 'Task metrics - Group A'!BI21)</f>
        <v>10</v>
      </c>
      <c r="R21" s="44" t="s">
        <v>217</v>
      </c>
      <c r="S21" s="44">
        <f>IF('Task metrics - Group A'!BA21&gt;0, 'Task metrics - Group A'!BK21)</f>
        <v>107</v>
      </c>
      <c r="U21" s="9">
        <v>16</v>
      </c>
      <c r="V21" s="44" t="s">
        <v>217</v>
      </c>
      <c r="W21" s="44" t="s">
        <v>217</v>
      </c>
      <c r="X21" s="44">
        <f>IF('Task metrics - Group A'!CM21&gt;0, 'Task metrics - Group A'!CW21)</f>
        <v>178</v>
      </c>
      <c r="Y21" s="44" t="s">
        <v>217</v>
      </c>
      <c r="Z21" s="44" t="s">
        <v>217</v>
      </c>
      <c r="AA21" s="44" t="s">
        <v>217</v>
      </c>
      <c r="AB21" s="44" t="s">
        <v>217</v>
      </c>
      <c r="AC21" s="44">
        <f>IF('Task metrics - Group A'!CR21&gt;0, 'Task metrics - Group A'!DB21)</f>
        <v>96</v>
      </c>
    </row>
    <row r="22" spans="1:29">
      <c r="A22" s="42">
        <v>17</v>
      </c>
      <c r="B22" s="43">
        <f>IF('Task metrics - Group A'!C22&gt;0, 'Task metrics - Group A'!M22)</f>
        <v>264</v>
      </c>
      <c r="C22" s="43"/>
      <c r="D22" s="43" t="s">
        <v>217</v>
      </c>
      <c r="E22" s="43">
        <f>IF('Task metrics - Group A'!F22&gt;0, 'Task metrics - Group A'!P22)</f>
        <v>100</v>
      </c>
      <c r="F22" s="43" t="s">
        <v>217</v>
      </c>
      <c r="G22" s="43">
        <f>IF('Task metrics - Group A'!H22&gt;0, 'Task metrics - Group A'!R22)</f>
        <v>60</v>
      </c>
      <c r="H22" s="43" t="s">
        <v>217</v>
      </c>
      <c r="I22" s="43"/>
      <c r="K22" s="9">
        <v>17</v>
      </c>
      <c r="L22" s="44">
        <f>IF('Task metrics - Group A'!AT22&gt;0, 'Task metrics - Group A'!BD22)</f>
        <v>165</v>
      </c>
      <c r="M22" s="44">
        <f>IF('Task metrics - Group A'!AU22&gt;0, 'Task metrics - Group A'!BE22)</f>
        <v>161</v>
      </c>
      <c r="N22" s="44" t="s">
        <v>217</v>
      </c>
      <c r="O22" s="44">
        <f>IF('Task metrics - Group A'!AW22&gt;0, 'Task metrics - Group A'!BG22)</f>
        <v>24</v>
      </c>
      <c r="P22" s="44" t="s">
        <v>217</v>
      </c>
      <c r="Q22" s="44">
        <f>IF('Task metrics - Group A'!AY22&gt;0, 'Task metrics - Group A'!BI22)</f>
        <v>35</v>
      </c>
      <c r="R22" s="44" t="s">
        <v>217</v>
      </c>
      <c r="S22" s="44">
        <f>IF('Task metrics - Group A'!BA22&gt;0, 'Task metrics - Group A'!BK22)</f>
        <v>20</v>
      </c>
      <c r="U22" s="9">
        <v>17</v>
      </c>
      <c r="V22" s="44" t="s">
        <v>217</v>
      </c>
      <c r="W22" s="44" t="s">
        <v>217</v>
      </c>
      <c r="X22" s="44">
        <f>IF('Task metrics - Group A'!CM22&gt;0, 'Task metrics - Group A'!CW22)</f>
        <v>111</v>
      </c>
      <c r="Y22" s="44" t="s">
        <v>217</v>
      </c>
      <c r="Z22" s="44">
        <f>IF('Task metrics - Group A'!CO22&gt;0, 'Task metrics - Group A'!CY22)</f>
        <v>39</v>
      </c>
      <c r="AA22" s="44" t="s">
        <v>217</v>
      </c>
      <c r="AB22" s="44">
        <f>IF('Task metrics - Group A'!CQ22&gt;0, 'Task metrics - Group A'!DA22)</f>
        <v>179</v>
      </c>
      <c r="AC22" s="44">
        <f>IF('Task metrics - Group A'!CR22&gt;0, 'Task metrics - Group A'!DB22)</f>
        <v>43</v>
      </c>
    </row>
    <row r="23" spans="1:29">
      <c r="A23" s="42">
        <v>18</v>
      </c>
      <c r="B23" s="43">
        <f>IF('Task metrics - Group A'!C23&gt;0, 'Task metrics - Group A'!M23)</f>
        <v>176</v>
      </c>
      <c r="C23" s="43"/>
      <c r="D23" s="43">
        <f>IF('Task metrics - Group A'!E23&gt;0, 'Task metrics - Group A'!O23)</f>
        <v>179</v>
      </c>
      <c r="E23" s="43" t="s">
        <v>217</v>
      </c>
      <c r="F23" s="43" t="s">
        <v>217</v>
      </c>
      <c r="G23" s="43">
        <f>IF('Task metrics - Group A'!H23&gt;0, 'Task metrics - Group A'!R23)</f>
        <v>80</v>
      </c>
      <c r="H23" s="43" t="s">
        <v>217</v>
      </c>
      <c r="I23" s="43"/>
      <c r="K23" s="9">
        <v>18</v>
      </c>
      <c r="L23" s="44">
        <f>IF('Task metrics - Group A'!AT23&gt;0, 'Task metrics - Group A'!BD23)</f>
        <v>179</v>
      </c>
      <c r="M23" s="44" t="s">
        <v>217</v>
      </c>
      <c r="N23" s="44">
        <f>IF('Task metrics - Group A'!AV23&gt;0, 'Task metrics - Group A'!BF23)</f>
        <v>179</v>
      </c>
      <c r="O23" s="44">
        <f>IF('Task metrics - Group A'!AW23&gt;0, 'Task metrics - Group A'!BG23)</f>
        <v>39</v>
      </c>
      <c r="P23" s="44">
        <f>IF('Task metrics - Group A'!AX23&gt;0, 'Task metrics - Group A'!BH23)</f>
        <v>125</v>
      </c>
      <c r="Q23" s="44">
        <f>IF('Task metrics - Group A'!AY23&gt;0, 'Task metrics - Group A'!BI23)</f>
        <v>7</v>
      </c>
      <c r="R23" s="44" t="s">
        <v>217</v>
      </c>
      <c r="S23" s="44">
        <f>IF('Task metrics - Group A'!BA23&gt;0, 'Task metrics - Group A'!BK23)</f>
        <v>17</v>
      </c>
      <c r="U23" s="9">
        <v>18</v>
      </c>
      <c r="V23" s="44" t="s">
        <v>217</v>
      </c>
      <c r="W23" s="44" t="s">
        <v>217</v>
      </c>
      <c r="X23" s="44" t="s">
        <v>217</v>
      </c>
      <c r="Y23" s="44" t="s">
        <v>217</v>
      </c>
      <c r="Z23" s="44" t="s">
        <v>217</v>
      </c>
      <c r="AA23" s="44" t="s">
        <v>217</v>
      </c>
      <c r="AB23" s="44" t="s">
        <v>217</v>
      </c>
      <c r="AC23" s="44" t="s">
        <v>217</v>
      </c>
    </row>
    <row r="24" spans="1:29">
      <c r="A24" s="42">
        <v>19</v>
      </c>
      <c r="B24" s="43">
        <f>IF('Task metrics - Group A'!C24&gt;0, 'Task metrics - Group A'!M24)</f>
        <v>214</v>
      </c>
      <c r="C24" s="43"/>
      <c r="D24" s="43">
        <f>IF('Task metrics - Group A'!E24&gt;0, 'Task metrics - Group A'!O24)</f>
        <v>137</v>
      </c>
      <c r="E24" s="43" t="s">
        <v>217</v>
      </c>
      <c r="F24" s="43" t="s">
        <v>217</v>
      </c>
      <c r="G24" s="43" t="s">
        <v>217</v>
      </c>
      <c r="H24" s="43" t="s">
        <v>217</v>
      </c>
      <c r="I24" s="43"/>
      <c r="K24" s="9">
        <v>19</v>
      </c>
      <c r="L24" s="44" t="s">
        <v>217</v>
      </c>
      <c r="M24" s="44">
        <f>IF('Task metrics - Group A'!AU24&gt;0, 'Task metrics - Group A'!BE24)</f>
        <v>101</v>
      </c>
      <c r="N24" s="44">
        <f>IF('Task metrics - Group A'!AV24&gt;0, 'Task metrics - Group A'!BF24)</f>
        <v>179</v>
      </c>
      <c r="O24" s="44">
        <f>IF('Task metrics - Group A'!AW24&gt;0, 'Task metrics - Group A'!BG24)</f>
        <v>141</v>
      </c>
      <c r="P24" s="44" t="s">
        <v>217</v>
      </c>
      <c r="Q24" s="44">
        <f>IF('Task metrics - Group A'!AY24&gt;0, 'Task metrics - Group A'!BI24)</f>
        <v>69</v>
      </c>
      <c r="R24" s="44" t="s">
        <v>217</v>
      </c>
      <c r="S24" s="44">
        <f>IF('Task metrics - Group A'!BA24&gt;0, 'Task metrics - Group A'!BK24)</f>
        <v>31</v>
      </c>
      <c r="U24" s="9">
        <v>19</v>
      </c>
      <c r="V24" s="44">
        <f>IF('Task metrics - Group A'!CK24&gt;0, 'Task metrics - Group A'!CU24)</f>
        <v>194</v>
      </c>
      <c r="W24" s="44">
        <f>IF('Task metrics - Group A'!CL24&gt;0, 'Task metrics - Group A'!CV24)</f>
        <v>122</v>
      </c>
      <c r="X24" s="44">
        <f>IF('Task metrics - Group A'!CM24&gt;0, 'Task metrics - Group A'!CW24)</f>
        <v>174</v>
      </c>
      <c r="Y24" s="44">
        <f>IF('Task metrics - Group A'!CN24&gt;0, 'Task metrics - Group A'!CX24)</f>
        <v>65</v>
      </c>
      <c r="Z24" s="44">
        <f>IF('Task metrics - Group A'!CO24&gt;0, 'Task metrics - Group A'!CY24)</f>
        <v>127</v>
      </c>
      <c r="AA24" s="44">
        <f>IF('Task metrics - Group A'!CP24&gt;0, 'Task metrics - Group A'!CZ24)</f>
        <v>63</v>
      </c>
      <c r="AB24" s="44">
        <f>IF('Task metrics - Group A'!CQ24&gt;0, 'Task metrics - Group A'!DA24)</f>
        <v>61</v>
      </c>
      <c r="AC24" s="44">
        <f>IF('Task metrics - Group A'!CR24&gt;0, 'Task metrics - Group A'!DB24)</f>
        <v>180</v>
      </c>
    </row>
    <row r="25" spans="1:29">
      <c r="A25" s="42">
        <v>20</v>
      </c>
      <c r="B25" s="43">
        <f>IF('Task metrics - Group A'!C25&gt;0, 'Task metrics - Group A'!M25)</f>
        <v>47</v>
      </c>
      <c r="C25" s="43"/>
      <c r="D25" s="43">
        <f>IF('Task metrics - Group A'!E25&gt;0, 'Task metrics - Group A'!O25)</f>
        <v>159</v>
      </c>
      <c r="E25" s="43" t="s">
        <v>217</v>
      </c>
      <c r="F25" s="43" t="s">
        <v>217</v>
      </c>
      <c r="G25" s="43" t="s">
        <v>217</v>
      </c>
      <c r="H25" s="43">
        <f>IF('Task metrics - Group A'!I25&gt;0, 'Task metrics - Group A'!S25)</f>
        <v>21</v>
      </c>
      <c r="I25" s="43"/>
      <c r="K25" s="9">
        <v>20</v>
      </c>
      <c r="L25" s="44">
        <f>IF('Task metrics - Group A'!AT25&gt;0, 'Task metrics - Group A'!BD25)</f>
        <v>127</v>
      </c>
      <c r="M25" s="44">
        <f>IF('Task metrics - Group A'!AU25&gt;0, 'Task metrics - Group A'!BE25)</f>
        <v>31</v>
      </c>
      <c r="N25" s="44">
        <f>IF('Task metrics - Group A'!AV25&gt;0, 'Task metrics - Group A'!BF25)</f>
        <v>45</v>
      </c>
      <c r="O25" s="44">
        <f>IF('Task metrics - Group A'!AW25&gt;0, 'Task metrics - Group A'!BG25)</f>
        <v>10</v>
      </c>
      <c r="P25" s="44">
        <f>IF('Task metrics - Group A'!AX25&gt;0, 'Task metrics - Group A'!BH25)</f>
        <v>28</v>
      </c>
      <c r="Q25" s="44">
        <f>IF('Task metrics - Group A'!AY25&gt;0, 'Task metrics - Group A'!BI25)</f>
        <v>24</v>
      </c>
      <c r="R25" s="44" t="s">
        <v>217</v>
      </c>
      <c r="S25" s="44">
        <f>IF('Task metrics - Group A'!BA25&gt;0, 'Task metrics - Group A'!BK25)</f>
        <v>16</v>
      </c>
      <c r="U25" s="9">
        <v>20</v>
      </c>
      <c r="V25" s="44">
        <f>IF('Task metrics - Group A'!CK25&gt;0, 'Task metrics - Group A'!CU25)</f>
        <v>153</v>
      </c>
      <c r="W25" s="44">
        <f>IF('Task metrics - Group A'!CL25&gt;0, 'Task metrics - Group A'!CV25)</f>
        <v>43</v>
      </c>
      <c r="X25" s="44">
        <f>IF('Task metrics - Group A'!CM25&gt;0, 'Task metrics - Group A'!CW25)</f>
        <v>96</v>
      </c>
      <c r="Y25" s="44">
        <f>IF('Task metrics - Group A'!CN25&gt;0, 'Task metrics - Group A'!CX25)</f>
        <v>39</v>
      </c>
      <c r="Z25" s="44">
        <f>IF('Task metrics - Group A'!CO25&gt;0, 'Task metrics - Group A'!CY25)</f>
        <v>62</v>
      </c>
      <c r="AA25" s="44" t="s">
        <v>217</v>
      </c>
      <c r="AB25" s="44">
        <f>IF('Task metrics - Group A'!CQ25&gt;0, 'Task metrics - Group A'!DA25)</f>
        <v>54</v>
      </c>
      <c r="AC25" s="44">
        <f>IF('Task metrics - Group A'!CR25&gt;0, 'Task metrics - Group A'!DB25)</f>
        <v>19</v>
      </c>
    </row>
    <row r="26" spans="1:29">
      <c r="A26" s="42">
        <v>21</v>
      </c>
      <c r="B26" s="43">
        <f>IF('Task metrics - Group A'!C26&gt;0, 'Task metrics - Group A'!M26)</f>
        <v>164</v>
      </c>
      <c r="C26" s="43"/>
      <c r="D26" s="43" t="s">
        <v>217</v>
      </c>
      <c r="E26" s="43">
        <f>IF('Task metrics - Group A'!F26&gt;0, 'Task metrics - Group A'!P26)</f>
        <v>82</v>
      </c>
      <c r="F26" s="43">
        <f>IF('Task metrics - Group A'!G26&gt;0, 'Task metrics - Group A'!Q26)</f>
        <v>93</v>
      </c>
      <c r="G26" s="43">
        <f>IF('Task metrics - Group A'!H26&gt;0, 'Task metrics - Group A'!R26)</f>
        <v>10</v>
      </c>
      <c r="H26" s="43" t="s">
        <v>217</v>
      </c>
      <c r="I26" s="43"/>
      <c r="K26" s="9">
        <v>21</v>
      </c>
      <c r="L26" s="44">
        <f>IF('Task metrics - Group A'!AT26&gt;0, 'Task metrics - Group A'!BD26)</f>
        <v>257</v>
      </c>
      <c r="M26" s="44">
        <f>IF('Task metrics - Group A'!AU26&gt;0, 'Task metrics - Group A'!BE26)</f>
        <v>95</v>
      </c>
      <c r="N26" s="44">
        <f>IF('Task metrics - Group A'!AV26&gt;0, 'Task metrics - Group A'!BF26)</f>
        <v>179</v>
      </c>
      <c r="O26" s="44" t="s">
        <v>217</v>
      </c>
      <c r="P26" s="44" t="s">
        <v>217</v>
      </c>
      <c r="Q26" s="44" t="s">
        <v>217</v>
      </c>
      <c r="R26" s="44" t="s">
        <v>217</v>
      </c>
      <c r="S26" s="44">
        <f>IF('Task metrics - Group A'!BA26&gt;0, 'Task metrics - Group A'!BK26)</f>
        <v>143</v>
      </c>
      <c r="U26" s="9">
        <v>21</v>
      </c>
      <c r="V26" s="44" t="s">
        <v>217</v>
      </c>
      <c r="W26" s="44" t="s">
        <v>217</v>
      </c>
      <c r="X26" s="44" t="s">
        <v>217</v>
      </c>
      <c r="Y26" s="44" t="s">
        <v>217</v>
      </c>
      <c r="Z26" s="44" t="s">
        <v>217</v>
      </c>
      <c r="AA26" s="44" t="s">
        <v>217</v>
      </c>
      <c r="AB26" s="44" t="s">
        <v>217</v>
      </c>
      <c r="AC26" s="44">
        <f>IF('Task metrics - Group A'!CR26&gt;0, 'Task metrics - Group A'!DB26)</f>
        <v>57</v>
      </c>
    </row>
    <row r="27" spans="1:29">
      <c r="A27" s="42">
        <v>22</v>
      </c>
      <c r="B27" s="43" t="s">
        <v>217</v>
      </c>
      <c r="C27" s="43"/>
      <c r="D27" s="43" t="s">
        <v>217</v>
      </c>
      <c r="E27" s="43" t="s">
        <v>217</v>
      </c>
      <c r="F27" s="43" t="s">
        <v>217</v>
      </c>
      <c r="G27" s="43" t="s">
        <v>217</v>
      </c>
      <c r="H27" s="43" t="s">
        <v>217</v>
      </c>
      <c r="I27" s="43"/>
      <c r="K27" s="9">
        <v>22</v>
      </c>
      <c r="L27" s="44" t="s">
        <v>217</v>
      </c>
      <c r="M27" s="44">
        <f>IF('Task metrics - Group A'!AU27&gt;0, 'Task metrics - Group A'!BE27)</f>
        <v>180</v>
      </c>
      <c r="N27" s="44" t="s">
        <v>217</v>
      </c>
      <c r="O27" s="44">
        <f>IF('Task metrics - Group A'!AW27&gt;0, 'Task metrics - Group A'!BG27)</f>
        <v>39</v>
      </c>
      <c r="P27" s="44">
        <f>IF('Task metrics - Group A'!AX27&gt;0, 'Task metrics - Group A'!BH27)</f>
        <v>170</v>
      </c>
      <c r="Q27" s="44">
        <f>IF('Task metrics - Group A'!AY27&gt;0, 'Task metrics - Group A'!BI27)</f>
        <v>39</v>
      </c>
      <c r="R27" s="44" t="s">
        <v>217</v>
      </c>
      <c r="S27" s="44">
        <f>IF('Task metrics - Group A'!BA27&gt;0, 'Task metrics - Group A'!BK27)</f>
        <v>49</v>
      </c>
      <c r="U27" s="9">
        <v>22</v>
      </c>
      <c r="V27" s="44" t="s">
        <v>217</v>
      </c>
      <c r="W27" s="44" t="s">
        <v>217</v>
      </c>
      <c r="X27" s="44" t="s">
        <v>217</v>
      </c>
      <c r="Y27" s="44" t="s">
        <v>217</v>
      </c>
      <c r="Z27" s="44">
        <f>IF('Task metrics - Group A'!CO27&gt;0, 'Task metrics - Group A'!CY27)</f>
        <v>53</v>
      </c>
      <c r="AA27" s="44" t="s">
        <v>217</v>
      </c>
      <c r="AB27" s="44">
        <f>IF('Task metrics - Group A'!CQ27&gt;0, 'Task metrics - Group A'!DA27)</f>
        <v>47</v>
      </c>
      <c r="AC27" s="44" t="s">
        <v>217</v>
      </c>
    </row>
    <row r="28" spans="1:29">
      <c r="A28" s="42">
        <v>23</v>
      </c>
      <c r="B28" s="43" t="s">
        <v>217</v>
      </c>
      <c r="C28" s="43"/>
      <c r="D28" s="43" t="s">
        <v>217</v>
      </c>
      <c r="E28" s="43" t="s">
        <v>217</v>
      </c>
      <c r="F28" s="43" t="s">
        <v>217</v>
      </c>
      <c r="G28" s="43" t="s">
        <v>217</v>
      </c>
      <c r="H28" s="43" t="s">
        <v>217</v>
      </c>
      <c r="I28" s="43"/>
      <c r="K28" s="9">
        <v>23</v>
      </c>
      <c r="L28" s="44" t="s">
        <v>217</v>
      </c>
      <c r="M28" s="44" t="s">
        <v>217</v>
      </c>
      <c r="N28" s="44" t="s">
        <v>217</v>
      </c>
      <c r="O28" s="44">
        <f>IF('Task metrics - Group A'!AW28&gt;0, 'Task metrics - Group A'!BG28)</f>
        <v>35</v>
      </c>
      <c r="P28" s="44">
        <f>IF('Task metrics - Group A'!AX28&gt;0, 'Task metrics - Group A'!BH28)</f>
        <v>27</v>
      </c>
      <c r="Q28" s="44" t="s">
        <v>217</v>
      </c>
      <c r="R28" s="44" t="s">
        <v>217</v>
      </c>
      <c r="S28" s="44">
        <f>IF('Task metrics - Group A'!BA28&gt;0, 'Task metrics - Group A'!BK28)</f>
        <v>30</v>
      </c>
      <c r="U28" s="9">
        <v>23</v>
      </c>
      <c r="V28" s="44" t="s">
        <v>217</v>
      </c>
      <c r="W28" s="44" t="s">
        <v>217</v>
      </c>
      <c r="X28" s="44" t="s">
        <v>217</v>
      </c>
      <c r="Y28" s="44" t="s">
        <v>217</v>
      </c>
      <c r="Z28" s="44" t="s">
        <v>217</v>
      </c>
      <c r="AA28" s="44" t="s">
        <v>217</v>
      </c>
      <c r="AB28" s="44" t="s">
        <v>217</v>
      </c>
      <c r="AC28" s="44">
        <f>IF('Task metrics - Group A'!CR28&gt;0, 'Task metrics - Group A'!DB28)</f>
        <v>134</v>
      </c>
    </row>
    <row r="29" spans="1:29">
      <c r="A29" s="42">
        <v>24</v>
      </c>
      <c r="B29" s="43">
        <f>IF('Task metrics - Group A'!C29&gt;0, 'Task metrics - Group A'!M29)</f>
        <v>115</v>
      </c>
      <c r="C29" s="43"/>
      <c r="D29" s="43">
        <f>IF('Task metrics - Group A'!E29&gt;0, 'Task metrics - Group A'!O29)</f>
        <v>108</v>
      </c>
      <c r="E29" s="43" t="s">
        <v>217</v>
      </c>
      <c r="F29" s="43">
        <f>IF('Task metrics - Group A'!G29&gt;0, 'Task metrics - Group A'!Q29)</f>
        <v>89</v>
      </c>
      <c r="G29" s="43">
        <f>IF('Task metrics - Group A'!H29&gt;0, 'Task metrics - Group A'!R29)</f>
        <v>52</v>
      </c>
      <c r="H29" s="43" t="s">
        <v>217</v>
      </c>
      <c r="I29" s="43"/>
      <c r="K29" s="9">
        <v>24</v>
      </c>
      <c r="L29" s="44">
        <f>IF('Task metrics - Group A'!AT29&gt;0, 'Task metrics - Group A'!BD29)</f>
        <v>300</v>
      </c>
      <c r="M29" s="44">
        <f>IF('Task metrics - Group A'!AU29&gt;0, 'Task metrics - Group A'!BE29)</f>
        <v>49</v>
      </c>
      <c r="N29" s="44">
        <f>IF('Task metrics - Group A'!AV29&gt;0, 'Task metrics - Group A'!BF29)</f>
        <v>83</v>
      </c>
      <c r="O29" s="44" t="s">
        <v>217</v>
      </c>
      <c r="P29" s="44">
        <f>IF('Task metrics - Group A'!AX29&gt;0, 'Task metrics - Group A'!BH29)</f>
        <v>93</v>
      </c>
      <c r="Q29" s="44">
        <f>IF('Task metrics - Group A'!AY29&gt;0, 'Task metrics - Group A'!BI29)</f>
        <v>118</v>
      </c>
      <c r="R29" s="44" t="s">
        <v>217</v>
      </c>
      <c r="S29" s="44">
        <f>IF('Task metrics - Group A'!BA29&gt;0, 'Task metrics - Group A'!BK29)</f>
        <v>63</v>
      </c>
      <c r="U29" s="9">
        <v>24</v>
      </c>
      <c r="V29" s="44" t="s">
        <v>217</v>
      </c>
      <c r="W29" s="44">
        <f>IF('Task metrics - Group A'!CL29&gt;0, 'Task metrics - Group A'!CV29)</f>
        <v>180</v>
      </c>
      <c r="X29" s="44">
        <f>IF('Task metrics - Group A'!CM29&gt;0, 'Task metrics - Group A'!CW29)</f>
        <v>180</v>
      </c>
      <c r="Y29" s="44">
        <f>IF('Task metrics - Group A'!CN29&gt;0, 'Task metrics - Group A'!CX29)</f>
        <v>90</v>
      </c>
      <c r="Z29" s="44">
        <f>IF('Task metrics - Group A'!CO29&gt;0, 'Task metrics - Group A'!CY29)</f>
        <v>180</v>
      </c>
      <c r="AA29" s="44">
        <f>IF('Task metrics - Group A'!CP29&gt;0, 'Task metrics - Group A'!CZ29)</f>
        <v>93</v>
      </c>
      <c r="AB29" s="44">
        <f>IF('Task metrics - Group A'!CQ29&gt;0, 'Task metrics - Group A'!DA29)</f>
        <v>57</v>
      </c>
      <c r="AC29" s="44">
        <f>IF('Task metrics - Group A'!CR29&gt;0, 'Task metrics - Group A'!DB29)</f>
        <v>300</v>
      </c>
    </row>
    <row r="30" spans="1:29">
      <c r="A30" s="42">
        <v>25</v>
      </c>
      <c r="B30" s="43">
        <f>IF('Task metrics - Group A'!C30&gt;0, 'Task metrics - Group A'!M30)</f>
        <v>191</v>
      </c>
      <c r="C30" s="43"/>
      <c r="D30" s="43" t="s">
        <v>217</v>
      </c>
      <c r="E30" s="43" t="s">
        <v>217</v>
      </c>
      <c r="F30" s="43" t="s">
        <v>217</v>
      </c>
      <c r="G30" s="43" t="s">
        <v>217</v>
      </c>
      <c r="H30" s="43" t="s">
        <v>217</v>
      </c>
      <c r="I30" s="43"/>
      <c r="K30" s="9">
        <v>25</v>
      </c>
      <c r="L30" s="44" t="s">
        <v>217</v>
      </c>
      <c r="M30" s="44" t="s">
        <v>217</v>
      </c>
      <c r="N30" s="44">
        <f>IF('Task metrics - Group A'!AV30&gt;0, 'Task metrics - Group A'!BF30)</f>
        <v>59</v>
      </c>
      <c r="O30" s="44" t="s">
        <v>217</v>
      </c>
      <c r="P30" s="44" t="s">
        <v>217</v>
      </c>
      <c r="Q30" s="44" t="s">
        <v>217</v>
      </c>
      <c r="R30" s="44" t="s">
        <v>217</v>
      </c>
      <c r="S30" s="44">
        <f>IF('Task metrics - Group A'!BA30&gt;0, 'Task metrics - Group A'!BK30)</f>
        <v>71</v>
      </c>
      <c r="U30" s="9">
        <v>25</v>
      </c>
      <c r="V30" s="44" t="s">
        <v>217</v>
      </c>
      <c r="W30" s="44">
        <f>IF('Task metrics - Group A'!CL30&gt;0, 'Task metrics - Group A'!CV30)</f>
        <v>113</v>
      </c>
      <c r="X30" s="44">
        <f>IF('Task metrics - Group A'!CM30&gt;0, 'Task metrics - Group A'!CW30)</f>
        <v>83</v>
      </c>
      <c r="Y30" s="44" t="s">
        <v>217</v>
      </c>
      <c r="Z30" s="44">
        <f>IF('Task metrics - Group A'!CO30&gt;0, 'Task metrics - Group A'!CY30)</f>
        <v>115</v>
      </c>
      <c r="AA30" s="44" t="s">
        <v>217</v>
      </c>
      <c r="AB30" s="44" t="s">
        <v>217</v>
      </c>
      <c r="AC30" s="44" t="s">
        <v>217</v>
      </c>
    </row>
    <row r="31" spans="1:29">
      <c r="A31" s="42">
        <v>26</v>
      </c>
      <c r="B31" s="43">
        <f>IF('Task metrics - Group A'!C31&gt;0, 'Task metrics - Group A'!M31)</f>
        <v>200</v>
      </c>
      <c r="C31" s="43"/>
      <c r="D31" s="43" t="s">
        <v>217</v>
      </c>
      <c r="E31" s="43" t="s">
        <v>217</v>
      </c>
      <c r="F31" s="43">
        <f>IF('Task metrics - Group A'!G31&gt;0, 'Task metrics - Group A'!Q31)</f>
        <v>13</v>
      </c>
      <c r="G31" s="43" t="s">
        <v>217</v>
      </c>
      <c r="H31" s="43" t="s">
        <v>217</v>
      </c>
      <c r="I31" s="43"/>
      <c r="K31" s="9">
        <v>26</v>
      </c>
      <c r="L31" s="44" t="s">
        <v>217</v>
      </c>
      <c r="M31" s="44">
        <f>IF('Task metrics - Group A'!AU31&gt;0, 'Task metrics - Group A'!BE31)</f>
        <v>67</v>
      </c>
      <c r="N31" s="44">
        <f>IF('Task metrics - Group A'!AV31&gt;0, 'Task metrics - Group A'!BF31)</f>
        <v>142</v>
      </c>
      <c r="O31" s="44">
        <f>IF('Task metrics - Group A'!AW31&gt;0, 'Task metrics - Group A'!BG31)</f>
        <v>28</v>
      </c>
      <c r="P31" s="44">
        <f>IF('Task metrics - Group A'!AX31&gt;0, 'Task metrics - Group A'!BH31)</f>
        <v>59</v>
      </c>
      <c r="Q31" s="44">
        <f>IF('Task metrics - Group A'!AY31&gt;0, 'Task metrics - Group A'!BI31)</f>
        <v>17</v>
      </c>
      <c r="R31" s="44" t="s">
        <v>217</v>
      </c>
      <c r="S31" s="44">
        <f>IF('Task metrics - Group A'!BA31&gt;0, 'Task metrics - Group A'!BK31)</f>
        <v>23</v>
      </c>
      <c r="U31" s="9">
        <v>26</v>
      </c>
      <c r="V31" s="44" t="s">
        <v>217</v>
      </c>
      <c r="W31" s="44" t="s">
        <v>217</v>
      </c>
      <c r="X31" s="44" t="s">
        <v>217</v>
      </c>
      <c r="Y31" s="44">
        <f>IF('Task metrics - Group A'!CN31&gt;0, 'Task metrics - Group A'!CX31)</f>
        <v>90</v>
      </c>
      <c r="Z31" s="44" t="s">
        <v>217</v>
      </c>
      <c r="AA31" s="44" t="s">
        <v>217</v>
      </c>
      <c r="AB31" s="44" t="s">
        <v>217</v>
      </c>
      <c r="AC31" s="44">
        <f>IF('Task metrics - Group A'!CR31&gt;0, 'Task metrics - Group A'!DB31)</f>
        <v>37</v>
      </c>
    </row>
    <row r="32" spans="1:29">
      <c r="A32" s="42">
        <v>27</v>
      </c>
      <c r="B32" s="43">
        <f>IF('Task metrics - Group A'!C32&gt;0, 'Task metrics - Group A'!M32)</f>
        <v>140</v>
      </c>
      <c r="C32" s="43"/>
      <c r="D32" s="43">
        <f>IF('Task metrics - Group A'!E32&gt;0, 'Task metrics - Group A'!O32)</f>
        <v>169</v>
      </c>
      <c r="E32" s="43">
        <f>IF('Task metrics - Group A'!F32&gt;0, 'Task metrics - Group A'!P32)</f>
        <v>107</v>
      </c>
      <c r="F32" s="43" t="s">
        <v>217</v>
      </c>
      <c r="G32" s="43">
        <f>IF('Task metrics - Group A'!H32&gt;0, 'Task metrics - Group A'!R32)</f>
        <v>30</v>
      </c>
      <c r="H32" s="43" t="s">
        <v>217</v>
      </c>
      <c r="I32" s="43"/>
      <c r="K32" s="9">
        <v>27</v>
      </c>
      <c r="L32" s="44" t="s">
        <v>217</v>
      </c>
      <c r="M32" s="44">
        <f>IF('Task metrics - Group A'!AU32&gt;0, 'Task metrics - Group A'!BE32)</f>
        <v>89</v>
      </c>
      <c r="N32" s="44" t="s">
        <v>217</v>
      </c>
      <c r="O32" s="44" t="s">
        <v>217</v>
      </c>
      <c r="P32" s="44">
        <f>IF('Task metrics - Group A'!AX32&gt;0, 'Task metrics - Group A'!BH32)</f>
        <v>59</v>
      </c>
      <c r="Q32" s="44" t="s">
        <v>217</v>
      </c>
      <c r="R32" s="44" t="s">
        <v>217</v>
      </c>
      <c r="S32" s="44">
        <f>IF('Task metrics - Group A'!BA32&gt;0, 'Task metrics - Group A'!BK32)</f>
        <v>37</v>
      </c>
      <c r="U32" s="9">
        <v>27</v>
      </c>
      <c r="V32" s="44" t="s">
        <v>217</v>
      </c>
      <c r="W32" s="44" t="s">
        <v>217</v>
      </c>
      <c r="X32" s="44" t="s">
        <v>217</v>
      </c>
      <c r="Y32" s="44" t="s">
        <v>217</v>
      </c>
      <c r="Z32" s="44">
        <f>IF('Task metrics - Group A'!CO32&gt;0, 'Task metrics - Group A'!CY32)</f>
        <v>33</v>
      </c>
      <c r="AA32" s="44" t="s">
        <v>217</v>
      </c>
      <c r="AB32" s="44" t="s">
        <v>217</v>
      </c>
      <c r="AC32" s="44">
        <f>IF('Task metrics - Group A'!CR32&gt;0, 'Task metrics - Group A'!DB32)</f>
        <v>69</v>
      </c>
    </row>
    <row r="33" spans="1:29">
      <c r="A33" s="42">
        <v>28</v>
      </c>
      <c r="B33" s="43">
        <f>IF('Task metrics - Group A'!C33&gt;0, 'Task metrics - Group A'!M33)</f>
        <v>276</v>
      </c>
      <c r="C33" s="43"/>
      <c r="D33" s="43">
        <f>IF('Task metrics - Group A'!E33&gt;0, 'Task metrics - Group A'!O33)</f>
        <v>156</v>
      </c>
      <c r="E33" s="43" t="s">
        <v>217</v>
      </c>
      <c r="F33" s="43" t="s">
        <v>217</v>
      </c>
      <c r="G33" s="43">
        <f>IF('Task metrics - Group A'!H33&gt;0, 'Task metrics - Group A'!R33)</f>
        <v>23</v>
      </c>
      <c r="H33" s="43">
        <f>IF('Task metrics - Group A'!I33&gt;0, 'Task metrics - Group A'!S33)</f>
        <v>14</v>
      </c>
      <c r="I33" s="43"/>
      <c r="K33" s="9">
        <v>28</v>
      </c>
      <c r="L33" s="44">
        <f>IF('Task metrics - Group A'!AT33&gt;0, 'Task metrics - Group A'!BD33)</f>
        <v>300</v>
      </c>
      <c r="M33" s="44" t="s">
        <v>217</v>
      </c>
      <c r="N33" s="44">
        <f>IF('Task metrics - Group A'!AV33&gt;0, 'Task metrics - Group A'!BF33)</f>
        <v>73</v>
      </c>
      <c r="O33" s="44" t="s">
        <v>217</v>
      </c>
      <c r="P33" s="44" t="s">
        <v>217</v>
      </c>
      <c r="Q33" s="44">
        <f>IF('Task metrics - Group A'!AY33&gt;0, 'Task metrics - Group A'!BI33)</f>
        <v>11</v>
      </c>
      <c r="R33" s="44" t="s">
        <v>217</v>
      </c>
      <c r="S33" s="44">
        <f>IF('Task metrics - Group A'!BA33&gt;0, 'Task metrics - Group A'!BK33)</f>
        <v>4</v>
      </c>
      <c r="U33" s="9">
        <v>28</v>
      </c>
      <c r="V33" s="44" t="s">
        <v>217</v>
      </c>
      <c r="W33" s="44" t="s">
        <v>217</v>
      </c>
      <c r="X33" s="44" t="s">
        <v>217</v>
      </c>
      <c r="Y33" s="44" t="s">
        <v>217</v>
      </c>
      <c r="Z33" s="44" t="s">
        <v>217</v>
      </c>
      <c r="AA33" s="44" t="s">
        <v>217</v>
      </c>
      <c r="AB33" s="44" t="s">
        <v>217</v>
      </c>
      <c r="AC33" s="44" t="s">
        <v>217</v>
      </c>
    </row>
    <row r="34" spans="1:29">
      <c r="A34" s="42">
        <v>29</v>
      </c>
      <c r="B34" s="43">
        <f>IF('Task metrics - Group A'!C34&gt;0, 'Task metrics - Group A'!M34)</f>
        <v>76</v>
      </c>
      <c r="C34" s="43"/>
      <c r="D34" s="43">
        <f>IF('Task metrics - Group A'!E34&gt;0, 'Task metrics - Group A'!O34)</f>
        <v>180</v>
      </c>
      <c r="E34" s="43" t="s">
        <v>217</v>
      </c>
      <c r="F34" s="43" t="s">
        <v>217</v>
      </c>
      <c r="G34" s="43">
        <f>IF('Task metrics - Group A'!H34&gt;0, 'Task metrics - Group A'!R34)</f>
        <v>100</v>
      </c>
      <c r="H34" s="43">
        <f>IF('Task metrics - Group A'!I34&gt;0, 'Task metrics - Group A'!S34)</f>
        <v>55</v>
      </c>
      <c r="I34" s="43"/>
      <c r="K34" s="9">
        <v>29</v>
      </c>
      <c r="L34" s="44">
        <f>IF('Task metrics - Group A'!AT34&gt;0, 'Task metrics - Group A'!BD34)</f>
        <v>256</v>
      </c>
      <c r="M34" s="44">
        <f>IF('Task metrics - Group A'!AU34&gt;0, 'Task metrics - Group A'!BE34)</f>
        <v>138</v>
      </c>
      <c r="N34" s="44">
        <f>IF('Task metrics - Group A'!AV34&gt;0, 'Task metrics - Group A'!BF34)</f>
        <v>102</v>
      </c>
      <c r="O34" s="44">
        <f>IF('Task metrics - Group A'!AW34&gt;0, 'Task metrics - Group A'!BG34)</f>
        <v>43</v>
      </c>
      <c r="P34" s="44">
        <f>IF('Task metrics - Group A'!AX34&gt;0, 'Task metrics - Group A'!BH34)</f>
        <v>56</v>
      </c>
      <c r="Q34" s="44">
        <f>IF('Task metrics - Group A'!AY34&gt;0, 'Task metrics - Group A'!BI34)</f>
        <v>24</v>
      </c>
      <c r="R34" s="44">
        <f>IF('Task metrics - Group A'!AZ34&gt;0, 'Task metrics - Group A'!BJ34)</f>
        <v>84</v>
      </c>
      <c r="S34" s="44">
        <f>IF('Task metrics - Group A'!BA34&gt;0, 'Task metrics - Group A'!BK34)</f>
        <v>12</v>
      </c>
      <c r="U34" s="9">
        <v>29</v>
      </c>
      <c r="V34" s="44" t="s">
        <v>217</v>
      </c>
      <c r="W34" s="44">
        <f>IF('Task metrics - Group A'!CL34&gt;0, 'Task metrics - Group A'!CV34)</f>
        <v>180</v>
      </c>
      <c r="X34" s="44">
        <f>IF('Task metrics - Group A'!CM34&gt;0, 'Task metrics - Group A'!CW34)</f>
        <v>180</v>
      </c>
      <c r="Y34" s="44" t="s">
        <v>217</v>
      </c>
      <c r="Z34" s="44" t="s">
        <v>217</v>
      </c>
      <c r="AA34" s="44" t="s">
        <v>217</v>
      </c>
      <c r="AB34" s="44" t="s">
        <v>217</v>
      </c>
      <c r="AC34" s="44">
        <f>IF('Task metrics - Group A'!CR34&gt;0, 'Task metrics - Group A'!DB34)</f>
        <v>65</v>
      </c>
    </row>
    <row r="35" spans="1:29">
      <c r="A35" s="42">
        <v>30</v>
      </c>
      <c r="B35" s="43">
        <f>IF('Task metrics - Group A'!C35&gt;0, 'Task metrics - Group A'!M35)</f>
        <v>79</v>
      </c>
      <c r="C35" s="43"/>
      <c r="D35" s="43">
        <f>IF('Task metrics - Group A'!E35&gt;0, 'Task metrics - Group A'!O35)</f>
        <v>65</v>
      </c>
      <c r="E35" s="43">
        <f>IF('Task metrics - Group A'!F35&gt;0, 'Task metrics - Group A'!P35)</f>
        <v>59</v>
      </c>
      <c r="F35" s="43" t="s">
        <v>217</v>
      </c>
      <c r="G35" s="43" t="s">
        <v>217</v>
      </c>
      <c r="H35" s="43">
        <f>IF('Task metrics - Group A'!I35&gt;0, 'Task metrics - Group A'!S35)</f>
        <v>20</v>
      </c>
      <c r="I35" s="43"/>
      <c r="K35" s="9">
        <v>30</v>
      </c>
      <c r="L35" s="44">
        <f>IF('Task metrics - Group A'!AT35&gt;0, 'Task metrics - Group A'!BD35)</f>
        <v>240</v>
      </c>
      <c r="M35" s="44">
        <f>IF('Task metrics - Group A'!AU35&gt;0, 'Task metrics - Group A'!BE35)</f>
        <v>129</v>
      </c>
      <c r="N35" s="44">
        <f>IF('Task metrics - Group A'!AV35&gt;0, 'Task metrics - Group A'!BF35)</f>
        <v>75</v>
      </c>
      <c r="O35" s="44">
        <f>IF('Task metrics - Group A'!AW35&gt;0, 'Task metrics - Group A'!BG35)</f>
        <v>13</v>
      </c>
      <c r="P35" s="44">
        <f>IF('Task metrics - Group A'!AX35&gt;0, 'Task metrics - Group A'!BH35)</f>
        <v>84</v>
      </c>
      <c r="Q35" s="44">
        <f>IF('Task metrics - Group A'!AY35&gt;0, 'Task metrics - Group A'!BI35)</f>
        <v>21</v>
      </c>
      <c r="R35" s="44" t="s">
        <v>217</v>
      </c>
      <c r="S35" s="44">
        <f>IF('Task metrics - Group A'!BA35&gt;0, 'Task metrics - Group A'!BK35)</f>
        <v>69</v>
      </c>
      <c r="U35" s="9">
        <v>30</v>
      </c>
      <c r="V35" s="44" t="s">
        <v>217</v>
      </c>
      <c r="W35" s="44" t="s">
        <v>217</v>
      </c>
      <c r="X35" s="44" t="s">
        <v>217</v>
      </c>
      <c r="Y35" s="44">
        <f>IF('Task metrics - Group A'!CN35&gt;0, 'Task metrics - Group A'!CX35)</f>
        <v>29</v>
      </c>
      <c r="Z35" s="44">
        <f>IF('Task metrics - Group A'!CO35&gt;0, 'Task metrics - Group A'!CY35)</f>
        <v>40</v>
      </c>
      <c r="AA35" s="44">
        <f>IF('Task metrics - Group A'!CP35&gt;0, 'Task metrics - Group A'!CZ35)</f>
        <v>82</v>
      </c>
      <c r="AB35" s="44">
        <f>IF('Task metrics - Group A'!CQ35&gt;0, 'Task metrics - Group A'!DA35)</f>
        <v>34</v>
      </c>
      <c r="AC35" s="44">
        <f>IF('Task metrics - Group A'!CR35&gt;0, 'Task metrics - Group A'!DB35)</f>
        <v>33</v>
      </c>
    </row>
    <row r="36" spans="1:29">
      <c r="A36" s="42">
        <v>31</v>
      </c>
      <c r="B36" s="43">
        <f>IF('Task metrics - Group A'!C36&gt;0, 'Task metrics - Group A'!M36)</f>
        <v>120</v>
      </c>
      <c r="C36" s="43"/>
      <c r="D36" s="43">
        <f>IF('Task metrics - Group A'!E36&gt;0, 'Task metrics - Group A'!O36)</f>
        <v>172</v>
      </c>
      <c r="E36" s="43" t="s">
        <v>217</v>
      </c>
      <c r="F36" s="43" t="s">
        <v>217</v>
      </c>
      <c r="G36" s="43">
        <f>IF('Task metrics - Group A'!H36&gt;0, 'Task metrics - Group A'!R36)</f>
        <v>115</v>
      </c>
      <c r="H36" s="43" t="s">
        <v>217</v>
      </c>
      <c r="I36" s="43"/>
      <c r="K36" s="9">
        <v>31</v>
      </c>
      <c r="L36" s="44" t="s">
        <v>217</v>
      </c>
      <c r="M36" s="44" t="s">
        <v>217</v>
      </c>
      <c r="N36" s="44" t="s">
        <v>217</v>
      </c>
      <c r="O36" s="44" t="s">
        <v>217</v>
      </c>
      <c r="P36" s="44">
        <f>IF('Task metrics - Group A'!AX36&gt;0, 'Task metrics - Group A'!BH36)</f>
        <v>300</v>
      </c>
      <c r="Q36" s="44">
        <f>IF('Task metrics - Group A'!AY36&gt;0, 'Task metrics - Group A'!BI36)</f>
        <v>300</v>
      </c>
      <c r="R36" s="44" t="s">
        <v>217</v>
      </c>
      <c r="S36" s="44">
        <f>IF('Task metrics - Group A'!BA36&gt;0, 'Task metrics - Group A'!BK36)</f>
        <v>24</v>
      </c>
      <c r="U36" s="9">
        <v>31</v>
      </c>
      <c r="V36" s="44" t="s">
        <v>217</v>
      </c>
      <c r="W36" s="44" t="s">
        <v>217</v>
      </c>
      <c r="X36" s="44" t="s">
        <v>217</v>
      </c>
      <c r="Y36" s="44" t="s">
        <v>217</v>
      </c>
      <c r="Z36" s="44">
        <f>IF('Task metrics - Group A'!CO36&gt;0, 'Task metrics - Group A'!CY36)</f>
        <v>61</v>
      </c>
      <c r="AA36" s="44" t="s">
        <v>217</v>
      </c>
      <c r="AB36" s="44" t="s">
        <v>217</v>
      </c>
      <c r="AC36" s="44">
        <f>IF('Task metrics - Group A'!CR36&gt;0, 'Task metrics - Group A'!DB36)</f>
        <v>50</v>
      </c>
    </row>
    <row r="37" spans="1:29">
      <c r="A37" s="42">
        <v>32</v>
      </c>
      <c r="B37" s="43" t="s">
        <v>217</v>
      </c>
      <c r="C37" s="43"/>
      <c r="D37" s="43" t="s">
        <v>217</v>
      </c>
      <c r="E37" s="43" t="s">
        <v>217</v>
      </c>
      <c r="F37" s="43">
        <f>IF('Task metrics - Group A'!G37&gt;0, 'Task metrics - Group A'!Q37)</f>
        <v>110</v>
      </c>
      <c r="G37" s="43">
        <f>IF('Task metrics - Group A'!H37&gt;0, 'Task metrics - Group A'!R37)</f>
        <v>129</v>
      </c>
      <c r="H37" s="43" t="s">
        <v>217</v>
      </c>
      <c r="I37" s="43"/>
      <c r="K37" s="9">
        <v>32</v>
      </c>
      <c r="L37" s="44" t="s">
        <v>217</v>
      </c>
      <c r="M37" s="44" t="s">
        <v>217</v>
      </c>
      <c r="N37" s="44" t="s">
        <v>217</v>
      </c>
      <c r="O37" s="44">
        <f>IF('Task metrics - Group A'!AW37&gt;0, 'Task metrics - Group A'!BG37)</f>
        <v>46</v>
      </c>
      <c r="P37" s="44">
        <f>IF('Task metrics - Group A'!AX37&gt;0, 'Task metrics - Group A'!BH37)</f>
        <v>251</v>
      </c>
      <c r="Q37" s="44" t="s">
        <v>217</v>
      </c>
      <c r="R37" s="44" t="s">
        <v>217</v>
      </c>
      <c r="S37" s="44">
        <f>IF('Task metrics - Group A'!BA37&gt;0, 'Task metrics - Group A'!BK37)</f>
        <v>31</v>
      </c>
      <c r="U37" s="9">
        <v>32</v>
      </c>
      <c r="V37" s="44" t="s">
        <v>217</v>
      </c>
      <c r="W37" s="44" t="s">
        <v>217</v>
      </c>
      <c r="X37" s="44" t="s">
        <v>217</v>
      </c>
      <c r="Y37" s="44" t="s">
        <v>217</v>
      </c>
      <c r="Z37" s="44">
        <f>IF('Task metrics - Group A'!CO37&gt;0, 'Task metrics - Group A'!CY37)</f>
        <v>167</v>
      </c>
      <c r="AA37" s="44" t="s">
        <v>217</v>
      </c>
      <c r="AB37" s="44" t="s">
        <v>217</v>
      </c>
      <c r="AC37" s="44">
        <f>IF('Task metrics - Group A'!CR37&gt;0, 'Task metrics - Group A'!DB37)</f>
        <v>32</v>
      </c>
    </row>
    <row r="38" spans="1:29">
      <c r="A38" s="42">
        <v>33</v>
      </c>
      <c r="B38" s="43">
        <f>IF('Task metrics - Group A'!C38&gt;0, 'Task metrics - Group A'!M38)</f>
        <v>300</v>
      </c>
      <c r="C38" s="43"/>
      <c r="D38" s="43" t="s">
        <v>217</v>
      </c>
      <c r="E38" s="43" t="s">
        <v>217</v>
      </c>
      <c r="F38" s="43" t="s">
        <v>217</v>
      </c>
      <c r="G38" s="43">
        <f>IF('Task metrics - Group A'!H38&gt;0, 'Task metrics - Group A'!R38)</f>
        <v>6</v>
      </c>
      <c r="H38" s="43" t="s">
        <v>217</v>
      </c>
      <c r="I38" s="43"/>
      <c r="K38" s="9">
        <v>33</v>
      </c>
      <c r="L38" s="44" t="s">
        <v>217</v>
      </c>
      <c r="M38" s="44" t="s">
        <v>217</v>
      </c>
      <c r="N38" s="44" t="s">
        <v>217</v>
      </c>
      <c r="O38" s="44">
        <f>IF('Task metrics - Group A'!AW38&gt;0, 'Task metrics - Group A'!BG38)</f>
        <v>67</v>
      </c>
      <c r="P38" s="44">
        <f>IF('Task metrics - Group A'!AX38&gt;0, 'Task metrics - Group A'!BH38)</f>
        <v>180</v>
      </c>
      <c r="Q38" s="44" t="s">
        <v>217</v>
      </c>
      <c r="R38" s="44" t="s">
        <v>217</v>
      </c>
      <c r="S38" s="44">
        <f>IF('Task metrics - Group A'!BA38&gt;0, 'Task metrics - Group A'!BK38)</f>
        <v>10</v>
      </c>
      <c r="U38" s="9">
        <v>33</v>
      </c>
      <c r="V38" s="44" t="s">
        <v>217</v>
      </c>
      <c r="W38" s="44" t="s">
        <v>217</v>
      </c>
      <c r="X38" s="44" t="s">
        <v>217</v>
      </c>
      <c r="Y38" s="44" t="s">
        <v>217</v>
      </c>
      <c r="Z38" s="44">
        <f>IF('Task metrics - Group A'!CO38&gt;0, 'Task metrics - Group A'!CY38)</f>
        <v>96</v>
      </c>
      <c r="AA38" s="44" t="s">
        <v>217</v>
      </c>
      <c r="AB38" s="44" t="s">
        <v>217</v>
      </c>
      <c r="AC38" s="44">
        <f>IF('Task metrics - Group A'!CR38&gt;0, 'Task metrics - Group A'!DB38)</f>
        <v>71</v>
      </c>
    </row>
    <row r="39" spans="1:29">
      <c r="A39" s="42">
        <v>34</v>
      </c>
      <c r="B39" s="43">
        <f>IF('Task metrics - Group A'!C39&gt;0, 'Task metrics - Group A'!M39)</f>
        <v>79</v>
      </c>
      <c r="C39" s="43"/>
      <c r="D39" s="43">
        <f>IF('Task metrics - Group A'!E39&gt;0, 'Task metrics - Group A'!O39)</f>
        <v>64</v>
      </c>
      <c r="E39" s="43" t="s">
        <v>217</v>
      </c>
      <c r="F39" s="43" t="s">
        <v>217</v>
      </c>
      <c r="G39" s="43">
        <f>IF('Task metrics - Group A'!H39&gt;0, 'Task metrics - Group A'!R39)</f>
        <v>9</v>
      </c>
      <c r="H39" s="43">
        <f>IF('Task metrics - Group A'!I39&gt;0, 'Task metrics - Group A'!S39)</f>
        <v>16</v>
      </c>
      <c r="I39" s="43"/>
      <c r="K39" s="9">
        <v>34</v>
      </c>
      <c r="L39" s="44">
        <f>IF('Task metrics - Group A'!AT39&gt;0, 'Task metrics - Group A'!BD39)</f>
        <v>300</v>
      </c>
      <c r="M39" s="44">
        <f>IF('Task metrics - Group A'!AU39&gt;0, 'Task metrics - Group A'!BE39)</f>
        <v>146</v>
      </c>
      <c r="N39" s="44">
        <f>IF('Task metrics - Group A'!AV39&gt;0, 'Task metrics - Group A'!BF39)</f>
        <v>180</v>
      </c>
      <c r="O39" s="44">
        <f>IF('Task metrics - Group A'!AW39&gt;0, 'Task metrics - Group A'!BG39)</f>
        <v>88</v>
      </c>
      <c r="P39" s="44">
        <f>IF('Task metrics - Group A'!AX39&gt;0, 'Task metrics - Group A'!BH39)</f>
        <v>178</v>
      </c>
      <c r="Q39" s="44">
        <f>IF('Task metrics - Group A'!AY39&gt;0, 'Task metrics - Group A'!BI39)</f>
        <v>36</v>
      </c>
      <c r="R39" s="44">
        <f>IF('Task metrics - Group A'!AZ39&gt;0, 'Task metrics - Group A'!BJ39)</f>
        <v>113</v>
      </c>
      <c r="S39" s="44">
        <f>IF('Task metrics - Group A'!BA39&gt;0, 'Task metrics - Group A'!BK39)</f>
        <v>11</v>
      </c>
      <c r="U39" s="9">
        <v>34</v>
      </c>
      <c r="V39" s="44">
        <f>IF('Task metrics - Group A'!CK39&gt;0, 'Task metrics - Group A'!CU39)</f>
        <v>300</v>
      </c>
      <c r="W39" s="44" t="s">
        <v>217</v>
      </c>
      <c r="X39" s="44" t="s">
        <v>217</v>
      </c>
      <c r="Y39" s="44">
        <f>IF('Task metrics - Group A'!CN39&gt;0, 'Task metrics - Group A'!CX39)</f>
        <v>180</v>
      </c>
      <c r="Z39" s="44" t="s">
        <v>217</v>
      </c>
      <c r="AA39" s="44" t="s">
        <v>217</v>
      </c>
      <c r="AB39" s="44">
        <f>IF('Task metrics - Group A'!CQ39&gt;0, 'Task metrics - Group A'!DA39)</f>
        <v>64</v>
      </c>
      <c r="AC39" s="44">
        <f>IF('Task metrics - Group A'!CR39&gt;0, 'Task metrics - Group A'!DB39)</f>
        <v>180</v>
      </c>
    </row>
    <row r="40" spans="1:29">
      <c r="A40" s="42">
        <v>35</v>
      </c>
      <c r="B40" s="43" t="s">
        <v>217</v>
      </c>
      <c r="C40" s="43"/>
      <c r="D40" s="43" t="s">
        <v>217</v>
      </c>
      <c r="E40" s="43">
        <f>IF('Task metrics - Group A'!F40&gt;0, 'Task metrics - Group A'!P40)</f>
        <v>180</v>
      </c>
      <c r="F40" s="43">
        <f>IF('Task metrics - Group A'!G40&gt;0, 'Task metrics - Group A'!Q40)</f>
        <v>180</v>
      </c>
      <c r="G40" s="43">
        <f>IF('Task metrics - Group A'!H40&gt;0, 'Task metrics - Group A'!R40)</f>
        <v>180</v>
      </c>
      <c r="H40" s="43">
        <f>IF('Task metrics - Group A'!I40&gt;0, 'Task metrics - Group A'!S40)</f>
        <v>27</v>
      </c>
      <c r="I40" s="43"/>
      <c r="K40" s="9">
        <v>35</v>
      </c>
      <c r="L40" s="44" t="s">
        <v>217</v>
      </c>
      <c r="M40" s="44" t="s">
        <v>217</v>
      </c>
      <c r="N40" s="44">
        <f>IF('Task metrics - Group A'!AV40&gt;0, 'Task metrics - Group A'!BF40)</f>
        <v>180</v>
      </c>
      <c r="O40" s="44" t="s">
        <v>217</v>
      </c>
      <c r="P40" s="44">
        <f>IF('Task metrics - Group A'!AX40&gt;0, 'Task metrics - Group A'!BH40)</f>
        <v>60</v>
      </c>
      <c r="Q40" s="44">
        <f>IF('Task metrics - Group A'!AY40&gt;0, 'Task metrics - Group A'!BI40)</f>
        <v>30</v>
      </c>
      <c r="R40" s="44">
        <f>IF('Task metrics - Group A'!AZ40&gt;0, 'Task metrics - Group A'!BJ40)</f>
        <v>96</v>
      </c>
      <c r="S40" s="44">
        <f>IF('Task metrics - Group A'!BA40&gt;0, 'Task metrics - Group A'!BK40)</f>
        <v>151</v>
      </c>
      <c r="U40" s="9">
        <v>35</v>
      </c>
      <c r="V40" s="44" t="s">
        <v>217</v>
      </c>
      <c r="W40" s="44" t="s">
        <v>217</v>
      </c>
      <c r="X40" s="44" t="s">
        <v>217</v>
      </c>
      <c r="Y40" s="44" t="s">
        <v>217</v>
      </c>
      <c r="Z40" s="44" t="s">
        <v>217</v>
      </c>
      <c r="AA40" s="44" t="s">
        <v>217</v>
      </c>
      <c r="AB40" s="44" t="s">
        <v>217</v>
      </c>
      <c r="AC40" s="44" t="s">
        <v>217</v>
      </c>
    </row>
    <row r="41" spans="1:29">
      <c r="A41" s="45">
        <v>36</v>
      </c>
      <c r="B41" s="43">
        <f>IF('Task metrics - Group A'!C41&gt;0, 'Task metrics - Group A'!M41)</f>
        <v>191</v>
      </c>
      <c r="C41" s="43"/>
      <c r="D41" s="43" t="s">
        <v>217</v>
      </c>
      <c r="E41" s="43" t="s">
        <v>217</v>
      </c>
      <c r="F41" s="43" t="s">
        <v>217</v>
      </c>
      <c r="G41" s="43">
        <f>IF('Task metrics - Group A'!H41&gt;0, 'Task metrics - Group A'!R41)</f>
        <v>50</v>
      </c>
      <c r="H41" s="43" t="s">
        <v>217</v>
      </c>
      <c r="I41" s="43"/>
      <c r="K41" s="9">
        <v>36</v>
      </c>
      <c r="L41" s="44">
        <f>IF('Task metrics - Group A'!AT41&gt;0, 'Task metrics - Group A'!BD41)</f>
        <v>300</v>
      </c>
      <c r="M41" s="44">
        <f>IF('Task metrics - Group A'!AU41&gt;0, 'Task metrics - Group A'!BE41)</f>
        <v>180</v>
      </c>
      <c r="N41" s="44">
        <f>IF('Task metrics - Group A'!AV41&gt;0, 'Task metrics - Group A'!BF41)</f>
        <v>180</v>
      </c>
      <c r="O41" s="44">
        <f>IF('Task metrics - Group A'!AW41&gt;0, 'Task metrics - Group A'!BG41)</f>
        <v>180</v>
      </c>
      <c r="P41" s="44">
        <f>IF('Task metrics - Group A'!AX41&gt;0, 'Task metrics - Group A'!BH41)</f>
        <v>180</v>
      </c>
      <c r="Q41" s="44">
        <f>IF('Task metrics - Group A'!AY41&gt;0, 'Task metrics - Group A'!BI41)</f>
        <v>180</v>
      </c>
      <c r="R41" s="44">
        <f>IF('Task metrics - Group A'!AZ41&gt;0, 'Task metrics - Group A'!BJ41)</f>
        <v>180</v>
      </c>
      <c r="S41" s="44">
        <f>IF('Task metrics - Group A'!BA41&gt;0, 'Task metrics - Group A'!BK41)</f>
        <v>18</v>
      </c>
      <c r="U41" s="9">
        <v>36</v>
      </c>
      <c r="V41" s="44">
        <f>IF('Task metrics - Group A'!CK41&gt;0, 'Task metrics - Group A'!CU41)</f>
        <v>300</v>
      </c>
      <c r="W41" s="44" t="s">
        <v>217</v>
      </c>
      <c r="X41" s="44">
        <f>IF('Task metrics - Group A'!CM41&gt;0, 'Task metrics - Group A'!CW41)</f>
        <v>180</v>
      </c>
      <c r="Y41" s="44" t="s">
        <v>217</v>
      </c>
      <c r="Z41" s="44" t="s">
        <v>217</v>
      </c>
      <c r="AA41" s="44" t="s">
        <v>217</v>
      </c>
      <c r="AB41" s="44" t="s">
        <v>217</v>
      </c>
      <c r="AC41" s="44" t="s">
        <v>217</v>
      </c>
    </row>
    <row r="42" spans="1:29">
      <c r="A42" s="110" t="s">
        <v>133</v>
      </c>
      <c r="B42" s="46">
        <f>AVERAGE(Table32[Task 1a])</f>
        <v>150.48387096774192</v>
      </c>
      <c r="C42" s="46"/>
      <c r="D42" s="46">
        <f>AVERAGE(Table32[Task 2])</f>
        <v>126.14285714285714</v>
      </c>
      <c r="E42" s="46">
        <f>AVERAGE(Table32[Task 3])</f>
        <v>82.75</v>
      </c>
      <c r="F42" s="46">
        <f>AVERAGE(Table32[Task 4])</f>
        <v>77.090909090909093</v>
      </c>
      <c r="G42" s="46">
        <f>AVERAGE(Table32[Task 5])</f>
        <v>60.36</v>
      </c>
      <c r="H42" s="46">
        <f>AVERAGE(Table32[Task 6])</f>
        <v>43.46153846153846</v>
      </c>
      <c r="I42" s="46"/>
      <c r="K42" s="111" t="s">
        <v>133</v>
      </c>
      <c r="L42" s="46">
        <f>AVERAGE(Table35[Task 1a])</f>
        <v>210.95454545454547</v>
      </c>
      <c r="M42" s="46">
        <f>AVERAGE(Table35[Task 1b])</f>
        <v>114.44444444444444</v>
      </c>
      <c r="N42" s="46">
        <f>AVERAGE(Table35[Task 2])</f>
        <v>115.22727272727273</v>
      </c>
      <c r="O42" s="46">
        <f>AVERAGE(Table35[Task 3])</f>
        <v>54</v>
      </c>
      <c r="P42" s="46">
        <f>AVERAGE(Table35[Task 4])</f>
        <v>112.4</v>
      </c>
      <c r="Q42" s="46">
        <f>AVERAGE(Table35[Task 5])</f>
        <v>48.68181818181818</v>
      </c>
      <c r="R42" s="46">
        <f>AVERAGE(Table35[Task 6])</f>
        <v>97.818181818181813</v>
      </c>
      <c r="S42" s="46">
        <f>AVERAGE(Table35[Task 7])</f>
        <v>44.027777777777779</v>
      </c>
      <c r="U42" s="111" t="s">
        <v>133</v>
      </c>
      <c r="V42" s="46">
        <f>AVERAGE(Table3536[Task 1a])</f>
        <v>242.44444444444446</v>
      </c>
      <c r="W42" s="46">
        <f>AVERAGE(Table3536[Task 1b])</f>
        <v>112.55555555555556</v>
      </c>
      <c r="X42" s="46">
        <f>AVERAGE(Table3536[Task 2])</f>
        <v>138.73333333333332</v>
      </c>
      <c r="Y42" s="46">
        <f>AVERAGE(Table3536[Task 3])</f>
        <v>74.214285714285708</v>
      </c>
      <c r="Z42" s="46">
        <f>AVERAGE(Table3536[Task 4])</f>
        <v>83.571428571428569</v>
      </c>
      <c r="AA42" s="46">
        <f>AVERAGE(Table3536[Task 5])</f>
        <v>91.75</v>
      </c>
      <c r="AB42" s="46">
        <f>AVERAGE(Table3536[Task 6])</f>
        <v>60.25</v>
      </c>
      <c r="AC42" s="46">
        <f>AVERAGE(Table3536[Task 7])</f>
        <v>75.959999999999994</v>
      </c>
    </row>
    <row r="43" spans="1:29">
      <c r="A43" s="47" t="s">
        <v>134</v>
      </c>
      <c r="B43">
        <f>MEDIAN(Table32[Task 1a])</f>
        <v>137</v>
      </c>
      <c r="D43">
        <f>MEDIAN(Table32[Task 2])</f>
        <v>137</v>
      </c>
      <c r="E43">
        <f>MEDIAN(Table32[Task 3])</f>
        <v>72.5</v>
      </c>
      <c r="F43">
        <f>MEDIAN(Table32[Task 4])</f>
        <v>83</v>
      </c>
      <c r="G43">
        <f>MEDIAN(Table32[Task 5])</f>
        <v>52</v>
      </c>
      <c r="H43">
        <f>MEDIAN(Table32[Task 6])</f>
        <v>27</v>
      </c>
      <c r="K43" s="47" t="s">
        <v>134</v>
      </c>
      <c r="L43">
        <f>MEDIAN(Table35[Task 1a])</f>
        <v>206</v>
      </c>
      <c r="M43">
        <f>MEDIAN(Table35[Task 1b])</f>
        <v>101</v>
      </c>
      <c r="N43">
        <f>MEDIAN(Table35[Task 2])</f>
        <v>103.5</v>
      </c>
      <c r="O43">
        <f>MEDIAN(Table35[Task 3])</f>
        <v>37</v>
      </c>
      <c r="P43">
        <f>MEDIAN(Table35[Task 4])</f>
        <v>93</v>
      </c>
      <c r="Q43">
        <f>MEDIAN(Table35[Task 5])</f>
        <v>24</v>
      </c>
      <c r="R43">
        <f>MEDIAN(Table35[Task 6])</f>
        <v>94</v>
      </c>
      <c r="S43">
        <f>MEDIAN(Table35[Task 7])</f>
        <v>29</v>
      </c>
      <c r="U43" s="47" t="s">
        <v>134</v>
      </c>
      <c r="V43">
        <f>MEDIAN(Table3536[Task 1a])</f>
        <v>259</v>
      </c>
      <c r="W43">
        <f>MEDIAN(Table3536[Task 1b])</f>
        <v>113</v>
      </c>
      <c r="X43">
        <f>MEDIAN(Table3536[Task 2])</f>
        <v>140</v>
      </c>
      <c r="Y43">
        <f>MEDIAN(Table3536[Task 3])</f>
        <v>73</v>
      </c>
      <c r="Z43">
        <f>MEDIAN(Table3536[Task 4])</f>
        <v>71</v>
      </c>
      <c r="AA43">
        <f>MEDIAN(Table3536[Task 5])</f>
        <v>80.5</v>
      </c>
      <c r="AB43">
        <f>MEDIAN(Table3536[Task 6])</f>
        <v>50.5</v>
      </c>
      <c r="AC43">
        <f>MEDIAN(Table3536[Task 7])</f>
        <v>50</v>
      </c>
    </row>
  </sheetData>
  <mergeCells count="6">
    <mergeCell ref="B3:I3"/>
    <mergeCell ref="L3:S3"/>
    <mergeCell ref="V3:AC3"/>
    <mergeCell ref="B4:I4"/>
    <mergeCell ref="L4:S4"/>
    <mergeCell ref="V4:AC4"/>
  </mergeCells>
  <pageMargins left="0.7" right="0.7" top="0.75" bottom="0.75" header="0.3" footer="0.3"/>
  <legacyDrawing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Index page</vt:lpstr>
      <vt:lpstr>Profiles - Group A </vt:lpstr>
      <vt:lpstr>Task metrics - Group A</vt:lpstr>
      <vt:lpstr>Demographic Analysis - Group A</vt:lpstr>
      <vt:lpstr>Profiles - Group B</vt:lpstr>
      <vt:lpstr>Task metrics - Group B</vt:lpstr>
      <vt:lpstr>Demographic Analysis - Group B</vt:lpstr>
      <vt:lpstr>Demographic Analysis - Graphs</vt:lpstr>
      <vt:lpstr>Task Time Calcs - Group A</vt:lpstr>
      <vt:lpstr>Averages - Group A</vt:lpstr>
      <vt:lpstr>Task Time Calcs - Group B</vt:lpstr>
      <vt:lpstr>Averages - Group B</vt:lpstr>
      <vt:lpstr>Averages - Both groups</vt:lpstr>
      <vt:lpstr>Graphs</vt:lpstr>
      <vt:lpstr>System A - Analysis</vt:lpstr>
      <vt:lpstr>System B - Analysis</vt:lpstr>
      <vt:lpstr>System C - Analysis</vt:lpstr>
      <vt:lpstr>System D - Analysis</vt:lpstr>
      <vt:lpstr>System E - Analysis</vt:lpstr>
      <vt:lpstr>System F - Analysis</vt:lpstr>
      <vt:lpstr>'Index page'!OLE_LINK2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Healy</dc:creator>
  <cp:lastModifiedBy>Montague Ian (Communications)</cp:lastModifiedBy>
  <cp:lastPrinted>2013-07-10T11:20:29Z</cp:lastPrinted>
  <dcterms:created xsi:type="dcterms:W3CDTF">2013-05-22T13:01:36Z</dcterms:created>
  <dcterms:modified xsi:type="dcterms:W3CDTF">2013-12-16T11:46:19Z</dcterms:modified>
</cp:coreProperties>
</file>