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45" windowWidth="18795" windowHeight="10230"/>
  </bookViews>
  <sheets>
    <sheet name="1.1" sheetId="1" r:id="rId1"/>
    <sheet name="1.2" sheetId="2" r:id="rId2"/>
    <sheet name="1.3" sheetId="3" r:id="rId3"/>
    <sheet name="1.3a" sheetId="4" r:id="rId4"/>
    <sheet name="1.4" sheetId="5" r:id="rId5"/>
    <sheet name="1.5" sheetId="6" r:id="rId6"/>
    <sheet name="1.6" sheetId="7" r:id="rId7"/>
    <sheet name="1.7" sheetId="8" r:id="rId8"/>
    <sheet name="1.8" sheetId="9" r:id="rId9"/>
    <sheet name="1.9" sheetId="10" r:id="rId10"/>
    <sheet name="1.10a" sheetId="13" r:id="rId11"/>
    <sheet name="1.10b" sheetId="14" r:id="rId12"/>
    <sheet name="1.11" sheetId="15" r:id="rId13"/>
    <sheet name="1.12" sheetId="11" r:id="rId14"/>
    <sheet name="1.13" sheetId="12" r:id="rId15"/>
  </sheets>
  <externalReferences>
    <externalReference r:id="rId16"/>
    <externalReference r:id="rId17"/>
  </externalReferences>
  <definedNames>
    <definedName name="CapAME" localSheetId="14">'[1]Dept AMEsum'!#REF!</definedName>
    <definedName name="CapAME" localSheetId="1">'[1]Dept AMEsum'!#REF!</definedName>
    <definedName name="CapAME" localSheetId="4">'[1]Dept AMEsum'!#REF!</definedName>
    <definedName name="CapAME" localSheetId="7">'[1]Dept AMEsum'!#REF!</definedName>
    <definedName name="CapAME" localSheetId="9">'[1]Dept AMEsum'!#REF!</definedName>
    <definedName name="CapAME">'[1]Dept AMEsum'!#REF!</definedName>
    <definedName name="CapDEL" localSheetId="14">[1]DELsum!#REF!</definedName>
    <definedName name="CapDEL" localSheetId="1">[1]DELsum!#REF!</definedName>
    <definedName name="CapDEL" localSheetId="4">[1]DELsum!#REF!</definedName>
    <definedName name="CapDEL" localSheetId="7">[1]DELsum!#REF!</definedName>
    <definedName name="CapDEL" localSheetId="9">[1]DELsum!#REF!</definedName>
    <definedName name="CapDEL">[1]DELsum!#REF!</definedName>
    <definedName name="CGCapDEL" localSheetId="14">#REF!</definedName>
    <definedName name="CGCapDEL" localSheetId="1">#REF!</definedName>
    <definedName name="CGCapDEL" localSheetId="4">#REF!</definedName>
    <definedName name="CGCapDEL" localSheetId="7">#REF!</definedName>
    <definedName name="CGCapDEL" localSheetId="9">#REF!</definedName>
    <definedName name="CGCapDEL">#REF!</definedName>
    <definedName name="PCCapDEL" localSheetId="14">#REF!</definedName>
    <definedName name="PCCapDEL" localSheetId="1">#REF!</definedName>
    <definedName name="PCCapDEL" localSheetId="4">#REF!</definedName>
    <definedName name="PCCapDEL" localSheetId="7">#REF!</definedName>
    <definedName name="PCCapDEL" localSheetId="9">#REF!</definedName>
    <definedName name="PCCapDEL">#REF!</definedName>
    <definedName name="_xlnm.Print_Area" localSheetId="0">'1.1'!$A$1:$J$61</definedName>
    <definedName name="_xlnm.Print_Area" localSheetId="11">'1.10b'!$A$1:$J$68</definedName>
    <definedName name="_xlnm.Print_Area" localSheetId="13">'1.12'!$A$1:$J$64</definedName>
    <definedName name="_xlnm.Print_Area" localSheetId="14">'1.13'!$A$1:$J$35</definedName>
    <definedName name="_xlnm.Print_Area" localSheetId="1">'1.2'!$A$1:$J$63</definedName>
    <definedName name="_xlnm.Print_Area" localSheetId="2">'1.3'!$A$1:$J$60</definedName>
    <definedName name="_xlnm.Print_Area" localSheetId="3">'1.3a'!$A$1:$J$35</definedName>
    <definedName name="_xlnm.Print_Area" localSheetId="4">'1.4'!$A$1:$J$61</definedName>
    <definedName name="_xlnm.Print_Area" localSheetId="5">'1.5'!$A$1:$J$31</definedName>
    <definedName name="_xlnm.Print_Area" localSheetId="6">'1.6'!$A$1:$J$49</definedName>
    <definedName name="_xlnm.Print_Area" localSheetId="7">'1.7'!$A$1:$J$49</definedName>
    <definedName name="_xlnm.Print_Area" localSheetId="8">'1.8'!$A$1:$J$37</definedName>
    <definedName name="_xlnm.Print_Area" localSheetId="9">'1.9'!$A$1:$J$38</definedName>
    <definedName name="ResAME" localSheetId="14">'[1]Dept AMEsum'!#REF!</definedName>
    <definedName name="ResAME" localSheetId="1">'[1]Dept AMEsum'!#REF!</definedName>
    <definedName name="ResAME" localSheetId="4">'[1]Dept AMEsum'!#REF!</definedName>
    <definedName name="ResAME" localSheetId="7">'[1]Dept AMEsum'!#REF!</definedName>
    <definedName name="ResAME" localSheetId="9">'[1]Dept AMEsum'!#REF!</definedName>
    <definedName name="ResAME">'[1]Dept AMEsum'!#REF!</definedName>
    <definedName name="ResDEL" localSheetId="14">[1]DELsum!#REF!</definedName>
    <definedName name="ResDEL" localSheetId="1">[1]DELsum!#REF!</definedName>
    <definedName name="ResDEL" localSheetId="4">[1]DELsum!#REF!</definedName>
    <definedName name="ResDEL" localSheetId="7">[1]DELsum!#REF!</definedName>
    <definedName name="ResDEL" localSheetId="9">[1]DELsum!#REF!</definedName>
    <definedName name="ResDEL">[1]DELsum!#REF!</definedName>
    <definedName name="rngTable1" localSheetId="14">#REF!</definedName>
    <definedName name="rngTable1" localSheetId="1">#REF!</definedName>
    <definedName name="rngTable1" localSheetId="4">#REF!</definedName>
    <definedName name="rngTable1" localSheetId="7">#REF!</definedName>
    <definedName name="rngTable1" localSheetId="9">#REF!</definedName>
    <definedName name="rngTable1">#REF!</definedName>
    <definedName name="rngTable2" localSheetId="14">#REF!</definedName>
    <definedName name="rngTable2" localSheetId="1">#REF!</definedName>
    <definedName name="rngTable2" localSheetId="4">#REF!</definedName>
    <definedName name="rngTable2" localSheetId="7">#REF!</definedName>
    <definedName name="rngTable2" localSheetId="9">#REF!</definedName>
    <definedName name="rngTable2">#REF!</definedName>
    <definedName name="rngTable20" localSheetId="14">#REF!</definedName>
    <definedName name="rngTable20" localSheetId="1">#REF!</definedName>
    <definedName name="rngTable20" localSheetId="4">#REF!</definedName>
    <definedName name="rngTable20" localSheetId="7">#REF!</definedName>
    <definedName name="rngTable20" localSheetId="9">#REF!</definedName>
    <definedName name="rngTable20">#REF!</definedName>
    <definedName name="rngTable3" localSheetId="14">#REF!</definedName>
    <definedName name="rngTable3" localSheetId="1">#REF!</definedName>
    <definedName name="rngTable3" localSheetId="4">#REF!</definedName>
    <definedName name="rngTable3" localSheetId="7">#REF!</definedName>
    <definedName name="rngTable3" localSheetId="9">#REF!</definedName>
    <definedName name="rngTable3">#REF!</definedName>
    <definedName name="rngTable4" localSheetId="14">#REF!</definedName>
    <definedName name="rngTable4" localSheetId="1">#REF!</definedName>
    <definedName name="rngTable4" localSheetId="4">#REF!</definedName>
    <definedName name="rngTable4" localSheetId="7">#REF!</definedName>
    <definedName name="rngTable4" localSheetId="9">#REF!</definedName>
    <definedName name="rngTable4">#REF!</definedName>
    <definedName name="rngTable5" localSheetId="14">#REF!</definedName>
    <definedName name="rngTable5" localSheetId="1">#REF!</definedName>
    <definedName name="rngTable5" localSheetId="4">#REF!</definedName>
    <definedName name="rngTable5" localSheetId="7">#REF!</definedName>
    <definedName name="rngTable5" localSheetId="9">#REF!</definedName>
    <definedName name="rngTable5">#REF!</definedName>
    <definedName name="rngTable6" localSheetId="14">#REF!</definedName>
    <definedName name="rngTable6" localSheetId="1">#REF!</definedName>
    <definedName name="rngTable6" localSheetId="4">#REF!</definedName>
    <definedName name="rngTable6" localSheetId="7">#REF!</definedName>
    <definedName name="rngTable6" localSheetId="9">#REF!</definedName>
    <definedName name="rngTable6">#REF!</definedName>
    <definedName name="rngTable7" localSheetId="14">#REF!</definedName>
    <definedName name="rngTable7" localSheetId="1">#REF!</definedName>
    <definedName name="rngTable7" localSheetId="4">#REF!</definedName>
    <definedName name="rngTable7" localSheetId="7">#REF!</definedName>
    <definedName name="rngTable7" localSheetId="9">#REF!</definedName>
    <definedName name="rngTable7">#REF!</definedName>
    <definedName name="Table" localSheetId="0">'1.1'!#REF!,'1.1'!$B$12:$E$20,'1.1'!$B$23:$E$25,'1.1'!$B$29:$E$29,'1.1'!$B$32:$E$32,'1.1'!$B$34:$E$38,'1.1'!$B$41:$E$43,'1.1'!$B$46:$E$46,'1.1'!$B$47:$E$47,'1.1'!$B$51:$E$53</definedName>
    <definedName name="Table" localSheetId="13">'1.12'!$A$7:$E$29,'1.12'!$A$33:$E$33,'1.12'!#REF!,'1.12'!$A$42:$E$42</definedName>
    <definedName name="Table" localSheetId="14">'1.13'!$A$7:$E$29,'1.13'!$A$33:$E$33,'1.13'!#REF!,'1.13'!#REF!</definedName>
    <definedName name="Table" localSheetId="1">'1.2'!#REF!,'1.2'!$B$12:$F$20,'1.2'!$B$23:$F$25,'1.2'!$B$29:$F$29,'1.2'!$B$32:$F$32,'1.2'!$B$34:$F$38,'1.2'!$B$41:$F$43,'1.2'!$B$46:$F$46,'1.2'!$B$47:$F$47,'1.2'!$B$51:$F$53</definedName>
    <definedName name="Table" localSheetId="2">'1.3'!$A$7:$E$29,'1.3'!$A$33:$E$35,'1.3'!$A$37:$E$58,'1.3'!$A$73:$F$73</definedName>
    <definedName name="Table" localSheetId="4">'1.4'!$A$7:$F$29,'1.4'!$A$30:$F$32,'1.4'!$A$34:$F$55,'1.4'!$A$92:$F$92</definedName>
    <definedName name="Table" localSheetId="5">'1.5'!$A$6:$E$26,'1.5'!$A$27:$E$27</definedName>
    <definedName name="Table" localSheetId="6">'1.6'!$A$7:$E$28,'1.6'!$A$32:$E$32,'1.6'!$A$35:$E$49,'1.6'!$A$82:$E$82</definedName>
    <definedName name="Table" localSheetId="7">'1.7'!$A$7:$E$28,'1.7'!$A$32:$E$32,'1.7'!$A$35:$E$49,'1.7'!$A$82:$E$82</definedName>
    <definedName name="Table" localSheetId="8">'1.8'!$A$7:$E$29,'1.8'!#REF!,'1.8'!#REF!,'1.8'!$A$83:$E$83</definedName>
    <definedName name="Table" localSheetId="9">'1.9'!$A$7:$F$29,'1.9'!#REF!,'1.9'!#REF!,'1.9'!$A$91:$F$91</definedName>
    <definedName name="Table">#REF!</definedName>
  </definedNames>
  <calcPr calcId="125725"/>
</workbook>
</file>

<file path=xl/calcChain.xml><?xml version="1.0" encoding="utf-8"?>
<calcChain xmlns="http://schemas.openxmlformats.org/spreadsheetml/2006/main">
  <c r="J32" i="4"/>
  <c r="I32"/>
  <c r="H32"/>
  <c r="G32"/>
  <c r="J31"/>
  <c r="I31"/>
  <c r="H31"/>
  <c r="G31"/>
  <c r="J30"/>
  <c r="I30"/>
  <c r="H30"/>
  <c r="G30"/>
  <c r="F9"/>
  <c r="Y33" i="10" l="1"/>
  <c r="Y32"/>
  <c r="Y31"/>
  <c r="Y30"/>
  <c r="Y29"/>
  <c r="Y28"/>
  <c r="Y27"/>
  <c r="Y26"/>
  <c r="Y25"/>
  <c r="Y24"/>
  <c r="Y23"/>
  <c r="Y22"/>
  <c r="Y21"/>
  <c r="Y20"/>
  <c r="Y19"/>
  <c r="Y18"/>
  <c r="Y17"/>
  <c r="Y16"/>
  <c r="Y15"/>
  <c r="Y14"/>
  <c r="Y13"/>
  <c r="Y12"/>
  <c r="Y11"/>
  <c r="Y10"/>
  <c r="Y9"/>
  <c r="Y8"/>
  <c r="Y7"/>
  <c r="I29"/>
  <c r="I28"/>
  <c r="I27"/>
  <c r="I26"/>
  <c r="I25"/>
  <c r="I24"/>
  <c r="I23"/>
  <c r="I22"/>
  <c r="I21"/>
  <c r="I20"/>
  <c r="I19"/>
  <c r="I18"/>
  <c r="I17"/>
  <c r="I16"/>
  <c r="I15"/>
  <c r="I14"/>
  <c r="I13"/>
  <c r="I12"/>
  <c r="I11"/>
  <c r="I10"/>
  <c r="I9"/>
  <c r="I8"/>
  <c r="I7"/>
  <c r="I53" i="2"/>
  <c r="I52"/>
  <c r="I47"/>
  <c r="I45"/>
  <c r="I44"/>
  <c r="I43"/>
  <c r="I42"/>
  <c r="I41"/>
  <c r="I39"/>
  <c r="I38"/>
  <c r="I37"/>
  <c r="I36"/>
  <c r="I35"/>
  <c r="I34"/>
  <c r="I28"/>
  <c r="AE53"/>
  <c r="AE52"/>
  <c r="AE51"/>
  <c r="AE50"/>
  <c r="AE49"/>
  <c r="AE48"/>
  <c r="AE47"/>
  <c r="AE46"/>
  <c r="AE45"/>
  <c r="AE44"/>
  <c r="AE43"/>
  <c r="AE42"/>
  <c r="AE41"/>
  <c r="AE40"/>
  <c r="AE39"/>
  <c r="AE38"/>
  <c r="AE37"/>
  <c r="AE36"/>
  <c r="AE35"/>
  <c r="AE34"/>
  <c r="AE33"/>
  <c r="AE32"/>
  <c r="AE31"/>
  <c r="AE30"/>
  <c r="AE29"/>
  <c r="AE28"/>
  <c r="I27"/>
  <c r="I26"/>
  <c r="I25"/>
  <c r="I24"/>
  <c r="I23"/>
  <c r="I21"/>
  <c r="I20"/>
  <c r="I19"/>
  <c r="I18"/>
  <c r="I17"/>
  <c r="I16"/>
  <c r="I15"/>
  <c r="I14"/>
  <c r="I13"/>
  <c r="I12"/>
  <c r="AE27"/>
  <c r="AE26"/>
  <c r="AE25"/>
  <c r="AE24"/>
  <c r="AE23"/>
  <c r="AE22"/>
  <c r="AE21"/>
  <c r="AE20"/>
  <c r="AE19"/>
  <c r="AE18"/>
  <c r="AE17"/>
  <c r="AE16"/>
  <c r="AE15"/>
  <c r="AE14"/>
  <c r="AE13"/>
  <c r="AE12"/>
  <c r="AE11"/>
  <c r="AE10"/>
  <c r="AE9"/>
  <c r="AE8"/>
  <c r="S33" i="10"/>
  <c r="S32"/>
  <c r="S31"/>
  <c r="S30"/>
  <c r="S29"/>
  <c r="S28"/>
  <c r="S27"/>
  <c r="S26"/>
  <c r="S25"/>
  <c r="S24"/>
  <c r="S23"/>
  <c r="S22"/>
  <c r="S21"/>
  <c r="S20"/>
  <c r="S19"/>
  <c r="S18"/>
  <c r="S17"/>
  <c r="S16"/>
  <c r="S15"/>
  <c r="S14"/>
  <c r="S13"/>
  <c r="S12"/>
  <c r="S11"/>
  <c r="S10"/>
  <c r="S9"/>
  <c r="S8"/>
  <c r="S7"/>
  <c r="C33"/>
  <c r="C32"/>
  <c r="C31"/>
  <c r="C30"/>
  <c r="C29"/>
  <c r="C28"/>
  <c r="C27"/>
  <c r="C26"/>
  <c r="C25"/>
  <c r="C24"/>
  <c r="C23"/>
  <c r="C22"/>
  <c r="C21"/>
  <c r="C20"/>
  <c r="C19"/>
  <c r="C18"/>
  <c r="C17"/>
  <c r="C16"/>
  <c r="C15"/>
  <c r="C14"/>
  <c r="C13"/>
  <c r="C12"/>
  <c r="C11"/>
  <c r="C10"/>
  <c r="C9"/>
  <c r="C8"/>
  <c r="C7"/>
  <c r="C53" i="2"/>
  <c r="C52"/>
  <c r="C51"/>
  <c r="C49"/>
  <c r="C48"/>
  <c r="C47"/>
  <c r="C46"/>
  <c r="C45"/>
  <c r="C44"/>
  <c r="C43"/>
  <c r="C42"/>
  <c r="C41"/>
  <c r="C39"/>
  <c r="C38"/>
  <c r="C37"/>
  <c r="C36"/>
  <c r="C35"/>
  <c r="C34"/>
  <c r="C32"/>
  <c r="C29"/>
  <c r="Y53"/>
  <c r="Y52"/>
  <c r="Y51"/>
  <c r="Y50"/>
  <c r="Y49"/>
  <c r="Y48"/>
  <c r="Y47"/>
  <c r="Y46"/>
  <c r="Y45"/>
  <c r="Y44"/>
  <c r="Y43"/>
  <c r="Y42"/>
  <c r="Y41"/>
  <c r="Y40"/>
  <c r="Y39"/>
  <c r="Y38"/>
  <c r="Y37"/>
  <c r="Y36"/>
  <c r="Y35"/>
  <c r="Y34"/>
  <c r="Y33"/>
  <c r="Y32"/>
  <c r="Y31"/>
  <c r="Y30"/>
  <c r="Y29"/>
  <c r="Y28"/>
  <c r="C28"/>
  <c r="C27"/>
  <c r="C26"/>
  <c r="C25"/>
  <c r="C24"/>
  <c r="C23"/>
  <c r="C21"/>
  <c r="C20"/>
  <c r="C19"/>
  <c r="C18"/>
  <c r="C17"/>
  <c r="C16"/>
  <c r="C15"/>
  <c r="C14"/>
  <c r="C13"/>
  <c r="C12"/>
  <c r="C10"/>
  <c r="C9"/>
  <c r="C8"/>
  <c r="Y27"/>
  <c r="Y26"/>
  <c r="Y25"/>
  <c r="Y24"/>
  <c r="Y23"/>
  <c r="Y22"/>
  <c r="Y21"/>
  <c r="Y20"/>
  <c r="Y19"/>
  <c r="Y18"/>
  <c r="Y17"/>
  <c r="Y16"/>
  <c r="Y15"/>
  <c r="Y14"/>
  <c r="Y13"/>
  <c r="Y12"/>
  <c r="Y11"/>
  <c r="Y10"/>
  <c r="Y9"/>
  <c r="Y8"/>
  <c r="H29" i="10"/>
  <c r="H28"/>
  <c r="H27"/>
  <c r="H26"/>
  <c r="H25"/>
  <c r="H24"/>
  <c r="H23"/>
  <c r="H22"/>
  <c r="H21"/>
  <c r="H20"/>
  <c r="H19"/>
  <c r="H18"/>
  <c r="H17"/>
  <c r="H16"/>
  <c r="H15"/>
  <c r="H14"/>
  <c r="H13"/>
  <c r="H12"/>
  <c r="H11"/>
  <c r="H10"/>
  <c r="H9"/>
  <c r="H8"/>
  <c r="H7"/>
  <c r="X33"/>
  <c r="X32"/>
  <c r="X31"/>
  <c r="X30"/>
  <c r="X29"/>
  <c r="X28"/>
  <c r="X27"/>
  <c r="X26"/>
  <c r="X25"/>
  <c r="X24"/>
  <c r="X23"/>
  <c r="X22"/>
  <c r="X21"/>
  <c r="X20"/>
  <c r="X19"/>
  <c r="X18"/>
  <c r="X17"/>
  <c r="X16"/>
  <c r="X15"/>
  <c r="X14"/>
  <c r="X13"/>
  <c r="X12"/>
  <c r="X11"/>
  <c r="X10"/>
  <c r="X9"/>
  <c r="X8"/>
  <c r="X7"/>
  <c r="AD53" i="2"/>
  <c r="AD52"/>
  <c r="AD51"/>
  <c r="AD50"/>
  <c r="AD49"/>
  <c r="AD48"/>
  <c r="AD47"/>
  <c r="AD46"/>
  <c r="AD45"/>
  <c r="AD44"/>
  <c r="AD43"/>
  <c r="AD42"/>
  <c r="AD41"/>
  <c r="AD40"/>
  <c r="AD39"/>
  <c r="AD38"/>
  <c r="AD37"/>
  <c r="AD36"/>
  <c r="AD35"/>
  <c r="AD34"/>
  <c r="AD33"/>
  <c r="AD32"/>
  <c r="AD31"/>
  <c r="AD30"/>
  <c r="AD29"/>
  <c r="AD28"/>
  <c r="H53"/>
  <c r="H52"/>
  <c r="H47"/>
  <c r="H45"/>
  <c r="H44"/>
  <c r="H43"/>
  <c r="H42"/>
  <c r="H41"/>
  <c r="H39"/>
  <c r="H38"/>
  <c r="H37"/>
  <c r="H36"/>
  <c r="H35"/>
  <c r="H34"/>
  <c r="AD27"/>
  <c r="AD26"/>
  <c r="AD25"/>
  <c r="AD24"/>
  <c r="AD23"/>
  <c r="AD22"/>
  <c r="AD21"/>
  <c r="AD20"/>
  <c r="AD19"/>
  <c r="AD18"/>
  <c r="AD17"/>
  <c r="AD16"/>
  <c r="AD15"/>
  <c r="AD14"/>
  <c r="AD13"/>
  <c r="AD12"/>
  <c r="AD11"/>
  <c r="AD10"/>
  <c r="AD9"/>
  <c r="AD8"/>
  <c r="H28"/>
  <c r="H27"/>
  <c r="H26"/>
  <c r="H25"/>
  <c r="H24"/>
  <c r="H23"/>
  <c r="H21"/>
  <c r="H20"/>
  <c r="H19"/>
  <c r="H18"/>
  <c r="H17"/>
  <c r="H16"/>
  <c r="H15"/>
  <c r="H14"/>
  <c r="H13"/>
  <c r="H12"/>
  <c r="J32" i="10"/>
  <c r="J29"/>
  <c r="J28"/>
  <c r="J27"/>
  <c r="J26"/>
  <c r="J25"/>
  <c r="J24"/>
  <c r="J23"/>
  <c r="J22"/>
  <c r="J21"/>
  <c r="J20"/>
  <c r="J19"/>
  <c r="J18"/>
  <c r="J17"/>
  <c r="J16"/>
  <c r="J15"/>
  <c r="J14"/>
  <c r="J13"/>
  <c r="J12"/>
  <c r="J11"/>
  <c r="J10"/>
  <c r="J9"/>
  <c r="J8"/>
  <c r="J7"/>
  <c r="Z33"/>
  <c r="Z32"/>
  <c r="Z31"/>
  <c r="Z30"/>
  <c r="Z29"/>
  <c r="Z28"/>
  <c r="Z27"/>
  <c r="Z26"/>
  <c r="Z25"/>
  <c r="Z24"/>
  <c r="Z23"/>
  <c r="Z22"/>
  <c r="Z21"/>
  <c r="Z20"/>
  <c r="Z19"/>
  <c r="Z18"/>
  <c r="Z17"/>
  <c r="Z16"/>
  <c r="Z15"/>
  <c r="Z14"/>
  <c r="Z13"/>
  <c r="Z12"/>
  <c r="Z11"/>
  <c r="Z10"/>
  <c r="Z9"/>
  <c r="Z8"/>
  <c r="Z7"/>
  <c r="AF53" i="2"/>
  <c r="AF52"/>
  <c r="AF51"/>
  <c r="AF50"/>
  <c r="AF49"/>
  <c r="AF48"/>
  <c r="AF47"/>
  <c r="AF46"/>
  <c r="AF45"/>
  <c r="AF44"/>
  <c r="AF43"/>
  <c r="AF42"/>
  <c r="AF41"/>
  <c r="AF40"/>
  <c r="AF39"/>
  <c r="AF38"/>
  <c r="AF37"/>
  <c r="AF36"/>
  <c r="AF35"/>
  <c r="AF34"/>
  <c r="AF33"/>
  <c r="AF32"/>
  <c r="AF31"/>
  <c r="AF30"/>
  <c r="AF29"/>
  <c r="AF28"/>
  <c r="J53"/>
  <c r="J52"/>
  <c r="J47"/>
  <c r="J45"/>
  <c r="J44"/>
  <c r="J43"/>
  <c r="J42"/>
  <c r="J41"/>
  <c r="J39"/>
  <c r="J38"/>
  <c r="J37"/>
  <c r="J36"/>
  <c r="J35"/>
  <c r="J34"/>
  <c r="J28"/>
  <c r="AF27"/>
  <c r="AF26"/>
  <c r="AF25"/>
  <c r="AF24"/>
  <c r="AF23"/>
  <c r="AF22"/>
  <c r="AF21"/>
  <c r="AF20"/>
  <c r="AF19"/>
  <c r="AF18"/>
  <c r="AF17"/>
  <c r="AF16"/>
  <c r="AF15"/>
  <c r="AF14"/>
  <c r="AF13"/>
  <c r="AF12"/>
  <c r="AF11"/>
  <c r="AF10"/>
  <c r="AF9"/>
  <c r="AF8"/>
  <c r="J27"/>
  <c r="J26"/>
  <c r="J25"/>
  <c r="J24"/>
  <c r="J23"/>
  <c r="J21"/>
  <c r="J20"/>
  <c r="J19"/>
  <c r="J18"/>
  <c r="J17"/>
  <c r="J16"/>
  <c r="J15"/>
  <c r="J14"/>
  <c r="J13"/>
  <c r="J12"/>
  <c r="U33" i="10"/>
  <c r="U32"/>
  <c r="U31"/>
  <c r="U30"/>
  <c r="U29"/>
  <c r="U28"/>
  <c r="U27"/>
  <c r="U26"/>
  <c r="U25"/>
  <c r="U24"/>
  <c r="U23"/>
  <c r="U22"/>
  <c r="U21"/>
  <c r="U20"/>
  <c r="U19"/>
  <c r="U18"/>
  <c r="U17"/>
  <c r="U16"/>
  <c r="U15"/>
  <c r="U14"/>
  <c r="U13"/>
  <c r="U12"/>
  <c r="U11"/>
  <c r="U10"/>
  <c r="U9"/>
  <c r="U8"/>
  <c r="U7"/>
  <c r="E33"/>
  <c r="E32"/>
  <c r="E31"/>
  <c r="E30"/>
  <c r="E29"/>
  <c r="E28"/>
  <c r="E27"/>
  <c r="E26"/>
  <c r="E25"/>
  <c r="E24"/>
  <c r="E23"/>
  <c r="E22"/>
  <c r="E21"/>
  <c r="E20"/>
  <c r="E19"/>
  <c r="E18"/>
  <c r="E17"/>
  <c r="E16"/>
  <c r="E15"/>
  <c r="E14"/>
  <c r="E13"/>
  <c r="E12"/>
  <c r="E11"/>
  <c r="E10"/>
  <c r="E9"/>
  <c r="E8"/>
  <c r="E7"/>
  <c r="E53" i="2"/>
  <c r="E52"/>
  <c r="E51"/>
  <c r="E49"/>
  <c r="E48"/>
  <c r="E47"/>
  <c r="E46"/>
  <c r="E45"/>
  <c r="E44"/>
  <c r="E43"/>
  <c r="E42"/>
  <c r="E41"/>
  <c r="E39"/>
  <c r="E38"/>
  <c r="E37"/>
  <c r="E36"/>
  <c r="E35"/>
  <c r="E34"/>
  <c r="E32"/>
  <c r="E29"/>
  <c r="AA53"/>
  <c r="AA52"/>
  <c r="AA51"/>
  <c r="AA50"/>
  <c r="AA49"/>
  <c r="AA48"/>
  <c r="AA47"/>
  <c r="AA46"/>
  <c r="AA45"/>
  <c r="AA44"/>
  <c r="AA43"/>
  <c r="AA42"/>
  <c r="AA41"/>
  <c r="AA40"/>
  <c r="AA39"/>
  <c r="AA38"/>
  <c r="AA37"/>
  <c r="AA36"/>
  <c r="AA35"/>
  <c r="AA34"/>
  <c r="AA33"/>
  <c r="AA32"/>
  <c r="AA31"/>
  <c r="AA30"/>
  <c r="AA29"/>
  <c r="AA28"/>
  <c r="E28"/>
  <c r="E27"/>
  <c r="E26"/>
  <c r="E25"/>
  <c r="E24"/>
  <c r="E23"/>
  <c r="E21"/>
  <c r="E20"/>
  <c r="E19"/>
  <c r="E18"/>
  <c r="E17"/>
  <c r="E16"/>
  <c r="E15"/>
  <c r="E14"/>
  <c r="E13"/>
  <c r="E12"/>
  <c r="E10"/>
  <c r="E9"/>
  <c r="E8"/>
  <c r="AA27"/>
  <c r="AA26"/>
  <c r="AA25"/>
  <c r="AA24"/>
  <c r="AA23"/>
  <c r="AA22"/>
  <c r="AA21"/>
  <c r="AA20"/>
  <c r="AA19"/>
  <c r="AA18"/>
  <c r="AA17"/>
  <c r="AA16"/>
  <c r="AA15"/>
  <c r="AA14"/>
  <c r="AA13"/>
  <c r="AA12"/>
  <c r="AA11"/>
  <c r="AA10"/>
  <c r="AA9"/>
  <c r="AA8"/>
  <c r="W33" i="10"/>
  <c r="W32"/>
  <c r="W31"/>
  <c r="W30"/>
  <c r="W29"/>
  <c r="W28"/>
  <c r="W27"/>
  <c r="W26"/>
  <c r="W25"/>
  <c r="W24"/>
  <c r="W23"/>
  <c r="W22"/>
  <c r="W21"/>
  <c r="W20"/>
  <c r="W19"/>
  <c r="W18"/>
  <c r="W17"/>
  <c r="W16"/>
  <c r="W15"/>
  <c r="W14"/>
  <c r="W13"/>
  <c r="W12"/>
  <c r="W11"/>
  <c r="W10"/>
  <c r="W9"/>
  <c r="W8"/>
  <c r="W7"/>
  <c r="G32"/>
  <c r="G29"/>
  <c r="G28"/>
  <c r="G27"/>
  <c r="G26"/>
  <c r="G25"/>
  <c r="G24"/>
  <c r="G23"/>
  <c r="G22"/>
  <c r="G21"/>
  <c r="G20"/>
  <c r="G19"/>
  <c r="G18"/>
  <c r="G17"/>
  <c r="G16"/>
  <c r="G15"/>
  <c r="G14"/>
  <c r="G13"/>
  <c r="G12"/>
  <c r="G11"/>
  <c r="G10"/>
  <c r="G9"/>
  <c r="G8"/>
  <c r="G7"/>
  <c r="G53" i="2"/>
  <c r="G52"/>
  <c r="G47"/>
  <c r="G45"/>
  <c r="G44"/>
  <c r="G43"/>
  <c r="G42"/>
  <c r="G41"/>
  <c r="G39"/>
  <c r="G38"/>
  <c r="G37"/>
  <c r="G36"/>
  <c r="G35"/>
  <c r="G34"/>
  <c r="AC53"/>
  <c r="AC52"/>
  <c r="AC51"/>
  <c r="AC50"/>
  <c r="AC49"/>
  <c r="AC48"/>
  <c r="AC47"/>
  <c r="AC46"/>
  <c r="AC45"/>
  <c r="AC44"/>
  <c r="AC43"/>
  <c r="AC42"/>
  <c r="AC41"/>
  <c r="AC40"/>
  <c r="AC39"/>
  <c r="AC38"/>
  <c r="AC37"/>
  <c r="AC36"/>
  <c r="AC35"/>
  <c r="AC34"/>
  <c r="AC33"/>
  <c r="AC32"/>
  <c r="AC31"/>
  <c r="AC30"/>
  <c r="AC29"/>
  <c r="AC28"/>
  <c r="G28"/>
  <c r="G27"/>
  <c r="G26"/>
  <c r="G25"/>
  <c r="G24"/>
  <c r="G23"/>
  <c r="G21"/>
  <c r="G20"/>
  <c r="G19"/>
  <c r="G18"/>
  <c r="G17"/>
  <c r="G16"/>
  <c r="G15"/>
  <c r="G14"/>
  <c r="G13"/>
  <c r="G12"/>
  <c r="AC27"/>
  <c r="AC26"/>
  <c r="AC25"/>
  <c r="AC24"/>
  <c r="AC23"/>
  <c r="AC22"/>
  <c r="AC21"/>
  <c r="AC20"/>
  <c r="AC19"/>
  <c r="AC18"/>
  <c r="AC17"/>
  <c r="AC16"/>
  <c r="AC15"/>
  <c r="AC14"/>
  <c r="AC13"/>
  <c r="AC12"/>
  <c r="AC11"/>
  <c r="AC10"/>
  <c r="AC9"/>
  <c r="AC8"/>
  <c r="B33" i="10"/>
  <c r="B32"/>
  <c r="B31"/>
  <c r="B30"/>
  <c r="B29"/>
  <c r="B28"/>
  <c r="B27"/>
  <c r="B26"/>
  <c r="B25"/>
  <c r="B24"/>
  <c r="B23"/>
  <c r="B22"/>
  <c r="B21"/>
  <c r="B20"/>
  <c r="B19"/>
  <c r="B18"/>
  <c r="B17"/>
  <c r="B16"/>
  <c r="B15"/>
  <c r="B14"/>
  <c r="B13"/>
  <c r="B12"/>
  <c r="B11"/>
  <c r="B10"/>
  <c r="B9"/>
  <c r="B8"/>
  <c r="B7"/>
  <c r="R33"/>
  <c r="R32"/>
  <c r="R31"/>
  <c r="R30"/>
  <c r="R29"/>
  <c r="R28"/>
  <c r="R27"/>
  <c r="R26"/>
  <c r="R25"/>
  <c r="R24"/>
  <c r="R23"/>
  <c r="R22"/>
  <c r="R21"/>
  <c r="R20"/>
  <c r="R19"/>
  <c r="R18"/>
  <c r="R17"/>
  <c r="R16"/>
  <c r="R15"/>
  <c r="R14"/>
  <c r="R13"/>
  <c r="R12"/>
  <c r="R11"/>
  <c r="R10"/>
  <c r="R9"/>
  <c r="R8"/>
  <c r="R7"/>
  <c r="X53" i="2"/>
  <c r="X52"/>
  <c r="X51"/>
  <c r="X50"/>
  <c r="X49"/>
  <c r="X48"/>
  <c r="X47"/>
  <c r="X46"/>
  <c r="X45"/>
  <c r="X44"/>
  <c r="X43"/>
  <c r="X42"/>
  <c r="X41"/>
  <c r="X40"/>
  <c r="X39"/>
  <c r="X38"/>
  <c r="X37"/>
  <c r="X36"/>
  <c r="X35"/>
  <c r="X34"/>
  <c r="X33"/>
  <c r="X32"/>
  <c r="X31"/>
  <c r="X30"/>
  <c r="X29"/>
  <c r="X28"/>
  <c r="B53"/>
  <c r="B52"/>
  <c r="B51"/>
  <c r="B49"/>
  <c r="B48"/>
  <c r="B47"/>
  <c r="B46"/>
  <c r="B45"/>
  <c r="B44"/>
  <c r="B43"/>
  <c r="B42"/>
  <c r="B41"/>
  <c r="B39"/>
  <c r="B38"/>
  <c r="B37"/>
  <c r="B36"/>
  <c r="B35"/>
  <c r="B34"/>
  <c r="B32"/>
  <c r="B29"/>
  <c r="X27"/>
  <c r="X26"/>
  <c r="X25"/>
  <c r="X24"/>
  <c r="X23"/>
  <c r="X22"/>
  <c r="X21"/>
  <c r="X20"/>
  <c r="X19"/>
  <c r="X18"/>
  <c r="X17"/>
  <c r="X16"/>
  <c r="X15"/>
  <c r="X14"/>
  <c r="X13"/>
  <c r="X12"/>
  <c r="X11"/>
  <c r="X10"/>
  <c r="X9"/>
  <c r="X8"/>
  <c r="B28"/>
  <c r="B27"/>
  <c r="B26"/>
  <c r="B25"/>
  <c r="B24"/>
  <c r="B23"/>
  <c r="B21"/>
  <c r="B20"/>
  <c r="B19"/>
  <c r="B18"/>
  <c r="B17"/>
  <c r="B16"/>
  <c r="B15"/>
  <c r="B14"/>
  <c r="B13"/>
  <c r="B12"/>
  <c r="B10"/>
  <c r="B9"/>
  <c r="B8"/>
  <c r="D33" i="10"/>
  <c r="D32"/>
  <c r="D31"/>
  <c r="D30"/>
  <c r="D29"/>
  <c r="D28"/>
  <c r="D27"/>
  <c r="D26"/>
  <c r="D25"/>
  <c r="D24"/>
  <c r="D23"/>
  <c r="D22"/>
  <c r="D21"/>
  <c r="D20"/>
  <c r="D19"/>
  <c r="D18"/>
  <c r="D17"/>
  <c r="D16"/>
  <c r="D15"/>
  <c r="D14"/>
  <c r="D13"/>
  <c r="D12"/>
  <c r="D11"/>
  <c r="D10"/>
  <c r="D9"/>
  <c r="D8"/>
  <c r="D7"/>
  <c r="T33"/>
  <c r="T32"/>
  <c r="T31"/>
  <c r="T30"/>
  <c r="T29"/>
  <c r="T28"/>
  <c r="T27"/>
  <c r="T26"/>
  <c r="T25"/>
  <c r="T24"/>
  <c r="T23"/>
  <c r="T22"/>
  <c r="T21"/>
  <c r="T20"/>
  <c r="T19"/>
  <c r="T18"/>
  <c r="T17"/>
  <c r="T16"/>
  <c r="T15"/>
  <c r="T14"/>
  <c r="T13"/>
  <c r="T12"/>
  <c r="T11"/>
  <c r="T10"/>
  <c r="T9"/>
  <c r="T8"/>
  <c r="T7"/>
  <c r="Z53" i="2"/>
  <c r="Z52"/>
  <c r="Z51"/>
  <c r="Z50"/>
  <c r="Z49"/>
  <c r="Z48"/>
  <c r="Z47"/>
  <c r="Z46"/>
  <c r="Z45"/>
  <c r="Z44"/>
  <c r="Z43"/>
  <c r="Z42"/>
  <c r="Z41"/>
  <c r="Z40"/>
  <c r="Z39"/>
  <c r="Z38"/>
  <c r="Z37"/>
  <c r="Z36"/>
  <c r="Z35"/>
  <c r="Z34"/>
  <c r="Z33"/>
  <c r="Z32"/>
  <c r="Z31"/>
  <c r="Z30"/>
  <c r="Z29"/>
  <c r="Z28"/>
  <c r="D53"/>
  <c r="D52"/>
  <c r="D51"/>
  <c r="D49"/>
  <c r="D48"/>
  <c r="D47"/>
  <c r="D46"/>
  <c r="D45"/>
  <c r="D44"/>
  <c r="D43"/>
  <c r="D42"/>
  <c r="D41"/>
  <c r="D39"/>
  <c r="D38"/>
  <c r="D37"/>
  <c r="D36"/>
  <c r="D35"/>
  <c r="D34"/>
  <c r="D32"/>
  <c r="D29"/>
  <c r="Z27"/>
  <c r="Z26"/>
  <c r="Z25"/>
  <c r="Z24"/>
  <c r="Z23"/>
  <c r="Z22"/>
  <c r="Z21"/>
  <c r="Z20"/>
  <c r="Z19"/>
  <c r="Z18"/>
  <c r="Z17"/>
  <c r="Z16"/>
  <c r="Z15"/>
  <c r="Z14"/>
  <c r="Z13"/>
  <c r="Z12"/>
  <c r="Z11"/>
  <c r="Z10"/>
  <c r="Z9"/>
  <c r="Z8"/>
  <c r="D28"/>
  <c r="D27"/>
  <c r="D26"/>
  <c r="D25"/>
  <c r="D24"/>
  <c r="D23"/>
  <c r="D21"/>
  <c r="D20"/>
  <c r="D19"/>
  <c r="D18"/>
  <c r="D17"/>
  <c r="D16"/>
  <c r="D15"/>
  <c r="D14"/>
  <c r="D13"/>
  <c r="D12"/>
  <c r="D10"/>
  <c r="D9"/>
  <c r="D8"/>
  <c r="F33" i="10"/>
  <c r="F32"/>
  <c r="F31"/>
  <c r="F30"/>
  <c r="F29"/>
  <c r="F28"/>
  <c r="F27"/>
  <c r="F26"/>
  <c r="F25"/>
  <c r="F24"/>
  <c r="F23"/>
  <c r="F22"/>
  <c r="F21"/>
  <c r="F20"/>
  <c r="F19"/>
  <c r="F18"/>
  <c r="F17"/>
  <c r="F16"/>
  <c r="F15"/>
  <c r="F14"/>
  <c r="F13"/>
  <c r="F12"/>
  <c r="F11"/>
  <c r="F10"/>
  <c r="F9"/>
  <c r="F8"/>
  <c r="F7"/>
  <c r="V33"/>
  <c r="V32"/>
  <c r="V31"/>
  <c r="V30"/>
  <c r="V29"/>
  <c r="V28"/>
  <c r="V27"/>
  <c r="V26"/>
  <c r="V25"/>
  <c r="V24"/>
  <c r="V23"/>
  <c r="V22"/>
  <c r="V21"/>
  <c r="V20"/>
  <c r="V19"/>
  <c r="V18"/>
  <c r="V17"/>
  <c r="V16"/>
  <c r="V15"/>
  <c r="V14"/>
  <c r="V13"/>
  <c r="V12"/>
  <c r="V11"/>
  <c r="V10"/>
  <c r="V9"/>
  <c r="V8"/>
  <c r="V7"/>
  <c r="AB53" i="2"/>
  <c r="AB52"/>
  <c r="AB51"/>
  <c r="AB50"/>
  <c r="AB49"/>
  <c r="AB48"/>
  <c r="AB47"/>
  <c r="AB46"/>
  <c r="AB45"/>
  <c r="AB44"/>
  <c r="AB43"/>
  <c r="AB42"/>
  <c r="AB41"/>
  <c r="AB40"/>
  <c r="AB39"/>
  <c r="AB38"/>
  <c r="AB37"/>
  <c r="AB36"/>
  <c r="AB35"/>
  <c r="AB34"/>
  <c r="AB33"/>
  <c r="AB32"/>
  <c r="AB31"/>
  <c r="AB30"/>
  <c r="AB29"/>
  <c r="AB28"/>
  <c r="F53"/>
  <c r="F52"/>
  <c r="F51"/>
  <c r="F49"/>
  <c r="F48"/>
  <c r="F47"/>
  <c r="F46"/>
  <c r="F45"/>
  <c r="F44"/>
  <c r="F43"/>
  <c r="F42"/>
  <c r="F41"/>
  <c r="F39"/>
  <c r="F38"/>
  <c r="F37"/>
  <c r="F36"/>
  <c r="F35"/>
  <c r="F34"/>
  <c r="F32"/>
  <c r="F29"/>
  <c r="AB27"/>
  <c r="AB26"/>
  <c r="AB25"/>
  <c r="AB24"/>
  <c r="AB23"/>
  <c r="AB22"/>
  <c r="AB21"/>
  <c r="AB20"/>
  <c r="AB19"/>
  <c r="AB18"/>
  <c r="AB17"/>
  <c r="AB16"/>
  <c r="AB15"/>
  <c r="AB14"/>
  <c r="AB13"/>
  <c r="AB12"/>
  <c r="AB11"/>
  <c r="AB10"/>
  <c r="AB9"/>
  <c r="AB8"/>
  <c r="F28"/>
  <c r="F27"/>
  <c r="F26"/>
  <c r="F25"/>
  <c r="F24"/>
  <c r="F23"/>
  <c r="F21"/>
  <c r="F20"/>
  <c r="F19"/>
  <c r="F18"/>
  <c r="F17"/>
  <c r="F16"/>
  <c r="F15"/>
  <c r="F14"/>
  <c r="F13"/>
  <c r="F12"/>
  <c r="F10"/>
  <c r="F9"/>
  <c r="F8"/>
</calcChain>
</file>

<file path=xl/sharedStrings.xml><?xml version="1.0" encoding="utf-8"?>
<sst xmlns="http://schemas.openxmlformats.org/spreadsheetml/2006/main" count="1117" uniqueCount="317">
  <si>
    <t>Table 1.1 Total Managed Expenditure, 2006-07 to 2014-15</t>
  </si>
  <si>
    <t>£ million</t>
  </si>
  <si>
    <t>National Statistics</t>
  </si>
  <si>
    <t>2006-07</t>
  </si>
  <si>
    <t>2007-08</t>
  </si>
  <si>
    <t>2008-09</t>
  </si>
  <si>
    <t>2009-10</t>
  </si>
  <si>
    <t>2010-11</t>
  </si>
  <si>
    <t>2011-12</t>
  </si>
  <si>
    <t>2012-13</t>
  </si>
  <si>
    <t>2013-14</t>
  </si>
  <si>
    <t>2014-15</t>
  </si>
  <si>
    <t>outturn</t>
  </si>
  <si>
    <t>plans</t>
  </si>
  <si>
    <t>CURRENT EXPENDITURE</t>
  </si>
  <si>
    <t>Resource DEL</t>
  </si>
  <si>
    <r>
      <t xml:space="preserve">Resource DEL excluding depreciation </t>
    </r>
    <r>
      <rPr>
        <vertAlign val="superscript"/>
        <sz val="8"/>
        <rFont val="Humnst777 Lt BT"/>
        <family val="2"/>
      </rPr>
      <t>(1)</t>
    </r>
  </si>
  <si>
    <r>
      <t xml:space="preserve">Depreciation in resource DEL </t>
    </r>
    <r>
      <rPr>
        <vertAlign val="superscript"/>
        <sz val="8"/>
        <rFont val="Humnst777 Lt BT"/>
        <family val="2"/>
      </rPr>
      <t>(1)</t>
    </r>
  </si>
  <si>
    <t>Total resource DEL</t>
  </si>
  <si>
    <t>Resource departmental AME</t>
  </si>
  <si>
    <t>Social security benefits</t>
  </si>
  <si>
    <r>
      <t xml:space="preserve">Tax credits </t>
    </r>
    <r>
      <rPr>
        <vertAlign val="superscript"/>
        <sz val="8"/>
        <rFont val="Humnst777 Lt BT"/>
        <family val="2"/>
      </rPr>
      <t>(2)</t>
    </r>
  </si>
  <si>
    <r>
      <t xml:space="preserve">Net public service pensions </t>
    </r>
    <r>
      <rPr>
        <vertAlign val="superscript"/>
        <sz val="8"/>
        <rFont val="Humnst777 Lt BT"/>
        <family val="2"/>
      </rPr>
      <t>(3)</t>
    </r>
  </si>
  <si>
    <t>National lottery</t>
  </si>
  <si>
    <t>BBC domestic services</t>
  </si>
  <si>
    <t>Student loans</t>
  </si>
  <si>
    <t>Non-cash items</t>
  </si>
  <si>
    <t>Financial sector interventions</t>
  </si>
  <si>
    <t>Other departmental expenditure</t>
  </si>
  <si>
    <t>Total resource departmental AME</t>
  </si>
  <si>
    <t>Resource other AME</t>
  </si>
  <si>
    <t>Net expenditure transfers to the EC</t>
  </si>
  <si>
    <t>Locally financed expenditure</t>
  </si>
  <si>
    <t>Central government gross debt interest</t>
  </si>
  <si>
    <r>
      <t xml:space="preserve">Accounting adjustments </t>
    </r>
    <r>
      <rPr>
        <vertAlign val="superscript"/>
        <sz val="8"/>
        <rFont val="Humnst777 Lt BT"/>
        <family val="2"/>
      </rPr>
      <t>(4)</t>
    </r>
  </si>
  <si>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</si>
  <si>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</si>
  <si>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</si>
  <si>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</si>
  <si>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</si>
  <si>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</si>
  <si>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</si>
  <si>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</si>
  <si>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</si>
  <si>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</si>
  <si>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</si>
  <si>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</si>
  <si>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r>
      <t xml:space="preserve">Public sector gross investment </t>
    </r>
    <r>
      <rPr>
        <vertAlign val="superscript"/>
        <sz val="8"/>
        <rFont val="Humnst777 BlkCn BT"/>
        <family val="2"/>
      </rPr>
      <t>(5)</t>
    </r>
  </si>
  <si>
    <r>
      <t>less</t>
    </r>
    <r>
      <rPr>
        <sz val="8"/>
        <rFont val="Humnst777 Lt BT"/>
        <family val="2"/>
      </rPr>
      <t xml:space="preserve"> public sector depreciation </t>
    </r>
    <r>
      <rPr>
        <vertAlign val="superscript"/>
        <sz val="8"/>
        <rFont val="Humnst777 Lt BT"/>
        <family val="2"/>
      </rPr>
      <t>(5)</t>
    </r>
  </si>
  <si>
    <r>
      <t xml:space="preserve">Public sector net investment </t>
    </r>
    <r>
      <rPr>
        <vertAlign val="superscript"/>
        <sz val="8"/>
        <rFont val="Humnst777 BlkCn BT"/>
        <family val="2"/>
      </rPr>
      <t>(5)</t>
    </r>
  </si>
  <si>
    <r>
      <t xml:space="preserve">TOTAL MANAGED EXPENDITURE </t>
    </r>
    <r>
      <rPr>
        <vertAlign val="superscript"/>
        <sz val="8"/>
        <rFont val="Humnst777 BlkCn BT"/>
        <family val="2"/>
      </rPr>
      <t>(5)</t>
    </r>
  </si>
  <si>
    <t>of which:</t>
  </si>
  <si>
    <r>
      <t xml:space="preserve">Total DEL </t>
    </r>
    <r>
      <rPr>
        <vertAlign val="superscript"/>
        <sz val="8"/>
        <rFont val="Humnst777 Lt BT"/>
        <family val="2"/>
      </rPr>
      <t>(6)</t>
    </r>
  </si>
  <si>
    <t>Departmental AME</t>
  </si>
  <si>
    <t>Other AME</t>
  </si>
  <si>
    <t>(1) As part of the Spending Review 2010 DEL was presented less depreciation. This is continued in this table to allow comparison.</t>
  </si>
  <si>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</si>
  <si>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(4) Transactions from 2008-09 onwards have been affected by financial sector interventions, see Box 2.A in Chapter 2.</t>
  </si>
  <si>
    <t>(5) This excludes the temporary effects of banks being classified to the public sector. See Box 5.A in Chapter 5.</t>
  </si>
  <si>
    <t>(6) Total DEL is given by resource DEL excluding depreciation plus capital DEL.</t>
  </si>
  <si>
    <r>
      <t xml:space="preserve">Table 1.2 Total Managed Expenditure in real terms </t>
    </r>
    <r>
      <rPr>
        <vertAlign val="superscript"/>
        <sz val="11"/>
        <color indexed="30"/>
        <rFont val="Humnst777 BlkCn BT"/>
        <family val="2"/>
      </rPr>
      <t>(1)</t>
    </r>
    <r>
      <rPr>
        <sz val="11"/>
        <color indexed="30"/>
        <rFont val="Humnst777 BlkCn BT"/>
        <family val="2"/>
      </rPr>
      <t>, 2006-07 to 2014-15</t>
    </r>
  </si>
  <si>
    <r>
      <t xml:space="preserve">Resource DEL excluding depreciation </t>
    </r>
    <r>
      <rPr>
        <vertAlign val="superscript"/>
        <sz val="8"/>
        <rFont val="Humnst777 Lt BT"/>
        <family val="2"/>
      </rPr>
      <t>(2)</t>
    </r>
  </si>
  <si>
    <r>
      <t xml:space="preserve">Depreciation in resource DEL </t>
    </r>
    <r>
      <rPr>
        <vertAlign val="superscript"/>
        <sz val="8"/>
        <rFont val="Humnst777 Lt BT"/>
        <family val="2"/>
      </rPr>
      <t>(2)</t>
    </r>
  </si>
  <si>
    <r>
      <t xml:space="preserve">Tax credits </t>
    </r>
    <r>
      <rPr>
        <vertAlign val="superscript"/>
        <sz val="8"/>
        <rFont val="Humnst777 Lt BT"/>
        <family val="2"/>
      </rPr>
      <t>(3)</t>
    </r>
  </si>
  <si>
    <r>
      <t xml:space="preserve">Net public service pensions </t>
    </r>
    <r>
      <rPr>
        <vertAlign val="superscript"/>
        <sz val="8"/>
        <rFont val="Humnst777 Lt BT"/>
        <family val="2"/>
      </rPr>
      <t>(4)</t>
    </r>
  </si>
  <si>
    <r>
      <t xml:space="preserve">Accounting adjustments </t>
    </r>
    <r>
      <rPr>
        <vertAlign val="superscript"/>
        <sz val="8"/>
        <rFont val="Humnst777 Lt BT"/>
        <family val="2"/>
      </rPr>
      <t>(5)</t>
    </r>
  </si>
  <si>
    <r>
      <t xml:space="preserve">Public sector gross investment </t>
    </r>
    <r>
      <rPr>
        <vertAlign val="superscript"/>
        <sz val="8"/>
        <rFont val="Humnst777 BlkCn BT"/>
        <family val="2"/>
      </rPr>
      <t>(6)</t>
    </r>
  </si>
  <si>
    <r>
      <t>less</t>
    </r>
    <r>
      <rPr>
        <sz val="8"/>
        <rFont val="Humnst777 Lt BT"/>
        <family val="2"/>
      </rPr>
      <t xml:space="preserve"> public sector depreciation </t>
    </r>
    <r>
      <rPr>
        <vertAlign val="superscript"/>
        <sz val="8"/>
        <rFont val="Humnst777 Lt BT"/>
        <family val="2"/>
      </rPr>
      <t>(6)</t>
    </r>
  </si>
  <si>
    <r>
      <t xml:space="preserve">Public sector net investment </t>
    </r>
    <r>
      <rPr>
        <vertAlign val="superscript"/>
        <sz val="8"/>
        <rFont val="Humnst777 BlkCn BT"/>
        <family val="2"/>
      </rPr>
      <t>(6)</t>
    </r>
  </si>
  <si>
    <r>
      <t xml:space="preserve">TOTAL MANAGED EXPENDITURE </t>
    </r>
    <r>
      <rPr>
        <vertAlign val="superscript"/>
        <sz val="8"/>
        <rFont val="Humnst777 BlkCn BT"/>
        <family val="2"/>
      </rPr>
      <t>(6)</t>
    </r>
  </si>
  <si>
    <r>
      <t xml:space="preserve">Total DEL </t>
    </r>
    <r>
      <rPr>
        <vertAlign val="superscript"/>
        <sz val="8"/>
        <rFont val="Humnst777 Lt BT"/>
        <family val="2"/>
      </rPr>
      <t>(7)</t>
    </r>
  </si>
  <si>
    <t>(2) As part of the Spending Review 2010 DEL was presented less depreciation. This is continued in this table to allow comparison.</t>
  </si>
  <si>
    <t>(3)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</si>
  <si>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(5) Transactions from 2008-09 onwards have been affected by financial sector interventions, see Box 2.A in Chapter 2.</t>
  </si>
  <si>
    <t>(6) This excludes the temporary effects of banks being classified to the public sector. See Box 5.A in Chapter 5.</t>
  </si>
  <si>
    <t>(7) Total DEL is given by resource DEL excluding depreciation plus capital DEL.</t>
  </si>
  <si>
    <t>Table 1.3 Resource budgets, 2006-07 to 2014-15</t>
  </si>
  <si>
    <t>Resource DEL by departmental group</t>
  </si>
  <si>
    <r>
      <t xml:space="preserve">NHS (Health) </t>
    </r>
    <r>
      <rPr>
        <vertAlign val="superscript"/>
        <sz val="8"/>
        <rFont val="Humnst777 Lt BT"/>
        <family val="2"/>
      </rPr>
      <t>(2)</t>
    </r>
  </si>
  <si>
    <r>
      <t xml:space="preserve">Personal Social Services (Health) </t>
    </r>
    <r>
      <rPr>
        <vertAlign val="superscript"/>
        <sz val="8"/>
        <rFont val="Humnst777 Lt BT"/>
        <family val="2"/>
      </rPr>
      <t>(3)</t>
    </r>
  </si>
  <si>
    <t>Transport</t>
  </si>
  <si>
    <t>CLG Communities</t>
  </si>
  <si>
    <t>Business, Innovation and Skills</t>
  </si>
  <si>
    <t>Home Office</t>
  </si>
  <si>
    <t>Justice</t>
  </si>
  <si>
    <t>Law Officers' Departments</t>
  </si>
  <si>
    <t>Defence</t>
  </si>
  <si>
    <t>Foreign and Commonwealth Office</t>
  </si>
  <si>
    <t>International Development</t>
  </si>
  <si>
    <t>Energy and Climate Change</t>
  </si>
  <si>
    <t>Environment, Food and Rural Affairs</t>
  </si>
  <si>
    <t>Culture, Media and Sport</t>
  </si>
  <si>
    <t>Work and Pensions</t>
  </si>
  <si>
    <t>Scotland</t>
  </si>
  <si>
    <t>Wales</t>
  </si>
  <si>
    <t>Northern Ireland</t>
  </si>
  <si>
    <t>Chancellor's Departments</t>
  </si>
  <si>
    <t>Cabinet Office</t>
  </si>
  <si>
    <t>Independent Bodies</t>
  </si>
  <si>
    <t>Reserve</t>
  </si>
  <si>
    <t>Special reserve</t>
  </si>
  <si>
    <t>Green Investment Bank</t>
  </si>
  <si>
    <t>Resource departmental AME by departmental group</t>
  </si>
  <si>
    <t>Education</t>
  </si>
  <si>
    <t>NHS (Health)</t>
  </si>
  <si>
    <t>CLG Local Government</t>
  </si>
  <si>
    <t>Total resource budget</t>
  </si>
  <si>
    <t>(2) NHS (Health) includes Food Standards Agency, see Annex B.</t>
  </si>
  <si>
    <t>(3) Personal Social Services (Health) are grants previously paid by the Department of Health that are now included in CLG Local Government's budget, see paragraph 1.7.</t>
  </si>
  <si>
    <r>
      <t xml:space="preserve">Table 1.3a Resource DEL less depreciation </t>
    </r>
    <r>
      <rPr>
        <vertAlign val="superscript"/>
        <sz val="11"/>
        <color indexed="30"/>
        <rFont val="Humnst777 BlkCn BT"/>
        <family val="2"/>
      </rPr>
      <t>(1)</t>
    </r>
    <r>
      <rPr>
        <sz val="11"/>
        <color indexed="30"/>
        <rFont val="Humnst777 BlkCn BT"/>
        <family val="2"/>
      </rPr>
      <t>, 2006-07 to 2014-15</t>
    </r>
  </si>
  <si>
    <t>Resource DEL less depreciation by departmental group</t>
  </si>
  <si>
    <r>
      <t xml:space="preserve">NHS (Health) </t>
    </r>
    <r>
      <rPr>
        <vertAlign val="superscript"/>
        <sz val="8"/>
        <rFont val="Humnst777 Lt BT"/>
        <family val="2"/>
      </rPr>
      <t>(3)</t>
    </r>
  </si>
  <si>
    <r>
      <t xml:space="preserve">Personal Social Services (Health) </t>
    </r>
    <r>
      <rPr>
        <vertAlign val="superscript"/>
        <sz val="8"/>
        <rFont val="Humnst777 Lt BT"/>
        <family val="2"/>
      </rPr>
      <t>(4)</t>
    </r>
  </si>
  <si>
    <t>Total Resource DEL less depreciation</t>
  </si>
  <si>
    <t>(3) NHS (Health) includes Food Standards Agency, see Annex B.</t>
  </si>
  <si>
    <t>(4) Personal Social Services (Health) are grants previously paid by the Department of Health that are now included in CLG Local Government's budget, see paragraph 1.7.</t>
  </si>
  <si>
    <r>
      <t xml:space="preserve">Table 1.4 Resource budgets in real terms </t>
    </r>
    <r>
      <rPr>
        <vertAlign val="superscript"/>
        <sz val="11"/>
        <color indexed="30"/>
        <rFont val="Humnst777 BlkCn BT"/>
        <family val="2"/>
      </rPr>
      <t>(1)</t>
    </r>
    <r>
      <rPr>
        <sz val="11"/>
        <color indexed="30"/>
        <rFont val="Humnst777 BlkCn BT"/>
        <family val="2"/>
      </rPr>
      <t>, 2006-07 to 2014-15</t>
    </r>
  </si>
  <si>
    <r>
      <t xml:space="preserve">Table 1.5 Administrative budgets </t>
    </r>
    <r>
      <rPr>
        <vertAlign val="superscript"/>
        <sz val="11"/>
        <color indexed="30"/>
        <rFont val="Humnst777 BlkCn BT"/>
        <family val="2"/>
      </rPr>
      <t>(1)</t>
    </r>
    <r>
      <rPr>
        <sz val="11"/>
        <color indexed="30"/>
        <rFont val="Humnst777 BlkCn BT"/>
        <family val="2"/>
      </rPr>
      <t>, 2006-07 to 2014-15</t>
    </r>
  </si>
  <si>
    <r>
      <t xml:space="preserve">Defence </t>
    </r>
    <r>
      <rPr>
        <vertAlign val="superscript"/>
        <sz val="8"/>
        <rFont val="Humnst777 Lt BT"/>
        <family val="2"/>
      </rPr>
      <t>(2)</t>
    </r>
  </si>
  <si>
    <t>Devolved Offices</t>
  </si>
  <si>
    <r>
      <t xml:space="preserve">of which: Security and Intelligence Agencies </t>
    </r>
    <r>
      <rPr>
        <i/>
        <vertAlign val="superscript"/>
        <sz val="8"/>
        <rFont val="Humnst777 Lt BT"/>
        <family val="2"/>
      </rPr>
      <t>(2)</t>
    </r>
  </si>
  <si>
    <t>Total administration budgets</t>
  </si>
  <si>
    <t>of which: administration costs paybill</t>
  </si>
  <si>
    <r>
      <t xml:space="preserve">Administration budgets as a percentage of Total Managed Expenditure </t>
    </r>
    <r>
      <rPr>
        <vertAlign val="superscript"/>
        <sz val="8"/>
        <rFont val="Humnst777 BlkCn BT"/>
        <family val="2"/>
      </rPr>
      <t>(3)</t>
    </r>
  </si>
  <si>
    <t>(1) Administration budgets now include Non-Departmental Public Bodies, see paragraph 1.20.</t>
  </si>
  <si>
    <t>(2) The historical data for Defence and Security and Intelligence Agencies are estimates. The former joined the administration budgets regime in the 2007 Comprehensive Spending Review, the latter have estimated the historical impact of reclassifications at the 2007 CSR.</t>
  </si>
  <si>
    <t>(3) TME excludes the temporary effects of banks being classified to the public sector. See Box 5.A for details.</t>
  </si>
  <si>
    <t>Table 1.6 Capital budgets, 2006-07 to 2014-15</t>
  </si>
  <si>
    <t>Capital DEL by departmental group</t>
  </si>
  <si>
    <t>Capital departmental AME by departmental group</t>
  </si>
  <si>
    <t>-</t>
  </si>
  <si>
    <r>
      <t xml:space="preserve">Chancellor's Departments </t>
    </r>
    <r>
      <rPr>
        <vertAlign val="superscript"/>
        <sz val="8"/>
        <rFont val="Humnst777 Lt BT"/>
        <family val="2"/>
      </rPr>
      <t>(1)</t>
    </r>
  </si>
  <si>
    <t>Total capital budget</t>
  </si>
  <si>
    <t>(1) Transactions from 2008-09 onwards have been affected by financial sector interventions, see Box 2.A in Chapter 2.</t>
  </si>
  <si>
    <r>
      <t xml:space="preserve">Table 1.8 Total Departmental Expenditure Limits </t>
    </r>
    <r>
      <rPr>
        <vertAlign val="superscript"/>
        <sz val="11"/>
        <color indexed="30"/>
        <rFont val="Humnst777 BlkCn BT"/>
        <family val="2"/>
      </rPr>
      <t>(1)</t>
    </r>
    <r>
      <rPr>
        <sz val="11"/>
        <color indexed="30"/>
        <rFont val="Humnst777 BlkCn BT"/>
        <family val="2"/>
      </rPr>
      <t>, 2006-07 to 2014-15</t>
    </r>
  </si>
  <si>
    <t>Total DEL by departmental group</t>
  </si>
  <si>
    <t>Total DEL</t>
  </si>
  <si>
    <t>(1) Total DEL is given by resource DEL excluding depreciation (Table 1.3a) plus capital DEL (Table 1.6).</t>
  </si>
  <si>
    <r>
      <t xml:space="preserve">Table 1.9 Total Departmental Expenditure Limits </t>
    </r>
    <r>
      <rPr>
        <vertAlign val="superscript"/>
        <sz val="11"/>
        <color indexed="30"/>
        <rFont val="Humnst777 BlkCn BT"/>
        <family val="2"/>
      </rPr>
      <t xml:space="preserve">(1) </t>
    </r>
    <r>
      <rPr>
        <sz val="11"/>
        <color indexed="30"/>
        <rFont val="Humnst777 BlkCn BT"/>
        <family val="2"/>
      </rPr>
      <t>in real terms</t>
    </r>
    <r>
      <rPr>
        <vertAlign val="superscript"/>
        <sz val="11"/>
        <color indexed="30"/>
        <rFont val="Humnst777 BlkCn BT"/>
        <family val="2"/>
      </rPr>
      <t xml:space="preserve"> (2)</t>
    </r>
    <r>
      <rPr>
        <sz val="11"/>
        <color indexed="30"/>
        <rFont val="Humnst777 BlkCn BT"/>
        <family val="2"/>
      </rPr>
      <t>, 2006-07 to 2014-15</t>
    </r>
  </si>
  <si>
    <r>
      <t xml:space="preserve">Table 1.12 Spending Review 2010 presentation </t>
    </r>
    <r>
      <rPr>
        <vertAlign val="superscript"/>
        <sz val="11"/>
        <color indexed="30"/>
        <rFont val="Humnst777 BlkCn BT"/>
        <family val="2"/>
      </rPr>
      <t>(1)</t>
    </r>
    <r>
      <rPr>
        <sz val="11"/>
        <color indexed="30"/>
        <rFont val="Humnst777 BlkCn BT"/>
        <family val="2"/>
      </rPr>
      <t xml:space="preserve"> of Departmental Expenditure Limits, 2006-07 to 2014-15</t>
    </r>
  </si>
  <si>
    <r>
      <t xml:space="preserve">Resource DEL excluding depreciation </t>
    </r>
    <r>
      <rPr>
        <vertAlign val="superscript"/>
        <sz val="8"/>
        <color indexed="30"/>
        <rFont val="Humnst777 BlkCn BT"/>
        <family val="2"/>
      </rPr>
      <t>(2)</t>
    </r>
  </si>
  <si>
    <t>Personal Social Services (Health)</t>
  </si>
  <si>
    <t>Small and Independent Bodies</t>
  </si>
  <si>
    <r>
      <t xml:space="preserve">Total resource DEL excluding depreciation </t>
    </r>
    <r>
      <rPr>
        <vertAlign val="superscript"/>
        <sz val="8"/>
        <rFont val="Humnst777 BlkCn BT"/>
        <family val="2"/>
      </rPr>
      <t>(2)</t>
    </r>
  </si>
  <si>
    <t>(1) The departmental breakdown in this table is consistent with the Budget 2011 presentation not the PESA departmental groups in Annex B.</t>
  </si>
  <si>
    <t>(2) As part of the Spending Review 2010 DEL was presented less depreciation this is continued in this table to allow comparison.</t>
  </si>
  <si>
    <r>
      <t xml:space="preserve">Table 1.13 Spending Review 2010 presentation </t>
    </r>
    <r>
      <rPr>
        <vertAlign val="superscript"/>
        <sz val="11"/>
        <color indexed="30"/>
        <rFont val="Humnst777 BlkCn BT"/>
        <family val="2"/>
      </rPr>
      <t>(1)</t>
    </r>
    <r>
      <rPr>
        <sz val="11"/>
        <color indexed="30"/>
        <rFont val="Humnst777 BlkCn BT"/>
        <family val="2"/>
      </rPr>
      <t xml:space="preserve"> of Total DEL </t>
    </r>
    <r>
      <rPr>
        <vertAlign val="superscript"/>
        <sz val="11"/>
        <color indexed="30"/>
        <rFont val="Humnst777 BlkCn BT"/>
        <family val="2"/>
      </rPr>
      <t>(2)</t>
    </r>
    <r>
      <rPr>
        <sz val="11"/>
        <color indexed="30"/>
        <rFont val="Humnst777 BlkCn BT"/>
        <family val="2"/>
      </rPr>
      <t>, 2005-06 to 2014-15</t>
    </r>
  </si>
  <si>
    <t xml:space="preserve">Total DEL </t>
  </si>
  <si>
    <r>
      <t xml:space="preserve">Total DEL </t>
    </r>
    <r>
      <rPr>
        <vertAlign val="superscript"/>
        <sz val="8"/>
        <rFont val="Humnst777 BlkCn BT"/>
        <family val="2"/>
      </rPr>
      <t>(2)</t>
    </r>
  </si>
  <si>
    <t>(2) Total DEL is given by resource DEL excluding depreciation plus capital DEL.</t>
  </si>
  <si>
    <r>
      <t>Table 1.10 Accounting adjustments</t>
    </r>
    <r>
      <rPr>
        <b/>
        <vertAlign val="superscript"/>
        <sz val="11"/>
        <color rgb="FF0070C0"/>
        <rFont val="Humnst777 Lt BT"/>
        <family val="2"/>
      </rPr>
      <t>(1)</t>
    </r>
    <r>
      <rPr>
        <b/>
        <sz val="11"/>
        <color rgb="FF0070C0"/>
        <rFont val="Humnst777 Lt BT"/>
        <family val="2"/>
      </rPr>
      <t>, 2006-07 to 2014-15</t>
    </r>
  </si>
  <si>
    <t>£ billion</t>
  </si>
  <si>
    <t>2006-07 outturn</t>
  </si>
  <si>
    <t>2007-08 outturn</t>
  </si>
  <si>
    <t>2008-09 outturn</t>
  </si>
  <si>
    <t>2009-10 outturn</t>
  </si>
  <si>
    <t>2010-11 outturn</t>
  </si>
  <si>
    <t>2011-12 plans</t>
  </si>
  <si>
    <t>2012-13 plans</t>
  </si>
  <si>
    <t>2013-14 plans</t>
  </si>
  <si>
    <t>2014-15 plans</t>
  </si>
  <si>
    <t>Remove data in budgets which form part of public sector current expenditure but where a different source is used for National Accounts</t>
  </si>
  <si>
    <t>Capital consumption (excluding NHS)</t>
  </si>
  <si>
    <t>NHS capital consumption</t>
  </si>
  <si>
    <t>Interest</t>
  </si>
  <si>
    <t>Other</t>
  </si>
  <si>
    <t>Capital consumption</t>
  </si>
  <si>
    <t>Subsidy element of renewable obligation certificates</t>
  </si>
  <si>
    <t>Subsidy element of other environmental levies</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</si>
  <si>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</si>
  <si>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</si>
  <si>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</si>
  <si>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</si>
  <si>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</si>
  <si>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</si>
  <si>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</si>
  <si>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</si>
  <si>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</si>
  <si>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</si>
  <si>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</si>
  <si>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</si>
  <si>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r>
      <t>Northern Ireland Executive transfers between DEL and AME</t>
    </r>
    <r>
      <rPr>
        <vertAlign val="superscript"/>
        <sz val="8"/>
        <color theme="1"/>
        <rFont val="Humnst777 Lt BT"/>
        <family val="2"/>
      </rPr>
      <t>(2)</t>
    </r>
  </si>
  <si>
    <t>Profit or loss - sale of company securities</t>
  </si>
  <si>
    <t>Profit or loss - sale of other assets (capital in National Accounts)</t>
  </si>
  <si>
    <t>Bad debts</t>
  </si>
  <si>
    <t>Provisions</t>
  </si>
  <si>
    <t>Unwinding of discount rate on pension scheme liabilities</t>
  </si>
  <si>
    <t>Release of provisions covering payments of pension benefits</t>
  </si>
  <si>
    <t>Fee income treated as capital in National Accounts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</si>
  <si>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</si>
  <si>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</si>
  <si>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</si>
  <si>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</si>
  <si>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</si>
  <si>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</si>
  <si>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</si>
  <si>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</si>
  <si>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</si>
  <si>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</si>
  <si>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other</t>
  </si>
  <si>
    <r>
      <t>Net social benefits</t>
    </r>
    <r>
      <rPr>
        <vertAlign val="superscript"/>
        <sz val="8"/>
        <color theme="1"/>
        <rFont val="Humnst777 Lt BT"/>
        <family val="2"/>
      </rPr>
      <t>(3)</t>
    </r>
  </si>
  <si>
    <t>of which: switch between benefits and other current grants</t>
  </si>
  <si>
    <t>of which: public service pensions contributions uprate</t>
  </si>
  <si>
    <t>Net current grants abroad</t>
  </si>
  <si>
    <t>of which: attributed aid</t>
  </si>
  <si>
    <t>of which: DfID funding for capital projects scored in resource DEL</t>
  </si>
  <si>
    <t>of which: EU receipts</t>
  </si>
  <si>
    <r>
      <t>Other current grants</t>
    </r>
    <r>
      <rPr>
        <vertAlign val="superscript"/>
        <sz val="8"/>
        <color theme="1"/>
        <rFont val="Humnst777 Lt BT"/>
        <family val="2"/>
      </rPr>
      <t>(3)</t>
    </r>
  </si>
  <si>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</si>
  <si>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</si>
  <si>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</si>
  <si>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</si>
  <si>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</si>
  <si>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</si>
  <si>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</si>
  <si>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</si>
  <si>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</si>
  <si>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</si>
  <si>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</si>
  <si>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</si>
  <si>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</si>
  <si>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</si>
  <si>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</si>
  <si>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</si>
  <si>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</si>
  <si>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</si>
  <si>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</si>
  <si>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</si>
  <si>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</si>
  <si>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</si>
  <si>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</si>
  <si>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</si>
  <si>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r>
      <t>Timing adjustments</t>
    </r>
    <r>
      <rPr>
        <vertAlign val="superscript"/>
        <sz val="8"/>
        <color theme="1"/>
        <rFont val="Humnst777 Lt BT"/>
        <family val="2"/>
      </rPr>
      <t>(4)</t>
    </r>
  </si>
  <si>
    <t xml:space="preserve">Central government </t>
  </si>
  <si>
    <t>Local government</t>
  </si>
  <si>
    <t>(1) The accounting adjustments are described in Annex D.</t>
  </si>
  <si>
    <t>(2) Offsets with Northern Ireland domestic rates (part of other AME and thus not in budgets) in local government adjustments in National Accounts below.</t>
  </si>
  <si>
    <t>(3) In 2006-07 large amounts of expenditure have been switched from other current grants to net social benefits to correct historical misrecording on COINS. Similar switches of far smaller magnitude are also necessary in recent years.</t>
  </si>
  <si>
    <t>(4) Reflects timing difference between the latest COINS and other source data and the data underlying the Public Sector Finances statistical bulletin. These mainly result from revisions policy and issues with late corrections to COINS data in the early years.</t>
  </si>
  <si>
    <r>
      <t>Table 1.10 Accounting adjustments</t>
    </r>
    <r>
      <rPr>
        <b/>
        <vertAlign val="superscript"/>
        <sz val="11"/>
        <color rgb="FF0070C0"/>
        <rFont val="Humnst777 Lt BT"/>
        <family val="2"/>
      </rPr>
      <t>(1)</t>
    </r>
    <r>
      <rPr>
        <b/>
        <sz val="11"/>
        <color rgb="FF0070C0"/>
        <rFont val="Humnst777 Lt BT"/>
        <family val="2"/>
      </rPr>
      <t>, 2006-07 to 2014-15 (continued)</t>
    </r>
  </si>
  <si>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</si>
  <si>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</si>
  <si>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</si>
  <si>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</si>
  <si>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</si>
  <si>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</si>
  <si>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Single Use Military Equipment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</si>
  <si>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</si>
  <si>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</si>
  <si>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</si>
  <si>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</si>
  <si>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</si>
  <si>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</si>
  <si>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</si>
  <si>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</si>
  <si>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</si>
  <si>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</si>
  <si>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</si>
  <si>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</si>
  <si>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Nigerian debt write-off</t>
  </si>
  <si>
    <t>of which: fee income (from resource budgets)</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</si>
  <si>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</si>
  <si>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</si>
  <si>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</si>
  <si>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</si>
  <si>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</si>
  <si>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</si>
  <si>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</si>
  <si>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</si>
  <si>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</si>
  <si>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</si>
  <si>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</si>
  <si>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r>
      <t>Timing adjustments</t>
    </r>
    <r>
      <rPr>
        <vertAlign val="superscript"/>
        <sz val="8"/>
        <color theme="1"/>
        <rFont val="Humnst777 Lt BT"/>
        <family val="2"/>
      </rPr>
      <t>(2)</t>
    </r>
  </si>
  <si>
    <t>(2) Reflects timing difference between the latest COINS and other source data and the data underlying the Public Sector Finances statistical bulletin. These mainly result from revisions policy and issues with late corrections to COINS data in the early years.</t>
  </si>
  <si>
    <t>Table 1.11 Total Managed Expenditure by spending sector, 2006-07 to 2014-15</t>
  </si>
  <si>
    <t>Central government own expenditure</t>
  </si>
  <si>
    <r>
      <t>DEL</t>
    </r>
    <r>
      <rPr>
        <vertAlign val="superscript"/>
        <sz val="8"/>
        <rFont val="Humnst777 Lt BT"/>
        <family val="2"/>
      </rPr>
      <t>(1)</t>
    </r>
  </si>
  <si>
    <r>
      <t>Departmental AME</t>
    </r>
    <r>
      <rPr>
        <vertAlign val="superscript"/>
        <sz val="8"/>
        <rFont val="Humnst777 Lt BT"/>
        <family val="2"/>
      </rPr>
      <t>(1)(2)</t>
    </r>
  </si>
  <si>
    <t>Locally financed support in Northern Ireland</t>
  </si>
  <si>
    <t>Central government debt interest</t>
  </si>
  <si>
    <r>
      <t>Accounting and other adjustments</t>
    </r>
    <r>
      <rPr>
        <vertAlign val="superscript"/>
        <sz val="8"/>
        <rFont val="Humnst777 Lt BT"/>
        <family val="2"/>
      </rPr>
      <t>(2)</t>
    </r>
  </si>
  <si>
    <t>Total central government own expenditure</t>
  </si>
  <si>
    <t>Local government expenditure</t>
  </si>
  <si>
    <r>
      <t>Central government support in DEL</t>
    </r>
    <r>
      <rPr>
        <vertAlign val="superscript"/>
        <sz val="8"/>
        <rFont val="Humnst777 Lt BT"/>
        <family val="2"/>
      </rPr>
      <t>(1)</t>
    </r>
  </si>
  <si>
    <r>
      <t>Central government support in departmental AME</t>
    </r>
    <r>
      <rPr>
        <vertAlign val="superscript"/>
        <sz val="8"/>
        <rFont val="Humnst777 Lt BT"/>
        <family val="2"/>
      </rPr>
      <t>(1)</t>
    </r>
  </si>
  <si>
    <t>Locally financed support in Scotland</t>
  </si>
  <si>
    <t>Local authority self-financed expenditure</t>
  </si>
  <si>
    <t>Accounting and other adjustments</t>
  </si>
  <si>
    <t>Total local government expenditure</t>
  </si>
  <si>
    <t>Public corporation expenditure</t>
  </si>
  <si>
    <r>
      <t>Departmental AME</t>
    </r>
    <r>
      <rPr>
        <vertAlign val="superscript"/>
        <sz val="8"/>
        <rFont val="Humnst777 Lt BT"/>
        <family val="2"/>
      </rPr>
      <t>(1)</t>
    </r>
  </si>
  <si>
    <t>Total public corporation expenditure</t>
  </si>
  <si>
    <t>Total Managed Expenditure</t>
  </si>
  <si>
    <t>(1) Full resource budgeting basis, i.e, resource plus capital less depreciation. See Table 2.1</t>
  </si>
  <si>
    <t>(2) Transactions from 2008-09 onwards have been affected by financial sector interventions, see Box 5.A in Chapter 5.</t>
  </si>
  <si>
    <t>Table 1.7 Capital budgets in real terms, 2006-07 to 2014-15</t>
  </si>
  <si>
    <t>(3) The main pension schemes are reported under FRS17 accounting requirements, the reconciliation to National Accounts is explained in Annex D. In the June 2010 Budget Statement it was announced that the Government would use the CPI rather then the RPI for the indexation of public service pensions. this change has been recognised as a negative past service cost in 2010-11 in accordance with IAS 19.</t>
  </si>
  <si>
    <t>(1) Real terms figures are the cash figures adjusted to 2010-11 price levels using GDP deflators. The deflators are calculated from data released by the Office for National Statistics on 28th June 2011. The forecasts are consistent with the Financial Statement and Budget 2011.</t>
  </si>
  <si>
    <t>(4) The main pension schemes are reported under FRS17 accounting requirements, the reconciliation to National Accounts is explained in Annex D. In the June 2010 Budget Statement it was announced that the Government would use the CPI rather then the RPI for the indexation of public service pensions. this change has been recognised as a negative past service cost in 2010-11 in accordance with IAS 19.</t>
  </si>
  <si>
    <r>
      <t xml:space="preserve">NHS (Health) </t>
    </r>
    <r>
      <rPr>
        <vertAlign val="superscript"/>
        <sz val="8"/>
        <rFont val="Humnst777 Lt BT"/>
        <family val="2"/>
      </rPr>
      <t>(1)</t>
    </r>
  </si>
  <si>
    <r>
      <t xml:space="preserve">Personal Social Services (Health) </t>
    </r>
    <r>
      <rPr>
        <vertAlign val="superscript"/>
        <sz val="8"/>
        <rFont val="Humnst777 Lt BT"/>
        <family val="2"/>
      </rPr>
      <t>(2)</t>
    </r>
  </si>
  <si>
    <t>(1) NHS (Health) includes Food Standards Agency, see Annex B.</t>
  </si>
  <si>
    <t>(2) Personal Social Services (Health) are grants previously paid by the Department of Health that are now included in CLG Local Government's budget, see paragraph 1.7.</t>
  </si>
  <si>
    <r>
      <t>Education</t>
    </r>
    <r>
      <rPr>
        <vertAlign val="superscript"/>
        <sz val="8"/>
        <rFont val="Humnst777 Lt BT"/>
        <family val="2"/>
      </rPr>
      <t>(3)</t>
    </r>
  </si>
  <si>
    <r>
      <t>NHS (Health)</t>
    </r>
    <r>
      <rPr>
        <vertAlign val="superscript"/>
        <sz val="8"/>
        <rFont val="Humnst777 Lt BT"/>
        <family val="2"/>
      </rPr>
      <t>(3)</t>
    </r>
  </si>
  <si>
    <r>
      <t>Defence</t>
    </r>
    <r>
      <rPr>
        <vertAlign val="superscript"/>
        <sz val="8"/>
        <rFont val="Humnst777 Lt BT"/>
        <family val="2"/>
      </rPr>
      <t>(3)</t>
    </r>
  </si>
  <si>
    <r>
      <t>Cabinet Office</t>
    </r>
    <r>
      <rPr>
        <vertAlign val="superscript"/>
        <sz val="8"/>
        <rFont val="Humnst777 Lt BT"/>
        <family val="2"/>
      </rPr>
      <t>(3)</t>
    </r>
  </si>
  <si>
    <t>(3) In the June 2010 Budget Statement it was announced that the Government would use the CPI rather then the RPI for the indexation of public service pensions. this change has been recognised as a negative past service cost in 2010-11 in accordance with IAS 19.</t>
  </si>
  <si>
    <r>
      <t xml:space="preserve">NHS (Health) </t>
    </r>
    <r>
      <rPr>
        <vertAlign val="superscript"/>
        <sz val="8"/>
        <rFont val="Humnst777 Lt BT"/>
        <family val="2"/>
      </rPr>
      <t>()</t>
    </r>
  </si>
  <si>
    <t>(4) In the June 2010 Budget Statement it was announced that the Government would use the CPI rather then the RPI for the indexation of public service pensions. this change has been recognised as a negative past service cost in 2010-11 in accordance with IAS 19.</t>
  </si>
  <si>
    <r>
      <t>Education</t>
    </r>
    <r>
      <rPr>
        <vertAlign val="superscript"/>
        <sz val="8"/>
        <rFont val="Humnst777 Lt BT"/>
        <family val="2"/>
      </rPr>
      <t>(4)</t>
    </r>
  </si>
  <si>
    <r>
      <t>NHS (Health)</t>
    </r>
    <r>
      <rPr>
        <vertAlign val="superscript"/>
        <sz val="8"/>
        <rFont val="Humnst777 Lt BT"/>
        <family val="2"/>
      </rPr>
      <t>(4)</t>
    </r>
  </si>
  <si>
    <r>
      <t>Defence</t>
    </r>
    <r>
      <rPr>
        <vertAlign val="superscript"/>
        <sz val="8"/>
        <rFont val="Humnst777 Lt BT"/>
        <family val="2"/>
      </rPr>
      <t>(4)</t>
    </r>
  </si>
  <si>
    <r>
      <t>Cabinet Office</t>
    </r>
    <r>
      <rPr>
        <vertAlign val="superscript"/>
        <sz val="8"/>
        <rFont val="Humnst777 Lt BT"/>
        <family val="2"/>
      </rPr>
      <t>(4)</t>
    </r>
  </si>
  <si>
    <t>(2) Real terms figures are the cash figures adjusted to 2010-11 price levels using GDP deflators. The deflators are calculated from data released by the Office for National Statistics on 28th June 2011. The forecasts are consistent with the Financial Statement and Budget 2011.</t>
  </si>
  <si>
    <t>(3) Total DEL is given by resource DEL excluding depreciation plus capital DEL.</t>
  </si>
  <si>
    <r>
      <t xml:space="preserve">Total DEL </t>
    </r>
    <r>
      <rPr>
        <vertAlign val="superscript"/>
        <sz val="8"/>
        <rFont val="Humnst777 BlkCn BT"/>
        <family val="2"/>
      </rPr>
      <t>(3)</t>
    </r>
  </si>
</sst>
</file>

<file path=xl/styles.xml><?xml version="1.0" encoding="utf-8"?>
<styleSheet xmlns="http://schemas.openxmlformats.org/spreadsheetml/2006/main">
  <numFmts count="11">
    <numFmt numFmtId="43" formatCode="_-* #,##0.00_-;\-* #,##0.00_-;_-* &quot;-&quot;??_-;_-@_-"/>
    <numFmt numFmtId="164" formatCode="#,##0,;\-#,##0,;\-"/>
    <numFmt numFmtId="165" formatCode="#,##0,;\-#,##0,"/>
    <numFmt numFmtId="166" formatCode="#,##0_ ;\-#,##0\ "/>
    <numFmt numFmtId="167" formatCode="0.0%;\-0.0%;\-"/>
    <numFmt numFmtId="168" formatCode="0.0%"/>
    <numFmt numFmtId="169" formatCode="#,##0.0,,;\-#,##0.0,,;\-"/>
    <numFmt numFmtId="170" formatCode="#,##0.0,,;\-#,##0.0,,"/>
    <numFmt numFmtId="171" formatCode="0.0%;\-0.0%"/>
    <numFmt numFmtId="172" formatCode="0.0"/>
    <numFmt numFmtId="173" formatCode="#,##0.0"/>
  </numFmts>
  <fonts count="57">
    <font>
      <sz val="8"/>
      <name val="Arial"/>
      <family val="2"/>
    </font>
    <font>
      <sz val="11"/>
      <color theme="1"/>
      <name val="Calibri"/>
      <family val="2"/>
      <scheme val="minor"/>
    </font>
    <font>
      <b/>
      <sz val="15"/>
      <color theme="3"/>
      <name val="Calibri"/>
      <family val="2"/>
      <scheme val="minor"/>
    </font>
    <font>
      <sz val="10"/>
      <name val="Arial"/>
      <family val="2"/>
    </font>
    <font>
      <sz val="11"/>
      <color indexed="30"/>
      <name val="Humnst777 BlkCn BT"/>
      <family val="2"/>
    </font>
    <font>
      <sz val="8"/>
      <name val="Arial"/>
      <family val="2"/>
    </font>
    <font>
      <sz val="8"/>
      <name val="Humnst777 BlkCn BT"/>
      <family val="2"/>
    </font>
    <font>
      <b/>
      <sz val="8"/>
      <color indexed="12"/>
      <name val="Arial"/>
      <family val="2"/>
    </font>
    <font>
      <sz val="8"/>
      <color indexed="12"/>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sz val="8"/>
      <color rgb="FFFF0000"/>
      <name val="Humnst777 Lt BT"/>
      <family val="2"/>
    </font>
    <font>
      <vertAlign val="superscript"/>
      <sz val="11"/>
      <color indexed="30"/>
      <name val="Humnst777 BlkCn BT"/>
      <family val="2"/>
    </font>
    <font>
      <b/>
      <sz val="12"/>
      <color indexed="12"/>
      <name val="Arial"/>
      <family val="2"/>
    </font>
    <font>
      <sz val="11"/>
      <color indexed="12"/>
      <name val="Humnst777 BlkCn BT"/>
      <family val="2"/>
    </font>
    <font>
      <i/>
      <vertAlign val="superscript"/>
      <sz val="8"/>
      <name val="Humnst777 Lt BT"/>
      <family val="2"/>
    </font>
    <font>
      <i/>
      <sz val="8"/>
      <name val="Humnst777 BlkCn BT"/>
      <family val="2"/>
    </font>
    <font>
      <vertAlign val="superscript"/>
      <sz val="8"/>
      <color indexed="30"/>
      <name val="Humnst777 BlkCn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Tahoma"/>
      <family val="2"/>
    </font>
    <font>
      <sz val="10"/>
      <name val="Tahoma"/>
      <family val="2"/>
    </font>
    <font>
      <i/>
      <sz val="7"/>
      <name val="Arial"/>
      <family val="2"/>
    </font>
    <font>
      <i/>
      <sz val="8"/>
      <name val="Arial"/>
      <family val="2"/>
    </font>
    <font>
      <b/>
      <sz val="18"/>
      <name val="Arial"/>
      <family val="2"/>
    </font>
    <font>
      <b/>
      <sz val="11"/>
      <color indexed="8"/>
      <name val="Calibri"/>
      <family val="2"/>
    </font>
    <font>
      <sz val="11"/>
      <color indexed="10"/>
      <name val="Calibri"/>
      <family val="2"/>
    </font>
    <font>
      <b/>
      <sz val="11"/>
      <color rgb="FF0070C0"/>
      <name val="Humnst777 Lt BT"/>
      <family val="2"/>
    </font>
    <font>
      <b/>
      <vertAlign val="superscript"/>
      <sz val="11"/>
      <color rgb="FF0070C0"/>
      <name val="Humnst777 Lt BT"/>
      <family val="2"/>
    </font>
    <font>
      <sz val="8"/>
      <color theme="1"/>
      <name val="Humnst777 Lt BT"/>
      <family val="2"/>
    </font>
    <font>
      <b/>
      <sz val="8"/>
      <color rgb="FF0070C0"/>
      <name val="Humnst777 Lt BT"/>
      <family val="2"/>
    </font>
    <font>
      <b/>
      <sz val="8"/>
      <name val="Humnst777 Lt BT"/>
      <family val="2"/>
    </font>
    <font>
      <b/>
      <sz val="8"/>
      <color theme="1"/>
      <name val="Humnst777 Lt BT"/>
      <family val="2"/>
    </font>
    <font>
      <i/>
      <sz val="8"/>
      <color theme="1"/>
      <name val="Humnst777 Lt BT"/>
      <family val="2"/>
    </font>
    <font>
      <vertAlign val="superscript"/>
      <sz val="8"/>
      <color theme="1"/>
      <name val="Humnst777 Lt BT"/>
      <family val="2"/>
    </font>
    <font>
      <b/>
      <sz val="12"/>
      <color indexed="30"/>
      <name val="Humnst777 Lt BT"/>
      <family val="2"/>
    </font>
    <font>
      <b/>
      <sz val="8"/>
      <color indexed="12"/>
      <name val="Humnst777 Lt BT"/>
      <family val="2"/>
    </font>
    <font>
      <b/>
      <sz val="8"/>
      <color indexed="30"/>
      <name val="Humnst777 Lt BT"/>
      <family val="2"/>
    </font>
  </fonts>
  <fills count="2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rgb="FFCCCCFF"/>
        <bgColor indexed="64"/>
      </patternFill>
    </fill>
  </fills>
  <borders count="35">
    <border>
      <left/>
      <right/>
      <top/>
      <bottom/>
      <diagonal/>
    </border>
    <border>
      <left/>
      <right/>
      <top/>
      <bottom style="thick">
        <color theme="4"/>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right style="medium">
        <color indexed="30"/>
      </right>
      <top style="medium">
        <color indexed="30"/>
      </top>
      <bottom/>
      <diagonal/>
    </border>
    <border>
      <left style="medium">
        <color indexed="30"/>
      </left>
      <right/>
      <top/>
      <bottom/>
      <diagonal/>
    </border>
    <border>
      <left/>
      <right style="medium">
        <color indexed="30"/>
      </right>
      <top/>
      <bottom/>
      <diagonal/>
    </border>
    <border>
      <left style="medium">
        <color indexed="30"/>
      </left>
      <right/>
      <top/>
      <bottom style="thin">
        <color indexed="30"/>
      </bottom>
      <diagonal/>
    </border>
    <border>
      <left/>
      <right/>
      <top/>
      <bottom style="thin">
        <color indexed="30"/>
      </bottom>
      <diagonal/>
    </border>
    <border>
      <left/>
      <right style="medium">
        <color indexed="30"/>
      </right>
      <top/>
      <bottom style="thin">
        <color indexed="30"/>
      </bottom>
      <diagonal/>
    </border>
    <border>
      <left style="medium">
        <color indexed="30"/>
      </left>
      <right/>
      <top style="thin">
        <color indexed="30"/>
      </top>
      <bottom style="thin">
        <color indexed="30"/>
      </bottom>
      <diagonal/>
    </border>
    <border>
      <left/>
      <right/>
      <top style="thin">
        <color indexed="30"/>
      </top>
      <bottom style="thin">
        <color indexed="30"/>
      </bottom>
      <diagonal/>
    </border>
    <border>
      <left/>
      <right style="medium">
        <color indexed="30"/>
      </right>
      <top style="thin">
        <color indexed="30"/>
      </top>
      <bottom style="thin">
        <color indexed="30"/>
      </bottom>
      <diagonal/>
    </border>
    <border>
      <left style="medium">
        <color indexed="30"/>
      </left>
      <right/>
      <top style="thin">
        <color indexed="30"/>
      </top>
      <bottom/>
      <diagonal/>
    </border>
    <border>
      <left/>
      <right/>
      <top style="thin">
        <color indexed="30"/>
      </top>
      <bottom/>
      <diagonal/>
    </border>
    <border>
      <left/>
      <right style="medium">
        <color indexed="30"/>
      </right>
      <top style="thin">
        <color indexed="30"/>
      </top>
      <bottom/>
      <diagonal/>
    </border>
    <border>
      <left style="medium">
        <color indexed="30"/>
      </left>
      <right/>
      <top/>
      <bottom style="medium">
        <color indexed="30"/>
      </bottom>
      <diagonal/>
    </border>
    <border>
      <left/>
      <right/>
      <top/>
      <bottom style="medium">
        <color indexed="30"/>
      </bottom>
      <diagonal/>
    </border>
    <border>
      <left/>
      <right style="medium">
        <color indexed="30"/>
      </right>
      <top/>
      <bottom style="medium">
        <color indexed="30"/>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rgb="FF0070C0"/>
      </bottom>
      <diagonal/>
    </border>
    <border>
      <left/>
      <right/>
      <top style="thin">
        <color rgb="FF0070C0"/>
      </top>
      <bottom/>
      <diagonal/>
    </border>
    <border>
      <left style="medium">
        <color indexed="30"/>
      </left>
      <right/>
      <top style="thin">
        <color indexed="30"/>
      </top>
      <bottom style="medium">
        <color indexed="30"/>
      </bottom>
      <diagonal/>
    </border>
    <border>
      <left/>
      <right/>
      <top style="thin">
        <color indexed="30"/>
      </top>
      <bottom style="medium">
        <color indexed="30"/>
      </bottom>
      <diagonal/>
    </border>
    <border>
      <left/>
      <right style="medium">
        <color rgb="FF0070C0"/>
      </right>
      <top/>
      <bottom/>
      <diagonal/>
    </border>
  </borders>
  <cellStyleXfs count="121">
    <xf numFmtId="0" fontId="0" fillId="0" borderId="0"/>
    <xf numFmtId="0" fontId="21" fillId="0" borderId="0">
      <alignment vertical="top" wrapText="1"/>
    </xf>
    <xf numFmtId="0" fontId="3" fillId="0" borderId="0"/>
    <xf numFmtId="0" fontId="7" fillId="0" borderId="2">
      <alignment horizontal="right"/>
    </xf>
    <xf numFmtId="0" fontId="10" fillId="4" borderId="0">
      <alignment horizontal="right" vertical="top" wrapText="1"/>
    </xf>
    <xf numFmtId="0" fontId="7" fillId="0" borderId="0"/>
    <xf numFmtId="0" fontId="5" fillId="0" borderId="0"/>
    <xf numFmtId="164" fontId="5" fillId="0" borderId="0">
      <alignment wrapText="1"/>
      <protection locked="0"/>
    </xf>
    <xf numFmtId="0" fontId="15" fillId="0" borderId="0"/>
    <xf numFmtId="0" fontId="5" fillId="0" borderId="0"/>
    <xf numFmtId="165" fontId="10" fillId="4" borderId="21">
      <alignment wrapText="1"/>
    </xf>
    <xf numFmtId="167" fontId="5" fillId="0" borderId="0">
      <alignment wrapText="1"/>
      <protection locked="0"/>
    </xf>
    <xf numFmtId="0" fontId="5" fillId="0" borderId="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2" borderId="0" applyNumberFormat="0" applyBorder="0" applyAlignment="0" applyProtection="0"/>
    <xf numFmtId="0" fontId="28" fillId="6" borderId="0" applyNumberFormat="0" applyBorder="0" applyAlignment="0" applyProtection="0"/>
    <xf numFmtId="0" fontId="29" fillId="23" borderId="22" applyNumberFormat="0" applyAlignment="0" applyProtection="0"/>
    <xf numFmtId="0" fontId="30" fillId="24" borderId="23" applyNumberFormat="0" applyAlignment="0" applyProtection="0"/>
    <xf numFmtId="43" fontId="3" fillId="0" borderId="0" applyFont="0" applyFill="0" applyBorder="0" applyAlignment="0" applyProtection="0"/>
    <xf numFmtId="0" fontId="31" fillId="0" borderId="0" applyNumberFormat="0" applyFill="0" applyBorder="0" applyAlignment="0" applyProtection="0"/>
    <xf numFmtId="0" fontId="32" fillId="7" borderId="0" applyNumberFormat="0" applyBorder="0" applyAlignment="0" applyProtection="0"/>
    <xf numFmtId="0" fontId="21" fillId="0" borderId="0">
      <alignment vertical="top" wrapText="1"/>
    </xf>
    <xf numFmtId="0" fontId="21" fillId="0" borderId="0">
      <alignment vertical="top" wrapText="1"/>
    </xf>
    <xf numFmtId="0" fontId="21" fillId="0" borderId="0">
      <alignment vertical="top" wrapText="1"/>
    </xf>
    <xf numFmtId="0" fontId="21" fillId="0" borderId="0">
      <alignment vertical="top" wrapText="1"/>
    </xf>
    <xf numFmtId="0" fontId="33" fillId="0" borderId="24"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5" fillId="10" borderId="22" applyNumberFormat="0" applyAlignment="0" applyProtection="0"/>
    <xf numFmtId="0" fontId="36" fillId="0" borderId="25" applyNumberFormat="0" applyFill="0" applyAlignment="0" applyProtection="0"/>
    <xf numFmtId="0" fontId="3" fillId="0" borderId="0"/>
    <xf numFmtId="0" fontId="3" fillId="0" borderId="0"/>
    <xf numFmtId="0" fontId="37" fillId="25" borderId="0" applyNumberFormat="0" applyBorder="0" applyAlignment="0" applyProtection="0"/>
    <xf numFmtId="0" fontId="5" fillId="0" borderId="0"/>
    <xf numFmtId="0" fontId="26" fillId="0" borderId="0"/>
    <xf numFmtId="0" fontId="5" fillId="0" borderId="0"/>
    <xf numFmtId="0" fontId="3" fillId="0" borderId="0"/>
    <xf numFmtId="0" fontId="5" fillId="26" borderId="26" applyNumberFormat="0" applyFont="0" applyAlignment="0" applyProtection="0"/>
    <xf numFmtId="0" fontId="38" fillId="23" borderId="27" applyNumberFormat="0" applyAlignment="0" applyProtection="0"/>
    <xf numFmtId="0" fontId="3" fillId="0" borderId="0"/>
    <xf numFmtId="0" fontId="39" fillId="2" borderId="28">
      <alignment horizontal="center"/>
    </xf>
    <xf numFmtId="3" fontId="40" fillId="2" borderId="0"/>
    <xf numFmtId="3" fontId="39" fillId="2" borderId="0"/>
    <xf numFmtId="0" fontId="40" fillId="2" borderId="0"/>
    <xf numFmtId="0" fontId="39" fillId="2" borderId="0"/>
    <xf numFmtId="0" fontId="40" fillId="2" borderId="0">
      <alignment horizontal="center"/>
    </xf>
    <xf numFmtId="0" fontId="41" fillId="0" borderId="0">
      <alignment wrapText="1"/>
    </xf>
    <xf numFmtId="0" fontId="41" fillId="0" borderId="0">
      <alignment wrapText="1"/>
    </xf>
    <xf numFmtId="0" fontId="41" fillId="0" borderId="0">
      <alignment wrapText="1"/>
    </xf>
    <xf numFmtId="0" fontId="41" fillId="0" borderId="0">
      <alignment wrapText="1"/>
    </xf>
    <xf numFmtId="0" fontId="10" fillId="4" borderId="0">
      <alignment horizontal="right" vertical="top" wrapText="1"/>
    </xf>
    <xf numFmtId="0" fontId="10" fillId="4" borderId="0">
      <alignment horizontal="right" vertical="top" wrapText="1"/>
    </xf>
    <xf numFmtId="0" fontId="10" fillId="4" borderId="0">
      <alignment horizontal="right" vertical="top" wrapText="1"/>
    </xf>
    <xf numFmtId="0" fontId="7" fillId="0" borderId="0"/>
    <xf numFmtId="0" fontId="7" fillId="0" borderId="0"/>
    <xf numFmtId="0" fontId="7" fillId="0" borderId="0"/>
    <xf numFmtId="0" fontId="15" fillId="0" borderId="0"/>
    <xf numFmtId="0" fontId="15" fillId="0" borderId="0"/>
    <xf numFmtId="0" fontId="42" fillId="0" borderId="0"/>
    <xf numFmtId="0" fontId="42" fillId="0" borderId="0"/>
    <xf numFmtId="0" fontId="42" fillId="0" borderId="0"/>
    <xf numFmtId="169" fontId="5" fillId="0" borderId="0">
      <alignment wrapText="1"/>
      <protection locked="0"/>
    </xf>
    <xf numFmtId="169" fontId="5" fillId="0" borderId="0">
      <alignment wrapText="1"/>
      <protection locked="0"/>
    </xf>
    <xf numFmtId="169" fontId="10" fillId="27" borderId="0">
      <alignment wrapText="1"/>
      <protection locked="0"/>
    </xf>
    <xf numFmtId="169" fontId="10" fillId="27" borderId="0">
      <alignment wrapText="1"/>
      <protection locked="0"/>
    </xf>
    <xf numFmtId="169" fontId="10" fillId="27" borderId="0">
      <alignment wrapText="1"/>
      <protection locked="0"/>
    </xf>
    <xf numFmtId="169" fontId="5" fillId="0" borderId="0">
      <alignment wrapText="1"/>
      <protection locked="0"/>
    </xf>
    <xf numFmtId="164" fontId="5" fillId="0" borderId="0">
      <alignment wrapText="1"/>
      <protection locked="0"/>
    </xf>
    <xf numFmtId="164" fontId="5" fillId="0" borderId="0">
      <alignment wrapText="1"/>
      <protection locked="0"/>
    </xf>
    <xf numFmtId="164" fontId="10" fillId="27" borderId="0">
      <alignment wrapText="1"/>
      <protection locked="0"/>
    </xf>
    <xf numFmtId="164" fontId="10" fillId="27" borderId="0">
      <alignment wrapText="1"/>
      <protection locked="0"/>
    </xf>
    <xf numFmtId="164" fontId="10" fillId="27" borderId="0">
      <alignment wrapText="1"/>
      <protection locked="0"/>
    </xf>
    <xf numFmtId="164" fontId="10" fillId="27" borderId="0">
      <alignment wrapText="1"/>
      <protection locked="0"/>
    </xf>
    <xf numFmtId="164" fontId="10" fillId="27" borderId="0">
      <alignment wrapText="1"/>
      <protection locked="0"/>
    </xf>
    <xf numFmtId="164" fontId="5" fillId="0" borderId="0">
      <alignment wrapText="1"/>
      <protection locked="0"/>
    </xf>
    <xf numFmtId="167" fontId="5" fillId="0" borderId="0">
      <alignment wrapText="1"/>
      <protection locked="0"/>
    </xf>
    <xf numFmtId="167" fontId="10" fillId="27" borderId="0">
      <alignment wrapText="1"/>
      <protection locked="0"/>
    </xf>
    <xf numFmtId="167" fontId="10" fillId="27" borderId="0">
      <alignment wrapText="1"/>
      <protection locked="0"/>
    </xf>
    <xf numFmtId="167" fontId="10" fillId="27" borderId="0">
      <alignment wrapText="1"/>
      <protection locked="0"/>
    </xf>
    <xf numFmtId="167" fontId="5" fillId="0" borderId="0">
      <alignment wrapText="1"/>
      <protection locked="0"/>
    </xf>
    <xf numFmtId="170" fontId="10" fillId="4" borderId="21">
      <alignment wrapText="1"/>
    </xf>
    <xf numFmtId="170" fontId="10" fillId="4" borderId="21">
      <alignment wrapText="1"/>
    </xf>
    <xf numFmtId="170" fontId="10" fillId="4" borderId="21">
      <alignment wrapText="1"/>
    </xf>
    <xf numFmtId="165" fontId="10" fillId="4" borderId="21">
      <alignment wrapText="1"/>
    </xf>
    <xf numFmtId="165" fontId="10" fillId="4" borderId="21">
      <alignment wrapText="1"/>
    </xf>
    <xf numFmtId="165" fontId="10" fillId="4" borderId="21">
      <alignment wrapText="1"/>
    </xf>
    <xf numFmtId="171" fontId="10" fillId="4" borderId="21">
      <alignment wrapText="1"/>
    </xf>
    <xf numFmtId="171" fontId="10" fillId="4" borderId="21">
      <alignment wrapText="1"/>
    </xf>
    <xf numFmtId="171" fontId="10" fillId="4" borderId="21">
      <alignment wrapText="1"/>
    </xf>
    <xf numFmtId="0" fontId="7" fillId="0" borderId="2">
      <alignment horizontal="right"/>
    </xf>
    <xf numFmtId="0" fontId="7" fillId="0" borderId="2">
      <alignment horizontal="right"/>
    </xf>
    <xf numFmtId="0" fontId="7" fillId="0" borderId="2">
      <alignment horizontal="right"/>
    </xf>
    <xf numFmtId="0" fontId="43" fillId="0" borderId="0" applyNumberFormat="0" applyFill="0" applyBorder="0" applyProtection="0">
      <alignment horizontal="left" vertical="center" indent="10"/>
    </xf>
    <xf numFmtId="0" fontId="43" fillId="0" borderId="0" applyNumberFormat="0" applyFill="0" applyBorder="0" applyProtection="0">
      <alignment horizontal="left" vertical="center" indent="10"/>
    </xf>
    <xf numFmtId="0" fontId="43" fillId="0" borderId="0" applyNumberFormat="0" applyFill="0" applyBorder="0" applyProtection="0">
      <alignment horizontal="left" vertical="center" indent="10"/>
    </xf>
    <xf numFmtId="0" fontId="44" fillId="0" borderId="29" applyNumberFormat="0" applyFill="0" applyAlignment="0" applyProtection="0"/>
    <xf numFmtId="0" fontId="45" fillId="0" borderId="0" applyNumberFormat="0" applyFill="0" applyBorder="0" applyAlignment="0" applyProtection="0"/>
    <xf numFmtId="0" fontId="1" fillId="0" borderId="0"/>
    <xf numFmtId="0" fontId="2" fillId="0" borderId="1" applyNumberFormat="0" applyFill="0" applyAlignment="0" applyProtection="0"/>
  </cellStyleXfs>
  <cellXfs count="272">
    <xf numFmtId="0" fontId="0" fillId="0" borderId="0" xfId="0"/>
    <xf numFmtId="3" fontId="4" fillId="2" borderId="0" xfId="2" applyNumberFormat="1" applyFont="1" applyFill="1" applyBorder="1" applyAlignment="1">
      <alignment vertical="top"/>
    </xf>
    <xf numFmtId="3" fontId="6" fillId="0" borderId="0" xfId="0" applyNumberFormat="1" applyFont="1" applyFill="1" applyBorder="1" applyAlignment="1">
      <alignment vertical="top"/>
    </xf>
    <xf numFmtId="3" fontId="8" fillId="0" borderId="0" xfId="3" applyNumberFormat="1" applyFont="1" applyFill="1" applyBorder="1" applyAlignment="1" applyProtection="1">
      <alignment horizontal="right" vertical="top"/>
      <protection locked="0"/>
    </xf>
    <xf numFmtId="3" fontId="9" fillId="0" borderId="0" xfId="3" applyNumberFormat="1" applyFont="1" applyFill="1" applyBorder="1" applyAlignment="1" applyProtection="1">
      <alignment horizontal="right" vertical="top"/>
      <protection locked="0"/>
    </xf>
    <xf numFmtId="3" fontId="6" fillId="3" borderId="3" xfId="2" applyNumberFormat="1" applyFont="1" applyFill="1" applyBorder="1" applyAlignment="1">
      <alignment horizontal="left" vertical="top"/>
    </xf>
    <xf numFmtId="3" fontId="6" fillId="3" borderId="5" xfId="4" applyNumberFormat="1" applyFont="1" applyFill="1" applyBorder="1" applyAlignment="1" applyProtection="1">
      <alignment vertical="top" wrapText="1"/>
      <protection locked="0"/>
    </xf>
    <xf numFmtId="3" fontId="6" fillId="3" borderId="6" xfId="4" applyNumberFormat="1" applyFont="1" applyFill="1" applyBorder="1" applyAlignment="1" applyProtection="1">
      <alignment vertical="top" wrapText="1"/>
      <protection locked="0"/>
    </xf>
    <xf numFmtId="3" fontId="6" fillId="0" borderId="0" xfId="4" applyNumberFormat="1" applyFont="1" applyFill="1" applyAlignment="1" applyProtection="1">
      <alignment horizontal="right" vertical="top" wrapText="1"/>
      <protection locked="0"/>
    </xf>
    <xf numFmtId="3" fontId="6" fillId="3" borderId="7" xfId="2" applyNumberFormat="1" applyFont="1" applyFill="1" applyBorder="1" applyAlignment="1">
      <alignment horizontal="left" vertical="top"/>
    </xf>
    <xf numFmtId="3" fontId="6" fillId="3" borderId="0" xfId="2" applyNumberFormat="1" applyFont="1" applyFill="1" applyBorder="1" applyAlignment="1">
      <alignment horizontal="right" vertical="top"/>
    </xf>
    <xf numFmtId="3" fontId="6" fillId="3" borderId="0" xfId="4" applyNumberFormat="1" applyFont="1" applyFill="1" applyBorder="1" applyAlignment="1" applyProtection="1">
      <alignment horizontal="right" vertical="top" wrapText="1"/>
      <protection locked="0"/>
    </xf>
    <xf numFmtId="3" fontId="6" fillId="3" borderId="8" xfId="4" applyNumberFormat="1" applyFont="1" applyFill="1" applyBorder="1" applyAlignment="1" applyProtection="1">
      <alignment horizontal="right" vertical="top" wrapText="1"/>
      <protection locked="0"/>
    </xf>
    <xf numFmtId="3" fontId="6" fillId="3" borderId="8" xfId="2" applyNumberFormat="1" applyFont="1" applyFill="1" applyBorder="1" applyAlignment="1">
      <alignment horizontal="right" vertical="top"/>
    </xf>
    <xf numFmtId="3" fontId="9" fillId="0" borderId="7" xfId="5" applyNumberFormat="1" applyFont="1" applyFill="1" applyBorder="1" applyAlignment="1" applyProtection="1">
      <alignment vertical="top"/>
      <protection locked="0"/>
    </xf>
    <xf numFmtId="3" fontId="8" fillId="0" borderId="0" xfId="5" applyNumberFormat="1" applyFont="1" applyFill="1" applyBorder="1" applyAlignment="1" applyProtection="1">
      <alignment vertical="top"/>
      <protection locked="0"/>
    </xf>
    <xf numFmtId="3" fontId="8" fillId="0" borderId="8" xfId="5" applyNumberFormat="1" applyFont="1" applyFill="1" applyBorder="1" applyAlignment="1" applyProtection="1">
      <alignment vertical="top"/>
      <protection locked="0"/>
    </xf>
    <xf numFmtId="3" fontId="11" fillId="0" borderId="7" xfId="5" applyNumberFormat="1" applyFont="1" applyFill="1" applyBorder="1" applyAlignment="1" applyProtection="1">
      <alignment vertical="top"/>
      <protection locked="0"/>
    </xf>
    <xf numFmtId="3" fontId="12" fillId="0" borderId="0" xfId="5" applyNumberFormat="1" applyFont="1" applyFill="1" applyBorder="1" applyAlignment="1" applyProtection="1">
      <alignment horizontal="right" vertical="top"/>
      <protection locked="0"/>
    </xf>
    <xf numFmtId="3" fontId="12" fillId="0" borderId="8" xfId="5" applyNumberFormat="1" applyFont="1" applyFill="1" applyBorder="1" applyAlignment="1" applyProtection="1">
      <alignment horizontal="right" vertical="top"/>
      <protection locked="0"/>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3" fillId="0" borderId="7" xfId="6" applyNumberFormat="1" applyFont="1" applyFill="1" applyBorder="1" applyAlignment="1">
      <alignment horizontal="left" vertical="top"/>
    </xf>
    <xf numFmtId="3" fontId="13" fillId="0" borderId="0" xfId="7" applyNumberFormat="1" applyFont="1" applyFill="1" applyBorder="1" applyAlignment="1" applyProtection="1">
      <alignment horizontal="right" vertical="top" wrapText="1"/>
      <protection locked="0"/>
    </xf>
    <xf numFmtId="3" fontId="13" fillId="0" borderId="0" xfId="7" applyNumberFormat="1" applyFont="1" applyFill="1" applyBorder="1" applyAlignment="1" applyProtection="1">
      <alignment vertical="top" wrapText="1"/>
      <protection locked="0"/>
    </xf>
    <xf numFmtId="3" fontId="13" fillId="0" borderId="8" xfId="7" applyNumberFormat="1" applyFont="1" applyFill="1" applyBorder="1" applyAlignment="1" applyProtection="1">
      <alignment vertical="top" wrapText="1"/>
      <protection locked="0"/>
    </xf>
    <xf numFmtId="3" fontId="6" fillId="3" borderId="7" xfId="4" applyNumberFormat="1" applyFont="1" applyFill="1" applyBorder="1" applyAlignment="1" applyProtection="1">
      <alignment horizontal="left" vertical="top" wrapText="1"/>
      <protection locked="0"/>
    </xf>
    <xf numFmtId="3" fontId="6" fillId="0" borderId="0" xfId="4" applyNumberFormat="1" applyFont="1" applyFill="1" applyBorder="1" applyAlignment="1" applyProtection="1">
      <alignment horizontal="left" vertical="top" wrapText="1"/>
      <protection locked="0"/>
    </xf>
    <xf numFmtId="3" fontId="12" fillId="0" borderId="0" xfId="5" applyNumberFormat="1" applyFont="1" applyFill="1" applyBorder="1" applyAlignment="1" applyProtection="1">
      <alignment vertical="top"/>
      <protection locked="0"/>
    </xf>
    <xf numFmtId="3" fontId="12" fillId="0" borderId="8" xfId="5" applyNumberFormat="1" applyFont="1" applyFill="1" applyBorder="1" applyAlignment="1" applyProtection="1">
      <alignment vertical="top"/>
      <protection locked="0"/>
    </xf>
    <xf numFmtId="3" fontId="13" fillId="0" borderId="7" xfId="6" applyNumberFormat="1" applyFont="1" applyFill="1" applyBorder="1" applyAlignment="1">
      <alignment vertical="top" wrapText="1"/>
    </xf>
    <xf numFmtId="3" fontId="16" fillId="0" borderId="0" xfId="8" applyNumberFormat="1" applyFont="1" applyFill="1" applyBorder="1" applyAlignment="1" applyProtection="1">
      <alignment horizontal="right" vertical="top"/>
      <protection locked="0"/>
    </xf>
    <xf numFmtId="3" fontId="16" fillId="0" borderId="0" xfId="8" applyNumberFormat="1" applyFont="1" applyFill="1" applyBorder="1" applyAlignment="1" applyProtection="1">
      <alignment vertical="top"/>
      <protection locked="0"/>
    </xf>
    <xf numFmtId="3" fontId="16" fillId="0" borderId="8" xfId="8" applyNumberFormat="1" applyFont="1" applyFill="1" applyBorder="1" applyAlignment="1" applyProtection="1">
      <alignment vertical="top"/>
      <protection locked="0"/>
    </xf>
    <xf numFmtId="3" fontId="13" fillId="0" borderId="7" xfId="6" applyNumberFormat="1" applyFont="1" applyFill="1" applyBorder="1" applyAlignment="1">
      <alignment horizontal="left" vertical="top" wrapText="1"/>
    </xf>
    <xf numFmtId="3" fontId="6" fillId="3" borderId="9" xfId="4" applyNumberFormat="1" applyFont="1" applyFill="1" applyBorder="1" applyAlignment="1" applyProtection="1">
      <alignment horizontal="left" vertical="top" wrapText="1"/>
      <protection locked="0"/>
    </xf>
    <xf numFmtId="3" fontId="6" fillId="3" borderId="10" xfId="4" applyNumberFormat="1" applyFont="1" applyFill="1" applyBorder="1" applyAlignment="1" applyProtection="1">
      <alignment horizontal="right" vertical="top" wrapText="1"/>
      <protection locked="0"/>
    </xf>
    <xf numFmtId="3" fontId="6" fillId="3" borderId="11" xfId="4" applyNumberFormat="1" applyFont="1" applyFill="1" applyBorder="1" applyAlignment="1" applyProtection="1">
      <alignment horizontal="right" vertical="top" wrapText="1"/>
      <protection locked="0"/>
    </xf>
    <xf numFmtId="3" fontId="6" fillId="3" borderId="12" xfId="4" applyNumberFormat="1" applyFont="1" applyFill="1" applyBorder="1" applyAlignment="1" applyProtection="1">
      <alignment horizontal="left" vertical="top" wrapText="1"/>
      <protection locked="0"/>
    </xf>
    <xf numFmtId="3" fontId="6" fillId="3" borderId="13" xfId="4" applyNumberFormat="1" applyFont="1" applyFill="1" applyBorder="1" applyAlignment="1" applyProtection="1">
      <alignment horizontal="right" vertical="top" wrapText="1"/>
      <protection locked="0"/>
    </xf>
    <xf numFmtId="3" fontId="6" fillId="3" borderId="14" xfId="4" applyNumberFormat="1" applyFont="1" applyFill="1" applyBorder="1" applyAlignment="1" applyProtection="1">
      <alignment horizontal="right" vertical="top" wrapText="1"/>
      <protection locked="0"/>
    </xf>
    <xf numFmtId="3" fontId="9" fillId="0" borderId="15" xfId="5" applyNumberFormat="1" applyFont="1" applyFill="1" applyBorder="1" applyAlignment="1" applyProtection="1">
      <alignment vertical="top"/>
      <protection locked="0"/>
    </xf>
    <xf numFmtId="3" fontId="8" fillId="0" borderId="16" xfId="5" applyNumberFormat="1" applyFont="1" applyFill="1" applyBorder="1" applyAlignment="1" applyProtection="1">
      <alignment horizontal="right" vertical="top"/>
      <protection locked="0"/>
    </xf>
    <xf numFmtId="3" fontId="8" fillId="0" borderId="16" xfId="5" applyNumberFormat="1" applyFont="1" applyFill="1" applyBorder="1" applyAlignment="1" applyProtection="1">
      <alignment vertical="top"/>
      <protection locked="0"/>
    </xf>
    <xf numFmtId="3" fontId="8" fillId="0" borderId="17" xfId="5" applyNumberFormat="1" applyFont="1" applyFill="1" applyBorder="1" applyAlignment="1" applyProtection="1">
      <alignment vertical="top"/>
      <protection locked="0"/>
    </xf>
    <xf numFmtId="3" fontId="13" fillId="0" borderId="7" xfId="6" applyNumberFormat="1" applyFont="1" applyFill="1" applyBorder="1" applyAlignment="1">
      <alignment vertical="top"/>
    </xf>
    <xf numFmtId="3" fontId="18" fillId="0" borderId="7" xfId="6" applyNumberFormat="1" applyFont="1" applyFill="1" applyBorder="1" applyAlignment="1">
      <alignment horizontal="left" vertical="top"/>
    </xf>
    <xf numFmtId="3" fontId="6" fillId="3" borderId="7" xfId="4" applyNumberFormat="1" applyFont="1" applyFill="1" applyBorder="1" applyAlignment="1" applyProtection="1">
      <alignment vertical="top" wrapText="1"/>
      <protection locked="0"/>
    </xf>
    <xf numFmtId="3" fontId="13" fillId="0" borderId="18" xfId="6" applyNumberFormat="1" applyFont="1" applyFill="1" applyBorder="1" applyAlignment="1">
      <alignment horizontal="left" vertical="top"/>
    </xf>
    <xf numFmtId="3" fontId="13" fillId="0" borderId="19" xfId="7" applyNumberFormat="1" applyFont="1" applyFill="1" applyBorder="1" applyAlignment="1" applyProtection="1">
      <alignment horizontal="right" vertical="top" wrapText="1"/>
      <protection locked="0"/>
    </xf>
    <xf numFmtId="3" fontId="13" fillId="0" borderId="19" xfId="7" applyNumberFormat="1" applyFont="1" applyFill="1" applyBorder="1" applyAlignment="1" applyProtection="1">
      <alignment vertical="top" wrapText="1"/>
      <protection locked="0"/>
    </xf>
    <xf numFmtId="3" fontId="13" fillId="0" borderId="20" xfId="7" applyNumberFormat="1" applyFont="1" applyFill="1" applyBorder="1" applyAlignment="1" applyProtection="1">
      <alignment vertical="top" wrapText="1"/>
      <protection locked="0"/>
    </xf>
    <xf numFmtId="3" fontId="13" fillId="0" borderId="5" xfId="0" quotePrefix="1" applyNumberFormat="1" applyFont="1" applyFill="1" applyBorder="1" applyAlignment="1">
      <alignment vertical="top"/>
    </xf>
    <xf numFmtId="3" fontId="13" fillId="0" borderId="0" xfId="0" quotePrefix="1" applyNumberFormat="1" applyFont="1" applyFill="1" applyAlignment="1">
      <alignment vertical="top"/>
    </xf>
    <xf numFmtId="3" fontId="13" fillId="2" borderId="0" xfId="9" applyNumberFormat="1" applyFont="1" applyFill="1" applyAlignment="1" applyProtection="1">
      <alignment vertical="top" wrapText="1"/>
      <protection locked="0"/>
    </xf>
    <xf numFmtId="4" fontId="13" fillId="0" borderId="0" xfId="0" applyNumberFormat="1" applyFont="1" applyFill="1" applyBorder="1" applyAlignment="1">
      <alignment vertical="top"/>
    </xf>
    <xf numFmtId="3" fontId="13" fillId="0" borderId="0" xfId="0" quotePrefix="1" applyNumberFormat="1" applyFont="1" applyFill="1" applyBorder="1" applyAlignment="1">
      <alignment vertical="top"/>
    </xf>
    <xf numFmtId="3" fontId="4" fillId="0" borderId="0" xfId="1" applyNumberFormat="1" applyFont="1" applyBorder="1" applyAlignment="1" applyProtection="1">
      <alignment vertical="top"/>
      <protection locked="0"/>
    </xf>
    <xf numFmtId="3" fontId="8" fillId="0" borderId="0" xfId="1" applyNumberFormat="1" applyFont="1" applyFill="1" applyBorder="1" applyAlignment="1" applyProtection="1">
      <alignment vertical="top"/>
      <protection locked="0"/>
    </xf>
    <xf numFmtId="3" fontId="9" fillId="0" borderId="7" xfId="5" applyNumberFormat="1" applyFont="1" applyBorder="1" applyAlignment="1" applyProtection="1">
      <protection locked="0"/>
    </xf>
    <xf numFmtId="3" fontId="9" fillId="0" borderId="0" xfId="5" applyNumberFormat="1" applyFont="1" applyBorder="1" applyAlignment="1" applyProtection="1">
      <protection locked="0"/>
    </xf>
    <xf numFmtId="3" fontId="9" fillId="0" borderId="8" xfId="5" applyNumberFormat="1" applyFont="1" applyBorder="1" applyAlignment="1" applyProtection="1">
      <protection locked="0"/>
    </xf>
    <xf numFmtId="3" fontId="8" fillId="0" borderId="0" xfId="5" applyNumberFormat="1" applyFont="1" applyFill="1" applyBorder="1" applyAlignment="1" applyProtection="1">
      <protection locked="0"/>
    </xf>
    <xf numFmtId="3" fontId="13" fillId="0" borderId="7" xfId="7" applyNumberFormat="1" applyFont="1" applyBorder="1" applyAlignment="1" applyProtection="1">
      <protection locked="0"/>
    </xf>
    <xf numFmtId="3" fontId="13" fillId="0" borderId="0" xfId="7" applyNumberFormat="1" applyFont="1" applyBorder="1" applyAlignment="1" applyProtection="1">
      <protection locked="0"/>
    </xf>
    <xf numFmtId="3" fontId="13" fillId="0" borderId="8" xfId="7" applyNumberFormat="1" applyFont="1" applyBorder="1" applyAlignment="1" applyProtection="1">
      <protection locked="0"/>
    </xf>
    <xf numFmtId="3" fontId="13" fillId="0" borderId="0" xfId="7" applyNumberFormat="1" applyFont="1" applyFill="1" applyBorder="1" applyAlignment="1" applyProtection="1">
      <protection locked="0"/>
    </xf>
    <xf numFmtId="3" fontId="13" fillId="0" borderId="7" xfId="7" applyNumberFormat="1" applyFont="1" applyBorder="1" applyAlignment="1">
      <protection locked="0"/>
    </xf>
    <xf numFmtId="3" fontId="13" fillId="0" borderId="0" xfId="7" applyNumberFormat="1" applyFont="1" applyBorder="1" applyAlignment="1" applyProtection="1">
      <alignment horizontal="right"/>
      <protection locked="0"/>
    </xf>
    <xf numFmtId="3" fontId="13" fillId="0" borderId="8" xfId="7" applyNumberFormat="1" applyFont="1" applyBorder="1" applyAlignment="1" applyProtection="1">
      <alignment horizontal="right"/>
      <protection locked="0"/>
    </xf>
    <xf numFmtId="3" fontId="6" fillId="3" borderId="7" xfId="10" applyNumberFormat="1" applyFont="1" applyFill="1" applyBorder="1" applyAlignment="1" applyProtection="1">
      <protection locked="0"/>
    </xf>
    <xf numFmtId="3" fontId="6" fillId="3" borderId="0" xfId="10" applyNumberFormat="1" applyFont="1" applyFill="1" applyBorder="1" applyAlignment="1" applyProtection="1">
      <alignment horizontal="right"/>
      <protection locked="0"/>
    </xf>
    <xf numFmtId="3" fontId="6" fillId="3" borderId="8" xfId="10" applyNumberFormat="1" applyFont="1" applyFill="1" applyBorder="1" applyAlignment="1" applyProtection="1">
      <alignment horizontal="right"/>
      <protection locked="0"/>
    </xf>
    <xf numFmtId="3" fontId="6" fillId="0" borderId="0" xfId="7" applyNumberFormat="1" applyFont="1" applyFill="1" applyBorder="1" applyAlignment="1" applyProtection="1">
      <protection locked="0"/>
    </xf>
    <xf numFmtId="3" fontId="13" fillId="2" borderId="7" xfId="7" applyNumberFormat="1" applyFont="1" applyFill="1" applyBorder="1" applyAlignment="1" applyProtection="1">
      <protection locked="0"/>
    </xf>
    <xf numFmtId="3" fontId="13" fillId="0" borderId="0" xfId="10" applyNumberFormat="1" applyFont="1" applyFill="1" applyBorder="1" applyAlignment="1" applyProtection="1">
      <protection locked="0"/>
    </xf>
    <xf numFmtId="3" fontId="18" fillId="0" borderId="0" xfId="7" applyNumberFormat="1" applyFont="1" applyFill="1" applyBorder="1" applyAlignment="1" applyProtection="1">
      <protection locked="0"/>
    </xf>
    <xf numFmtId="3" fontId="6" fillId="3" borderId="9" xfId="10" applyNumberFormat="1" applyFont="1" applyFill="1" applyBorder="1" applyAlignment="1" applyProtection="1">
      <protection locked="0"/>
    </xf>
    <xf numFmtId="3" fontId="6" fillId="3" borderId="10" xfId="10" applyNumberFormat="1" applyFont="1" applyFill="1" applyBorder="1" applyAlignment="1" applyProtection="1">
      <protection locked="0"/>
    </xf>
    <xf numFmtId="3" fontId="6" fillId="3" borderId="11" xfId="10" applyNumberFormat="1" applyFont="1" applyFill="1" applyBorder="1" applyAlignment="1" applyProtection="1">
      <protection locked="0"/>
    </xf>
    <xf numFmtId="3" fontId="6" fillId="3" borderId="18" xfId="10" applyNumberFormat="1" applyFont="1" applyFill="1" applyBorder="1" applyAlignment="1" applyProtection="1">
      <protection locked="0"/>
    </xf>
    <xf numFmtId="3" fontId="6" fillId="3" borderId="19" xfId="10" applyNumberFormat="1" applyFont="1" applyFill="1" applyBorder="1" applyAlignment="1" applyProtection="1">
      <protection locked="0"/>
    </xf>
    <xf numFmtId="3" fontId="6" fillId="3" borderId="20" xfId="10" applyNumberFormat="1" applyFont="1" applyFill="1" applyBorder="1" applyAlignment="1" applyProtection="1">
      <protection locked="0"/>
    </xf>
    <xf numFmtId="3" fontId="6" fillId="0" borderId="0" xfId="0" applyNumberFormat="1" applyFont="1" applyFill="1" applyBorder="1" applyAlignment="1" applyProtection="1">
      <protection locked="0"/>
    </xf>
    <xf numFmtId="3" fontId="13" fillId="0" borderId="0" xfId="0" applyNumberFormat="1" applyFont="1" applyFill="1" applyBorder="1" applyAlignment="1" applyProtection="1">
      <protection locked="0"/>
    </xf>
    <xf numFmtId="3" fontId="13" fillId="0" borderId="0" xfId="0" quotePrefix="1" applyNumberFormat="1" applyFont="1" applyFill="1" applyBorder="1" applyAlignment="1" applyProtection="1">
      <alignment vertical="top" wrapText="1"/>
      <protection locked="0"/>
    </xf>
    <xf numFmtId="3" fontId="13" fillId="0" borderId="0" xfId="0" applyNumberFormat="1" applyFont="1" applyBorder="1" applyAlignment="1" applyProtection="1">
      <protection locked="0"/>
    </xf>
    <xf numFmtId="0" fontId="4" fillId="0" borderId="0" xfId="1" applyFont="1" applyBorder="1" applyAlignment="1" applyProtection="1">
      <alignment vertical="top"/>
      <protection locked="0"/>
    </xf>
    <xf numFmtId="0" fontId="8" fillId="0" borderId="0" xfId="1" applyFont="1" applyFill="1" applyBorder="1" applyAlignment="1" applyProtection="1">
      <alignment vertical="top"/>
      <protection locked="0"/>
    </xf>
    <xf numFmtId="0" fontId="8" fillId="0" borderId="0" xfId="3" applyFont="1" applyBorder="1" applyAlignment="1" applyProtection="1">
      <alignment horizontal="right"/>
      <protection locked="0"/>
    </xf>
    <xf numFmtId="3" fontId="8" fillId="0" borderId="0" xfId="3" applyNumberFormat="1" applyFont="1" applyBorder="1" applyAlignment="1" applyProtection="1">
      <alignment horizontal="right"/>
      <protection locked="0"/>
    </xf>
    <xf numFmtId="3" fontId="9" fillId="0" borderId="0" xfId="3" applyNumberFormat="1" applyFont="1" applyBorder="1" applyAlignment="1" applyProtection="1">
      <alignment horizontal="right"/>
      <protection locked="0"/>
    </xf>
    <xf numFmtId="0" fontId="8" fillId="0" borderId="0" xfId="3" applyFont="1" applyFill="1" applyBorder="1" applyAlignment="1" applyProtection="1">
      <alignment horizontal="right"/>
      <protection locked="0"/>
    </xf>
    <xf numFmtId="0" fontId="9" fillId="0" borderId="0" xfId="3" applyFont="1" applyBorder="1" applyAlignment="1" applyProtection="1">
      <alignment horizontal="right"/>
      <protection locked="0"/>
    </xf>
    <xf numFmtId="0" fontId="9" fillId="0" borderId="7" xfId="5" applyFont="1" applyBorder="1" applyAlignment="1" applyProtection="1">
      <protection locked="0"/>
    </xf>
    <xf numFmtId="0" fontId="0" fillId="0" borderId="0" xfId="0" applyBorder="1" applyAlignment="1"/>
    <xf numFmtId="0" fontId="8" fillId="0" borderId="0" xfId="5" applyFont="1" applyFill="1" applyBorder="1" applyAlignment="1" applyProtection="1">
      <protection locked="0"/>
    </xf>
    <xf numFmtId="0" fontId="8" fillId="0" borderId="8" xfId="5" applyFont="1" applyFill="1" applyBorder="1" applyAlignment="1" applyProtection="1">
      <protection locked="0"/>
    </xf>
    <xf numFmtId="164" fontId="13" fillId="0" borderId="7" xfId="7" applyFont="1" applyBorder="1" applyAlignment="1" applyProtection="1">
      <protection locked="0"/>
    </xf>
    <xf numFmtId="164" fontId="13" fillId="0" borderId="0" xfId="7" applyFont="1" applyFill="1" applyBorder="1" applyAlignment="1" applyProtection="1">
      <protection locked="0"/>
    </xf>
    <xf numFmtId="164" fontId="13" fillId="0" borderId="7" xfId="7" applyFont="1" applyBorder="1" applyAlignment="1">
      <protection locked="0"/>
    </xf>
    <xf numFmtId="165" fontId="6" fillId="3" borderId="18" xfId="10" applyFont="1" applyFill="1" applyBorder="1" applyAlignment="1" applyProtection="1">
      <protection locked="0"/>
    </xf>
    <xf numFmtId="3" fontId="6" fillId="3" borderId="19" xfId="10" applyNumberFormat="1" applyFont="1" applyFill="1" applyBorder="1" applyAlignment="1" applyProtection="1">
      <alignment horizontal="right"/>
      <protection locked="0"/>
    </xf>
    <xf numFmtId="3" fontId="6" fillId="3" borderId="20" xfId="10" applyNumberFormat="1" applyFont="1" applyFill="1" applyBorder="1" applyAlignment="1" applyProtection="1">
      <alignment horizontal="right"/>
      <protection locked="0"/>
    </xf>
    <xf numFmtId="164" fontId="6" fillId="0" borderId="0" xfId="7" applyFont="1" applyFill="1" applyBorder="1" applyAlignment="1" applyProtection="1">
      <protection locked="0"/>
    </xf>
    <xf numFmtId="166" fontId="13" fillId="0" borderId="0" xfId="7" applyNumberFormat="1" applyFont="1" applyFill="1" applyBorder="1" applyAlignment="1" applyProtection="1">
      <protection locked="0"/>
    </xf>
    <xf numFmtId="0" fontId="13" fillId="0" borderId="5" xfId="0" quotePrefix="1" applyFont="1" applyBorder="1" applyAlignment="1" applyProtection="1">
      <alignment vertical="top"/>
      <protection locked="0"/>
    </xf>
    <xf numFmtId="0" fontId="13" fillId="0" borderId="0" xfId="0" applyFont="1" applyFill="1" applyBorder="1" applyAlignment="1" applyProtection="1">
      <protection locked="0"/>
    </xf>
    <xf numFmtId="0" fontId="13" fillId="0" borderId="0" xfId="0" quotePrefix="1" applyFont="1" applyFill="1" applyBorder="1" applyAlignment="1" applyProtection="1">
      <alignment vertical="top"/>
      <protection locked="0"/>
    </xf>
    <xf numFmtId="0" fontId="13" fillId="0" borderId="0" xfId="0" applyFont="1" applyBorder="1" applyAlignment="1" applyProtection="1">
      <protection locked="0"/>
    </xf>
    <xf numFmtId="165" fontId="13" fillId="0" borderId="0" xfId="10" applyFont="1" applyFill="1" applyBorder="1" applyAlignment="1" applyProtection="1">
      <protection locked="0"/>
    </xf>
    <xf numFmtId="164" fontId="18" fillId="0" borderId="0" xfId="7" applyFont="1" applyFill="1" applyBorder="1" applyAlignment="1" applyProtection="1">
      <protection locked="0"/>
    </xf>
    <xf numFmtId="0" fontId="6" fillId="0" borderId="0" xfId="0" applyFont="1" applyFill="1" applyBorder="1" applyAlignment="1" applyProtection="1">
      <protection locked="0"/>
    </xf>
    <xf numFmtId="0" fontId="22" fillId="0" borderId="0" xfId="1" applyFont="1" applyFill="1" applyBorder="1" applyAlignment="1" applyProtection="1">
      <alignment vertical="top"/>
      <protection locked="0"/>
    </xf>
    <xf numFmtId="0" fontId="22" fillId="2" borderId="0" xfId="1" applyFont="1" applyFill="1" applyBorder="1" applyAlignment="1" applyProtection="1">
      <alignment vertical="top"/>
      <protection locked="0"/>
    </xf>
    <xf numFmtId="0" fontId="8" fillId="2" borderId="0" xfId="3" applyFont="1" applyFill="1" applyBorder="1" applyAlignment="1" applyProtection="1">
      <alignment horizontal="right"/>
      <protection locked="0"/>
    </xf>
    <xf numFmtId="164" fontId="5" fillId="0" borderId="0" xfId="7" applyNumberFormat="1" applyProtection="1">
      <alignment wrapText="1"/>
      <protection locked="0"/>
    </xf>
    <xf numFmtId="164" fontId="18" fillId="0" borderId="7" xfId="7" applyFont="1" applyBorder="1" applyAlignment="1" applyProtection="1">
      <alignment horizontal="left"/>
      <protection locked="0"/>
    </xf>
    <xf numFmtId="3" fontId="18" fillId="0" borderId="0" xfId="7" applyNumberFormat="1" applyFont="1" applyBorder="1" applyAlignment="1" applyProtection="1">
      <protection locked="0"/>
    </xf>
    <xf numFmtId="3" fontId="18" fillId="0" borderId="8" xfId="7" applyNumberFormat="1" applyFont="1" applyBorder="1" applyAlignment="1" applyProtection="1">
      <protection locked="0"/>
    </xf>
    <xf numFmtId="164" fontId="24" fillId="0" borderId="0" xfId="7" applyFont="1" applyFill="1" applyBorder="1" applyAlignment="1" applyProtection="1">
      <protection locked="0"/>
    </xf>
    <xf numFmtId="165" fontId="6" fillId="3" borderId="7" xfId="10" applyFont="1" applyFill="1" applyBorder="1" applyAlignment="1" applyProtection="1">
      <protection locked="0"/>
    </xf>
    <xf numFmtId="3" fontId="6" fillId="3" borderId="0" xfId="10" applyNumberFormat="1" applyFont="1" applyFill="1" applyBorder="1" applyAlignment="1" applyProtection="1">
      <protection locked="0"/>
    </xf>
    <xf numFmtId="3" fontId="6" fillId="3" borderId="8" xfId="10" applyNumberFormat="1" applyFont="1" applyFill="1" applyBorder="1" applyAlignment="1" applyProtection="1">
      <protection locked="0"/>
    </xf>
    <xf numFmtId="164" fontId="18" fillId="3" borderId="7" xfId="7" applyFont="1" applyFill="1" applyBorder="1" applyAlignment="1" applyProtection="1">
      <alignment horizontal="left"/>
      <protection locked="0"/>
    </xf>
    <xf numFmtId="3" fontId="18" fillId="3" borderId="0" xfId="10" applyNumberFormat="1" applyFont="1" applyFill="1" applyBorder="1" applyAlignment="1" applyProtection="1">
      <protection locked="0"/>
    </xf>
    <xf numFmtId="3" fontId="18" fillId="3" borderId="8" xfId="10" applyNumberFormat="1" applyFont="1" applyFill="1" applyBorder="1" applyAlignment="1" applyProtection="1">
      <protection locked="0"/>
    </xf>
    <xf numFmtId="165" fontId="6" fillId="0" borderId="0" xfId="10" applyFont="1" applyFill="1" applyBorder="1" applyAlignment="1" applyProtection="1">
      <protection locked="0"/>
    </xf>
    <xf numFmtId="167" fontId="6" fillId="3" borderId="18" xfId="11" applyFont="1" applyFill="1" applyBorder="1" applyAlignment="1" applyProtection="1">
      <alignment wrapText="1"/>
      <protection locked="0"/>
    </xf>
    <xf numFmtId="168" fontId="6" fillId="3" borderId="19" xfId="7" applyNumberFormat="1" applyFont="1" applyFill="1" applyBorder="1" applyAlignment="1" applyProtection="1">
      <protection locked="0"/>
    </xf>
    <xf numFmtId="168" fontId="6" fillId="3" borderId="20" xfId="7" applyNumberFormat="1" applyFont="1" applyFill="1" applyBorder="1" applyAlignment="1" applyProtection="1">
      <protection locked="0"/>
    </xf>
    <xf numFmtId="0" fontId="13" fillId="0" borderId="0" xfId="12" applyFont="1" applyFill="1" applyBorder="1" applyAlignment="1" applyProtection="1">
      <protection locked="0"/>
    </xf>
    <xf numFmtId="0" fontId="13" fillId="2" borderId="0" xfId="0" applyFont="1" applyFill="1" applyBorder="1" applyAlignment="1" applyProtection="1">
      <protection locked="0"/>
    </xf>
    <xf numFmtId="0" fontId="13" fillId="0" borderId="0" xfId="12" quotePrefix="1" applyFont="1" applyFill="1" applyBorder="1" applyAlignment="1" applyProtection="1">
      <protection locked="0"/>
    </xf>
    <xf numFmtId="0" fontId="13" fillId="0" borderId="0" xfId="12" applyFont="1" applyBorder="1" applyAlignment="1" applyProtection="1">
      <protection locked="0"/>
    </xf>
    <xf numFmtId="3" fontId="8" fillId="2" borderId="0" xfId="1" applyNumberFormat="1" applyFont="1" applyFill="1" applyBorder="1" applyProtection="1">
      <alignment vertical="top" wrapText="1"/>
      <protection locked="0"/>
    </xf>
    <xf numFmtId="3" fontId="8" fillId="0" borderId="0" xfId="1" applyNumberFormat="1" applyFont="1" applyFill="1" applyBorder="1" applyProtection="1">
      <alignment vertical="top" wrapText="1"/>
      <protection locked="0"/>
    </xf>
    <xf numFmtId="3" fontId="9" fillId="0" borderId="7" xfId="5" applyNumberFormat="1" applyFont="1" applyBorder="1" applyProtection="1">
      <protection locked="0"/>
    </xf>
    <xf numFmtId="3" fontId="8" fillId="0" borderId="0" xfId="5" applyNumberFormat="1" applyFont="1" applyBorder="1" applyAlignment="1" applyProtection="1">
      <alignment horizontal="right"/>
      <protection locked="0"/>
    </xf>
    <xf numFmtId="3" fontId="8" fillId="0" borderId="8" xfId="5" applyNumberFormat="1" applyFont="1" applyBorder="1" applyAlignment="1" applyProtection="1">
      <alignment horizontal="right"/>
      <protection locked="0"/>
    </xf>
    <xf numFmtId="3" fontId="8" fillId="0" borderId="0" xfId="5" applyNumberFormat="1" applyFont="1" applyFill="1" applyBorder="1" applyProtection="1">
      <protection locked="0"/>
    </xf>
    <xf numFmtId="3" fontId="13" fillId="0" borderId="7" xfId="7" applyNumberFormat="1" applyFont="1" applyBorder="1" applyProtection="1">
      <alignment wrapText="1"/>
      <protection locked="0"/>
    </xf>
    <xf numFmtId="3" fontId="13" fillId="0" borderId="0" xfId="7" applyNumberFormat="1" applyFont="1" applyBorder="1" applyProtection="1">
      <alignment wrapText="1"/>
      <protection locked="0"/>
    </xf>
    <xf numFmtId="3" fontId="13" fillId="0" borderId="8" xfId="7" applyNumberFormat="1" applyFont="1" applyBorder="1" applyProtection="1">
      <alignment wrapText="1"/>
      <protection locked="0"/>
    </xf>
    <xf numFmtId="3" fontId="13" fillId="0" borderId="0" xfId="7" applyNumberFormat="1" applyFont="1" applyFill="1" applyBorder="1" applyProtection="1">
      <alignment wrapText="1"/>
      <protection locked="0"/>
    </xf>
    <xf numFmtId="3" fontId="13" fillId="0" borderId="7" xfId="7" applyNumberFormat="1" applyFont="1" applyBorder="1">
      <alignment wrapText="1"/>
      <protection locked="0"/>
    </xf>
    <xf numFmtId="3" fontId="6" fillId="3" borderId="7" xfId="10" applyNumberFormat="1" applyFont="1" applyFill="1" applyBorder="1" applyProtection="1">
      <alignment wrapText="1"/>
      <protection locked="0"/>
    </xf>
    <xf numFmtId="3" fontId="6" fillId="3" borderId="0" xfId="10" applyNumberFormat="1" applyFont="1" applyFill="1" applyBorder="1" applyProtection="1">
      <alignment wrapText="1"/>
      <protection locked="0"/>
    </xf>
    <xf numFmtId="3" fontId="6" fillId="3" borderId="8" xfId="10" applyNumberFormat="1" applyFont="1" applyFill="1" applyBorder="1" applyProtection="1">
      <alignment wrapText="1"/>
      <protection locked="0"/>
    </xf>
    <xf numFmtId="3" fontId="6" fillId="0" borderId="0" xfId="7" applyNumberFormat="1" applyFont="1" applyFill="1" applyBorder="1" applyProtection="1">
      <alignment wrapText="1"/>
      <protection locked="0"/>
    </xf>
    <xf numFmtId="3" fontId="9" fillId="2" borderId="7" xfId="5" applyNumberFormat="1" applyFont="1" applyFill="1" applyBorder="1" applyProtection="1">
      <protection locked="0"/>
    </xf>
    <xf numFmtId="3" fontId="8" fillId="2" borderId="0" xfId="5" applyNumberFormat="1" applyFont="1" applyFill="1" applyBorder="1" applyAlignment="1" applyProtection="1">
      <alignment horizontal="right"/>
      <protection locked="0"/>
    </xf>
    <xf numFmtId="3" fontId="8" fillId="2" borderId="8" xfId="5" applyNumberFormat="1" applyFont="1" applyFill="1" applyBorder="1" applyAlignment="1" applyProtection="1">
      <alignment horizontal="right"/>
      <protection locked="0"/>
    </xf>
    <xf numFmtId="3" fontId="6" fillId="0" borderId="0" xfId="10" applyNumberFormat="1" applyFont="1" applyFill="1" applyBorder="1" applyProtection="1">
      <alignment wrapText="1"/>
      <protection locked="0"/>
    </xf>
    <xf numFmtId="3" fontId="13" fillId="0" borderId="0" xfId="7" applyNumberFormat="1" applyFont="1" applyBorder="1" applyAlignment="1" applyProtection="1">
      <alignment horizontal="right" wrapText="1"/>
      <protection locked="0"/>
    </xf>
    <xf numFmtId="3" fontId="13" fillId="0" borderId="8" xfId="7" applyNumberFormat="1" applyFont="1" applyBorder="1" applyAlignment="1" applyProtection="1">
      <alignment horizontal="right" wrapText="1"/>
      <protection locked="0"/>
    </xf>
    <xf numFmtId="3" fontId="12" fillId="0" borderId="0" xfId="5" applyNumberFormat="1" applyFont="1" applyFill="1" applyBorder="1" applyProtection="1">
      <protection locked="0"/>
    </xf>
    <xf numFmtId="3" fontId="6" fillId="3" borderId="9" xfId="10" applyNumberFormat="1" applyFont="1" applyFill="1" applyBorder="1" applyProtection="1">
      <alignment wrapText="1"/>
      <protection locked="0"/>
    </xf>
    <xf numFmtId="3" fontId="6" fillId="3" borderId="10" xfId="10" applyNumberFormat="1" applyFont="1" applyFill="1" applyBorder="1" applyProtection="1">
      <alignment wrapText="1"/>
      <protection locked="0"/>
    </xf>
    <xf numFmtId="3" fontId="6" fillId="3" borderId="11" xfId="10" applyNumberFormat="1" applyFont="1" applyFill="1" applyBorder="1" applyProtection="1">
      <alignment wrapText="1"/>
      <protection locked="0"/>
    </xf>
    <xf numFmtId="3" fontId="6" fillId="3" borderId="18" xfId="10" applyNumberFormat="1" applyFont="1" applyFill="1" applyBorder="1" applyProtection="1">
      <alignment wrapText="1"/>
      <protection locked="0"/>
    </xf>
    <xf numFmtId="3" fontId="6" fillId="3" borderId="19" xfId="10" applyNumberFormat="1" applyFont="1" applyFill="1" applyBorder="1" applyProtection="1">
      <alignment wrapText="1"/>
      <protection locked="0"/>
    </xf>
    <xf numFmtId="3" fontId="6" fillId="3" borderId="20" xfId="10" applyNumberFormat="1" applyFont="1" applyFill="1" applyBorder="1" applyProtection="1">
      <alignment wrapText="1"/>
      <protection locked="0"/>
    </xf>
    <xf numFmtId="3" fontId="13" fillId="2" borderId="0" xfId="7" applyNumberFormat="1" applyFont="1" applyFill="1" applyBorder="1" applyProtection="1">
      <alignment wrapText="1"/>
      <protection locked="0"/>
    </xf>
    <xf numFmtId="3" fontId="13" fillId="0" borderId="0" xfId="0" applyNumberFormat="1" applyFont="1" applyBorder="1" applyProtection="1">
      <protection locked="0"/>
    </xf>
    <xf numFmtId="3" fontId="13" fillId="2" borderId="0" xfId="0" applyNumberFormat="1" applyFont="1" applyFill="1" applyBorder="1" applyProtection="1">
      <protection locked="0"/>
    </xf>
    <xf numFmtId="3" fontId="13" fillId="0" borderId="0" xfId="0" applyNumberFormat="1" applyFont="1" applyFill="1" applyBorder="1" applyProtection="1">
      <protection locked="0"/>
    </xf>
    <xf numFmtId="0" fontId="8" fillId="0" borderId="0" xfId="1" applyFont="1" applyFill="1" applyBorder="1" applyProtection="1">
      <alignment vertical="top" wrapText="1"/>
      <protection locked="0"/>
    </xf>
    <xf numFmtId="0" fontId="8" fillId="2" borderId="0" xfId="1" applyFont="1" applyFill="1" applyBorder="1" applyProtection="1">
      <alignment vertical="top" wrapText="1"/>
      <protection locked="0"/>
    </xf>
    <xf numFmtId="0" fontId="9" fillId="0" borderId="0" xfId="5" applyFont="1" applyBorder="1" applyAlignment="1" applyProtection="1">
      <protection locked="0"/>
    </xf>
    <xf numFmtId="0" fontId="9" fillId="0" borderId="8" xfId="5" applyFont="1" applyBorder="1" applyAlignment="1" applyProtection="1">
      <protection locked="0"/>
    </xf>
    <xf numFmtId="0" fontId="8" fillId="0" borderId="0" xfId="5" applyFont="1" applyFill="1" applyBorder="1" applyProtection="1">
      <protection locked="0"/>
    </xf>
    <xf numFmtId="164" fontId="13" fillId="0" borderId="0" xfId="7" applyFont="1" applyFill="1" applyBorder="1" applyProtection="1">
      <alignment wrapText="1"/>
      <protection locked="0"/>
    </xf>
    <xf numFmtId="165" fontId="6" fillId="0" borderId="0" xfId="10" applyFont="1" applyFill="1" applyBorder="1" applyProtection="1">
      <alignment wrapText="1"/>
      <protection locked="0"/>
    </xf>
    <xf numFmtId="0" fontId="13" fillId="0" borderId="0" xfId="0" applyFont="1" applyFill="1" applyBorder="1" applyProtection="1">
      <protection locked="0"/>
    </xf>
    <xf numFmtId="0" fontId="13" fillId="0" borderId="0" xfId="0" applyFont="1" applyBorder="1" applyProtection="1">
      <protection locked="0"/>
    </xf>
    <xf numFmtId="0" fontId="13" fillId="2" borderId="0" xfId="0" applyFont="1" applyFill="1" applyBorder="1" applyProtection="1">
      <protection locked="0"/>
    </xf>
    <xf numFmtId="3" fontId="6" fillId="3" borderId="10" xfId="10" applyNumberFormat="1" applyFont="1" applyFill="1" applyBorder="1" applyAlignment="1" applyProtection="1">
      <alignment horizontal="right"/>
      <protection locked="0"/>
    </xf>
    <xf numFmtId="3" fontId="6" fillId="3" borderId="11" xfId="10" applyNumberFormat="1" applyFont="1" applyFill="1" applyBorder="1" applyAlignment="1" applyProtection="1">
      <alignment horizontal="right"/>
      <protection locked="0"/>
    </xf>
    <xf numFmtId="3" fontId="13" fillId="0" borderId="5" xfId="0" quotePrefix="1" applyNumberFormat="1" applyFont="1" applyFill="1" applyBorder="1" applyAlignment="1"/>
    <xf numFmtId="3" fontId="13" fillId="0" borderId="0" xfId="0" quotePrefix="1" applyNumberFormat="1" applyFont="1" applyFill="1" applyBorder="1" applyAlignment="1"/>
    <xf numFmtId="3" fontId="13" fillId="0" borderId="0" xfId="0" quotePrefix="1" applyNumberFormat="1" applyFont="1" applyBorder="1" applyAlignment="1" applyProtection="1">
      <protection locked="0"/>
    </xf>
    <xf numFmtId="0" fontId="13" fillId="0" borderId="5" xfId="0" quotePrefix="1" applyFont="1" applyFill="1" applyBorder="1" applyAlignment="1"/>
    <xf numFmtId="0" fontId="13" fillId="0" borderId="0" xfId="0" quotePrefix="1" applyFont="1" applyBorder="1" applyAlignment="1" applyProtection="1">
      <protection locked="0"/>
    </xf>
    <xf numFmtId="166" fontId="6" fillId="0" borderId="0" xfId="7" applyNumberFormat="1" applyFont="1" applyFill="1" applyBorder="1" applyAlignment="1" applyProtection="1">
      <protection locked="0"/>
    </xf>
    <xf numFmtId="0" fontId="48" fillId="0" borderId="0" xfId="119" applyFont="1"/>
    <xf numFmtId="0" fontId="48" fillId="0" borderId="0" xfId="119" applyFont="1" applyBorder="1"/>
    <xf numFmtId="3" fontId="49" fillId="0" borderId="0" xfId="3" applyNumberFormat="1" applyFont="1" applyBorder="1" applyProtection="1">
      <alignment horizontal="right"/>
      <protection locked="0"/>
    </xf>
    <xf numFmtId="3" fontId="50" fillId="28" borderId="0" xfId="4" applyNumberFormat="1" applyFont="1" applyFill="1" applyBorder="1" applyProtection="1">
      <alignment horizontal="right" vertical="top" wrapText="1"/>
      <protection locked="0"/>
    </xf>
    <xf numFmtId="3" fontId="49" fillId="0" borderId="0" xfId="3" applyNumberFormat="1" applyFont="1" applyBorder="1" applyAlignment="1" applyProtection="1">
      <alignment horizontal="left"/>
      <protection locked="0"/>
    </xf>
    <xf numFmtId="172" fontId="48" fillId="0" borderId="0" xfId="119" applyNumberFormat="1" applyFont="1" applyBorder="1"/>
    <xf numFmtId="0" fontId="48" fillId="0" borderId="0" xfId="119" applyFont="1" applyBorder="1" applyAlignment="1">
      <alignment horizontal="left"/>
    </xf>
    <xf numFmtId="0" fontId="51" fillId="28" borderId="0" xfId="119" applyFont="1" applyFill="1" applyBorder="1" applyAlignment="1">
      <alignment horizontal="left"/>
    </xf>
    <xf numFmtId="172" fontId="51" fillId="28" borderId="0" xfId="119" applyNumberFormat="1" applyFont="1" applyFill="1" applyBorder="1"/>
    <xf numFmtId="0" fontId="51" fillId="28" borderId="0" xfId="119" applyFont="1" applyFill="1" applyBorder="1"/>
    <xf numFmtId="0" fontId="48" fillId="0" borderId="0" xfId="119" applyFont="1" applyFill="1" applyBorder="1"/>
    <xf numFmtId="0" fontId="52" fillId="0" borderId="0" xfId="119" applyFont="1" applyFill="1" applyBorder="1" applyAlignment="1">
      <alignment horizontal="left" indent="1"/>
    </xf>
    <xf numFmtId="0" fontId="50" fillId="0" borderId="0" xfId="119" applyFont="1" applyBorder="1" applyAlignment="1"/>
    <xf numFmtId="0" fontId="50" fillId="0" borderId="0" xfId="119" applyFont="1" applyBorder="1" applyAlignment="1">
      <alignment wrapText="1"/>
    </xf>
    <xf numFmtId="173" fontId="48" fillId="0" borderId="0" xfId="119" applyNumberFormat="1" applyFont="1" applyBorder="1"/>
    <xf numFmtId="0" fontId="51" fillId="28" borderId="30" xfId="119" applyFont="1" applyFill="1" applyBorder="1"/>
    <xf numFmtId="172" fontId="51" fillId="28" borderId="30" xfId="119" applyNumberFormat="1" applyFont="1" applyFill="1" applyBorder="1"/>
    <xf numFmtId="0" fontId="51" fillId="0" borderId="0" xfId="119" applyFont="1" applyBorder="1"/>
    <xf numFmtId="0" fontId="52" fillId="0" borderId="0" xfId="119" applyFont="1" applyBorder="1" applyAlignment="1">
      <alignment horizontal="left" indent="1"/>
    </xf>
    <xf numFmtId="0" fontId="52" fillId="0" borderId="0" xfId="119" applyFont="1" applyBorder="1"/>
    <xf numFmtId="172" fontId="48" fillId="0" borderId="0" xfId="119" applyNumberFormat="1" applyFont="1"/>
    <xf numFmtId="0" fontId="48" fillId="0" borderId="0" xfId="119" applyFont="1" applyBorder="1" applyAlignment="1">
      <alignment horizontal="left" indent="1"/>
    </xf>
    <xf numFmtId="0" fontId="19" fillId="0" borderId="0" xfId="119" applyFont="1"/>
    <xf numFmtId="172" fontId="19" fillId="0" borderId="0" xfId="119" applyNumberFormat="1" applyFont="1"/>
    <xf numFmtId="173" fontId="19" fillId="0" borderId="0" xfId="119" applyNumberFormat="1" applyFont="1"/>
    <xf numFmtId="0" fontId="49" fillId="0" borderId="0" xfId="119" applyFont="1" applyBorder="1" applyAlignment="1">
      <alignment horizontal="right"/>
    </xf>
    <xf numFmtId="0" fontId="50" fillId="3" borderId="7" xfId="4" applyFont="1" applyFill="1" applyBorder="1">
      <alignment horizontal="right" vertical="top" wrapText="1"/>
    </xf>
    <xf numFmtId="0" fontId="51" fillId="28" borderId="0" xfId="119" applyFont="1" applyFill="1" applyBorder="1" applyAlignment="1">
      <alignment horizontal="right" vertical="top" wrapText="1"/>
    </xf>
    <xf numFmtId="3" fontId="50" fillId="28" borderId="0" xfId="4" applyNumberFormat="1" applyFont="1" applyFill="1" applyBorder="1" applyAlignment="1" applyProtection="1">
      <alignment horizontal="right" vertical="top" wrapText="1"/>
      <protection locked="0"/>
    </xf>
    <xf numFmtId="0" fontId="49" fillId="0" borderId="0" xfId="119" applyFont="1" applyBorder="1"/>
    <xf numFmtId="0" fontId="51" fillId="0" borderId="0" xfId="119" applyFont="1" applyBorder="1" applyAlignment="1">
      <alignment horizontal="left"/>
    </xf>
    <xf numFmtId="0" fontId="51" fillId="0" borderId="0" xfId="119" applyFont="1" applyBorder="1" applyAlignment="1">
      <alignment wrapText="1"/>
    </xf>
    <xf numFmtId="0" fontId="13" fillId="0" borderId="0" xfId="119" applyFont="1" applyBorder="1"/>
    <xf numFmtId="0" fontId="55" fillId="2" borderId="3" xfId="3" applyFont="1" applyFill="1" applyBorder="1" applyProtection="1">
      <alignment horizontal="right"/>
      <protection locked="0"/>
    </xf>
    <xf numFmtId="0" fontId="55" fillId="2" borderId="5" xfId="3" applyFont="1" applyFill="1" applyBorder="1" applyProtection="1">
      <alignment horizontal="right"/>
      <protection locked="0"/>
    </xf>
    <xf numFmtId="0" fontId="48" fillId="0" borderId="5" xfId="119" applyFont="1" applyBorder="1"/>
    <xf numFmtId="0" fontId="56" fillId="2" borderId="6" xfId="3" applyFont="1" applyFill="1" applyBorder="1" applyProtection="1">
      <alignment horizontal="right"/>
      <protection locked="0"/>
    </xf>
    <xf numFmtId="0" fontId="50" fillId="3" borderId="7" xfId="4" applyFont="1" applyFill="1" applyBorder="1" applyProtection="1">
      <alignment horizontal="right" vertical="top" wrapText="1"/>
      <protection locked="0"/>
    </xf>
    <xf numFmtId="0" fontId="48" fillId="28" borderId="0" xfId="119" applyFont="1" applyFill="1" applyBorder="1"/>
    <xf numFmtId="0" fontId="48" fillId="28" borderId="8" xfId="119" applyFont="1" applyFill="1" applyBorder="1"/>
    <xf numFmtId="0" fontId="50" fillId="3" borderId="31" xfId="4" applyFont="1" applyFill="1" applyBorder="1" applyProtection="1">
      <alignment horizontal="right" vertical="top" wrapText="1"/>
      <protection locked="0"/>
    </xf>
    <xf numFmtId="0" fontId="50" fillId="3" borderId="0" xfId="4" applyFont="1" applyFill="1" applyBorder="1" applyProtection="1">
      <alignment horizontal="right" vertical="top" wrapText="1"/>
      <protection locked="0"/>
    </xf>
    <xf numFmtId="0" fontId="50" fillId="3" borderId="8" xfId="4" applyFont="1" applyFill="1" applyBorder="1" applyProtection="1">
      <alignment horizontal="right" vertical="top" wrapText="1"/>
      <protection locked="0"/>
    </xf>
    <xf numFmtId="0" fontId="51" fillId="28" borderId="0" xfId="119" applyFont="1" applyFill="1" applyBorder="1" applyAlignment="1">
      <alignment horizontal="right" vertical="top"/>
    </xf>
    <xf numFmtId="0" fontId="51" fillId="28" borderId="8" xfId="119" applyFont="1" applyFill="1" applyBorder="1" applyAlignment="1">
      <alignment horizontal="right" vertical="top"/>
    </xf>
    <xf numFmtId="0" fontId="56" fillId="2" borderId="7" xfId="5" applyFont="1" applyFill="1" applyBorder="1" applyProtection="1">
      <protection locked="0"/>
    </xf>
    <xf numFmtId="0" fontId="55" fillId="2" borderId="0" xfId="5" applyFont="1" applyFill="1" applyBorder="1" applyProtection="1">
      <protection locked="0"/>
    </xf>
    <xf numFmtId="0" fontId="48" fillId="0" borderId="8" xfId="119" applyFont="1" applyBorder="1"/>
    <xf numFmtId="164" fontId="13" fillId="2" borderId="7" xfId="7" applyFont="1" applyFill="1" applyBorder="1" applyAlignment="1" applyProtection="1">
      <alignment vertical="center" wrapText="1"/>
      <protection locked="0"/>
    </xf>
    <xf numFmtId="3" fontId="13" fillId="2" borderId="0" xfId="7" applyNumberFormat="1" applyFont="1" applyFill="1" applyBorder="1" applyAlignment="1" applyProtection="1">
      <alignment wrapText="1"/>
      <protection locked="0"/>
    </xf>
    <xf numFmtId="3" fontId="48" fillId="0" borderId="0" xfId="119" applyNumberFormat="1" applyFont="1" applyBorder="1"/>
    <xf numFmtId="3" fontId="48" fillId="0" borderId="8" xfId="119" applyNumberFormat="1" applyFont="1" applyBorder="1"/>
    <xf numFmtId="164" fontId="13" fillId="2" borderId="7" xfId="7" applyFont="1" applyFill="1" applyBorder="1" applyAlignment="1" applyProtection="1">
      <alignment vertical="top" wrapText="1"/>
      <protection locked="0"/>
    </xf>
    <xf numFmtId="165" fontId="50" fillId="3" borderId="7" xfId="10" applyFont="1" applyFill="1" applyBorder="1" applyAlignment="1" applyProtection="1">
      <alignment vertical="center" wrapText="1"/>
      <protection locked="0"/>
    </xf>
    <xf numFmtId="3" fontId="51" fillId="3" borderId="0" xfId="119" applyNumberFormat="1" applyFont="1" applyFill="1" applyBorder="1" applyAlignment="1">
      <alignment wrapText="1"/>
    </xf>
    <xf numFmtId="3" fontId="51" fillId="28" borderId="0" xfId="119" applyNumberFormat="1" applyFont="1" applyFill="1" applyBorder="1"/>
    <xf numFmtId="3" fontId="51" fillId="28" borderId="8" xfId="119" applyNumberFormat="1" applyFont="1" applyFill="1" applyBorder="1"/>
    <xf numFmtId="0" fontId="56" fillId="2" borderId="7" xfId="5" applyFont="1" applyFill="1" applyBorder="1" applyAlignment="1" applyProtection="1">
      <alignment vertical="top"/>
      <protection locked="0"/>
    </xf>
    <xf numFmtId="3" fontId="55" fillId="2" borderId="0" xfId="5" applyNumberFormat="1" applyFont="1" applyFill="1" applyBorder="1" applyProtection="1">
      <protection locked="0"/>
    </xf>
    <xf numFmtId="165" fontId="50" fillId="3" borderId="9" xfId="10" applyFont="1" applyFill="1" applyBorder="1" applyAlignment="1" applyProtection="1">
      <alignment vertical="center" wrapText="1"/>
      <protection locked="0"/>
    </xf>
    <xf numFmtId="3" fontId="51" fillId="3" borderId="10" xfId="119" applyNumberFormat="1" applyFont="1" applyFill="1" applyBorder="1" applyAlignment="1">
      <alignment wrapText="1"/>
    </xf>
    <xf numFmtId="3" fontId="51" fillId="28" borderId="10" xfId="119" applyNumberFormat="1" applyFont="1" applyFill="1" applyBorder="1"/>
    <xf numFmtId="3" fontId="51" fillId="28" borderId="11" xfId="119" applyNumberFormat="1" applyFont="1" applyFill="1" applyBorder="1"/>
    <xf numFmtId="165" fontId="50" fillId="3" borderId="32" xfId="10" applyFont="1" applyFill="1" applyBorder="1" applyAlignment="1" applyProtection="1">
      <alignment vertical="top" wrapText="1"/>
      <protection locked="0"/>
    </xf>
    <xf numFmtId="3" fontId="51" fillId="3" borderId="33" xfId="119" applyNumberFormat="1" applyFont="1" applyFill="1" applyBorder="1" applyAlignment="1">
      <alignment wrapText="1"/>
    </xf>
    <xf numFmtId="3" fontId="51" fillId="28" borderId="19" xfId="119" applyNumberFormat="1" applyFont="1" applyFill="1" applyBorder="1"/>
    <xf numFmtId="3" fontId="51" fillId="28" borderId="20" xfId="119" applyNumberFormat="1" applyFont="1" applyFill="1" applyBorder="1"/>
    <xf numFmtId="3" fontId="19" fillId="0" borderId="0" xfId="119" applyNumberFormat="1" applyFont="1"/>
    <xf numFmtId="3" fontId="13" fillId="0" borderId="34" xfId="7" applyNumberFormat="1" applyFont="1" applyBorder="1" applyAlignment="1" applyProtection="1">
      <alignment horizontal="right" wrapText="1"/>
      <protection locked="0"/>
    </xf>
    <xf numFmtId="172" fontId="52" fillId="0" borderId="0" xfId="119" applyNumberFormat="1" applyFont="1" applyBorder="1"/>
    <xf numFmtId="3" fontId="6" fillId="3" borderId="4" xfId="4" applyNumberFormat="1" applyFont="1" applyFill="1" applyBorder="1" applyAlignment="1" applyProtection="1">
      <alignment horizontal="center" vertical="top" wrapText="1"/>
      <protection locked="0"/>
    </xf>
    <xf numFmtId="3" fontId="13" fillId="2" borderId="0" xfId="9" applyNumberFormat="1" applyFont="1" applyFill="1" applyBorder="1" applyAlignment="1" applyProtection="1">
      <alignment horizontal="left" vertical="top" wrapText="1"/>
      <protection locked="0"/>
    </xf>
    <xf numFmtId="3" fontId="13" fillId="0" borderId="0" xfId="9" applyNumberFormat="1" applyFont="1" applyFill="1" applyAlignment="1" applyProtection="1">
      <alignment horizontal="left" vertical="top" wrapText="1"/>
      <protection locked="0"/>
    </xf>
    <xf numFmtId="3" fontId="13" fillId="2" borderId="0" xfId="9" applyNumberFormat="1" applyFont="1" applyFill="1" applyAlignment="1" applyProtection="1">
      <alignment horizontal="left" vertical="top" wrapText="1"/>
      <protection locked="0"/>
    </xf>
    <xf numFmtId="3" fontId="13" fillId="0" borderId="5" xfId="0" quotePrefix="1" applyNumberFormat="1" applyFont="1" applyFill="1" applyBorder="1" applyAlignment="1">
      <alignment horizontal="left" vertical="top" wrapText="1"/>
    </xf>
    <xf numFmtId="3" fontId="13" fillId="0" borderId="0" xfId="0" quotePrefix="1" applyNumberFormat="1" applyFont="1" applyFill="1" applyBorder="1" applyAlignment="1" applyProtection="1">
      <alignment horizontal="left" vertical="top" wrapText="1"/>
      <protection locked="0"/>
    </xf>
    <xf numFmtId="3" fontId="13" fillId="0" borderId="0" xfId="0" applyNumberFormat="1" applyFont="1" applyBorder="1" applyAlignment="1" applyProtection="1">
      <alignment horizontal="left" wrapText="1"/>
      <protection locked="0"/>
    </xf>
    <xf numFmtId="0" fontId="13" fillId="0" borderId="0" xfId="12" applyFont="1" applyFill="1" applyBorder="1" applyAlignment="1" applyProtection="1">
      <alignment horizontal="left" vertical="top" wrapText="1"/>
      <protection locked="0"/>
    </xf>
    <xf numFmtId="0" fontId="13" fillId="0" borderId="5" xfId="12" quotePrefix="1" applyFont="1" applyBorder="1" applyAlignment="1" applyProtection="1">
      <alignment horizontal="left" vertical="top" wrapText="1"/>
      <protection locked="0"/>
    </xf>
    <xf numFmtId="3" fontId="13" fillId="0" borderId="0" xfId="0" quotePrefix="1" applyNumberFormat="1" applyFont="1" applyFill="1" applyBorder="1" applyAlignment="1">
      <alignment horizontal="left" vertical="top" wrapText="1"/>
    </xf>
    <xf numFmtId="3" fontId="46" fillId="2" borderId="0" xfId="5" applyNumberFormat="1" applyFont="1" applyFill="1" applyBorder="1" applyAlignment="1" applyProtection="1">
      <alignment horizontal="left" wrapText="1"/>
      <protection locked="0"/>
    </xf>
    <xf numFmtId="0" fontId="50" fillId="0" borderId="0" xfId="119" applyFont="1" applyBorder="1" applyAlignment="1">
      <alignment horizontal="left" wrapText="1"/>
    </xf>
    <xf numFmtId="0" fontId="48" fillId="0" borderId="0" xfId="119" applyFont="1" applyAlignment="1">
      <alignment horizontal="left" vertical="top"/>
    </xf>
    <xf numFmtId="0" fontId="48" fillId="0" borderId="0" xfId="119" applyFont="1" applyAlignment="1">
      <alignment horizontal="left" vertical="top" wrapText="1"/>
    </xf>
    <xf numFmtId="0" fontId="48" fillId="0" borderId="0" xfId="119" applyFont="1" applyAlignment="1">
      <alignment wrapText="1"/>
    </xf>
    <xf numFmtId="22" fontId="54" fillId="2" borderId="19" xfId="120" applyNumberFormat="1" applyFont="1" applyFill="1" applyBorder="1" applyAlignment="1" applyProtection="1">
      <alignment horizontal="left" vertical="top" wrapText="1"/>
      <protection locked="0"/>
    </xf>
    <xf numFmtId="0" fontId="50" fillId="3" borderId="0" xfId="4" applyFont="1" applyFill="1" applyBorder="1" applyAlignment="1" applyProtection="1">
      <alignment horizontal="center" vertical="top" wrapText="1"/>
      <protection locked="0"/>
    </xf>
  </cellXfs>
  <cellStyles count="121">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2" xfId="40"/>
    <cellStyle name="Explanatory Text 2" xfId="41"/>
    <cellStyle name="Good 2" xfId="42"/>
    <cellStyle name="Heading 1" xfId="1" builtinId="16"/>
    <cellStyle name="Heading 1 2" xfId="43"/>
    <cellStyle name="Heading 1 2 2" xfId="44"/>
    <cellStyle name="Heading 1 3" xfId="45"/>
    <cellStyle name="Heading 1 4" xfId="46"/>
    <cellStyle name="Heading 1 5" xfId="120"/>
    <cellStyle name="Heading 2 2" xfId="47"/>
    <cellStyle name="Heading 3 2" xfId="48"/>
    <cellStyle name="Heading 4 2" xfId="49"/>
    <cellStyle name="Input 2" xfId="50"/>
    <cellStyle name="Linked Cell 2" xfId="51"/>
    <cellStyle name="Mik" xfId="52"/>
    <cellStyle name="Mik 2" xfId="53"/>
    <cellStyle name="Neutral 2" xfId="54"/>
    <cellStyle name="Normal" xfId="0" builtinId="0"/>
    <cellStyle name="Normal 2" xfId="55"/>
    <cellStyle name="Normal 3" xfId="56"/>
    <cellStyle name="Normal 4" xfId="57"/>
    <cellStyle name="Normal 5" xfId="58"/>
    <cellStyle name="Normal 6" xfId="119"/>
    <cellStyle name="Normal_Final 1.1 Feb 23" xfId="9"/>
    <cellStyle name="Normal_PESA 2008 Chapter 1-3 (Proof 2 - 15-04-08) rounded2" xfId="12"/>
    <cellStyle name="Normal_PESA 2008 Chapter 9 Tables (Web)" xfId="2"/>
    <cellStyle name="Normal_Sheet1" xfId="6"/>
    <cellStyle name="Note 2" xfId="59"/>
    <cellStyle name="Output 2" xfId="60"/>
    <cellStyle name="Style 1" xfId="61"/>
    <cellStyle name="Style1" xfId="62"/>
    <cellStyle name="Style2" xfId="63"/>
    <cellStyle name="Style3" xfId="64"/>
    <cellStyle name="Style4" xfId="65"/>
    <cellStyle name="Style5" xfId="66"/>
    <cellStyle name="Style6" xfId="67"/>
    <cellStyle name="Table Footnote" xfId="68"/>
    <cellStyle name="Table Footnote 2" xfId="69"/>
    <cellStyle name="Table Footnote 2 2" xfId="70"/>
    <cellStyle name="Table Footnote_Copy of 11645PESA 2010114148" xfId="71"/>
    <cellStyle name="Table Header" xfId="4"/>
    <cellStyle name="Table Header 2" xfId="72"/>
    <cellStyle name="Table Header 2 2" xfId="73"/>
    <cellStyle name="Table Header_Copy of 11645PESA 2010114148" xfId="74"/>
    <cellStyle name="Table Heading 1" xfId="5"/>
    <cellStyle name="Table Heading 1 2" xfId="75"/>
    <cellStyle name="Table Heading 1 2 2" xfId="76"/>
    <cellStyle name="Table Heading 1_Copy of 11645PESA 2010114148" xfId="77"/>
    <cellStyle name="Table Heading 2" xfId="8"/>
    <cellStyle name="Table Heading 2 2" xfId="78"/>
    <cellStyle name="Table Heading 2_Copy of 11645PESA 2010114148" xfId="79"/>
    <cellStyle name="Table Of Which" xfId="80"/>
    <cellStyle name="Table Of Which 2" xfId="81"/>
    <cellStyle name="Table Of Which_Copy of 11645PESA 2010114148" xfId="82"/>
    <cellStyle name="Table Row Billions" xfId="83"/>
    <cellStyle name="Table Row Billions 2" xfId="84"/>
    <cellStyle name="Table Row Billions Check" xfId="85"/>
    <cellStyle name="Table Row Billions Check 2" xfId="86"/>
    <cellStyle name="Table Row Billions Check 3" xfId="87"/>
    <cellStyle name="Table Row Billions_Copy of 11645PESA 2010114148" xfId="88"/>
    <cellStyle name="Table Row Millions" xfId="7"/>
    <cellStyle name="Table Row Millions 2" xfId="89"/>
    <cellStyle name="Table Row Millions 2 2" xfId="90"/>
    <cellStyle name="Table Row Millions Check" xfId="91"/>
    <cellStyle name="Table Row Millions Check 2" xfId="92"/>
    <cellStyle name="Table Row Millions Check 3" xfId="93"/>
    <cellStyle name="Table Row Millions Check 4" xfId="94"/>
    <cellStyle name="Table Row Millions Check 5" xfId="95"/>
    <cellStyle name="Table Row Millions_Copy of 11645PESA 2010114148" xfId="96"/>
    <cellStyle name="Table Row Percentage" xfId="11"/>
    <cellStyle name="Table Row Percentage 2" xfId="97"/>
    <cellStyle name="Table Row Percentage Check" xfId="98"/>
    <cellStyle name="Table Row Percentage Check 2" xfId="99"/>
    <cellStyle name="Table Row Percentage Check 3" xfId="100"/>
    <cellStyle name="Table Row Percentage_Copy of 11645PESA 2010114148" xfId="101"/>
    <cellStyle name="Table Total Billions" xfId="102"/>
    <cellStyle name="Table Total Billions 2" xfId="103"/>
    <cellStyle name="Table Total Billions_Copy of 11645PESA 2010114148" xfId="104"/>
    <cellStyle name="Table Total Millions" xfId="10"/>
    <cellStyle name="Table Total Millions 2" xfId="105"/>
    <cellStyle name="Table Total Millions 2 2" xfId="106"/>
    <cellStyle name="Table Total Millions_Copy of 11645PESA 2010114148" xfId="107"/>
    <cellStyle name="Table Total Percentage" xfId="108"/>
    <cellStyle name="Table Total Percentage 2" xfId="109"/>
    <cellStyle name="Table Total Percentage_Copy of 11645PESA 2010114148" xfId="110"/>
    <cellStyle name="Table Units" xfId="3"/>
    <cellStyle name="Table Units 2" xfId="111"/>
    <cellStyle name="Table Units 2 2" xfId="112"/>
    <cellStyle name="Table Units_Copy of 11645PESA 2010114148" xfId="113"/>
    <cellStyle name="Title 2" xfId="114"/>
    <cellStyle name="Title 3" xfId="115"/>
    <cellStyle name="Title 4" xfId="116"/>
    <cellStyle name="Total 2" xfId="117"/>
    <cellStyle name="Warning Text 2" xfId="1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rhmtnbobthomas\Local%20Settings\Temp\Temporary%20Directory%204%20for%20website.zip\website\PESA%202011%20CM%20Chapter%201%20and%20round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
      <sheetName val="1.2"/>
      <sheetName val="1.3"/>
      <sheetName val="1.3a"/>
      <sheetName val="1.4"/>
      <sheetName val="1.5"/>
      <sheetName val="1.6"/>
      <sheetName val="1.7"/>
      <sheetName val="1.8"/>
      <sheetName val="1.9"/>
      <sheetName val="2.5"/>
      <sheetName val="GDP"/>
      <sheetName val="1.12"/>
      <sheetName val="1.13"/>
      <sheetName val="1.14"/>
      <sheetName val="3.1"/>
      <sheetName val="3.2"/>
      <sheetName val="3.3"/>
      <sheetName val="3.4"/>
      <sheetName val="3.5"/>
      <sheetName val="3.6"/>
      <sheetName val="3.7"/>
      <sheetName val="3.8"/>
      <sheetName val="3.9"/>
      <sheetName val="3.10"/>
    </sheetNames>
    <sheetDataSet>
      <sheetData sheetId="0"/>
      <sheetData sheetId="1"/>
      <sheetData sheetId="2"/>
      <sheetData sheetId="3"/>
      <sheetData sheetId="4"/>
      <sheetData sheetId="5"/>
      <sheetData sheetId="6"/>
      <sheetData sheetId="7"/>
      <sheetData sheetId="8"/>
      <sheetData sheetId="9"/>
      <sheetData sheetId="10"/>
      <sheetData sheetId="11">
        <row r="72">
          <cell r="D72">
            <v>90.400990844175979</v>
          </cell>
          <cell r="E72">
            <v>92.991314324786003</v>
          </cell>
          <cell r="F72">
            <v>95.564178702510588</v>
          </cell>
          <cell r="G72">
            <v>97.119941975206658</v>
          </cell>
          <cell r="H72">
            <v>100</v>
          </cell>
          <cell r="I72">
            <v>102.93859103805958</v>
          </cell>
          <cell r="J72">
            <v>105.50218463848725</v>
          </cell>
          <cell r="K72">
            <v>108.34176027446527</v>
          </cell>
          <cell r="L72">
            <v>111.23830845750147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autoPageBreaks="0"/>
  </sheetPr>
  <dimension ref="A1:HZ61"/>
  <sheetViews>
    <sheetView showGridLines="0" tabSelected="1" zoomScaleNormal="100" zoomScaleSheetLayoutView="100" workbookViewId="0">
      <selection activeCell="L37" sqref="L37"/>
    </sheetView>
  </sheetViews>
  <sheetFormatPr defaultRowHeight="11.25"/>
  <cols>
    <col min="1" max="1" width="36.33203125" style="21" customWidth="1"/>
    <col min="2" max="5" width="12.83203125" style="21" customWidth="1"/>
    <col min="6" max="10" width="12.83203125" style="20" customWidth="1"/>
    <col min="11" max="16384" width="9.33203125" style="20"/>
  </cols>
  <sheetData>
    <row r="1" spans="1:234" s="2" customFormat="1" ht="15">
      <c r="A1" s="1" t="s">
        <v>0</v>
      </c>
      <c r="B1" s="1"/>
      <c r="C1" s="1"/>
      <c r="D1" s="1"/>
      <c r="E1" s="1"/>
      <c r="F1" s="1"/>
      <c r="G1" s="1"/>
      <c r="H1" s="1"/>
      <c r="I1" s="1"/>
      <c r="J1" s="1"/>
    </row>
    <row r="2" spans="1:234" s="2" customFormat="1" ht="12" thickBot="1">
      <c r="A2" s="3"/>
      <c r="B2" s="3"/>
      <c r="C2" s="3"/>
      <c r="D2" s="3"/>
      <c r="E2" s="3"/>
      <c r="F2" s="3"/>
      <c r="G2" s="3"/>
      <c r="H2" s="3"/>
      <c r="I2" s="3"/>
      <c r="J2" s="4" t="s">
        <v>1</v>
      </c>
    </row>
    <row r="3" spans="1:234"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row>
    <row r="5" spans="1:234"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row>
    <row r="6" spans="1:234" s="2" customFormat="1">
      <c r="A6" s="14" t="s">
        <v>14</v>
      </c>
      <c r="B6" s="15"/>
      <c r="C6" s="15"/>
      <c r="D6" s="15"/>
      <c r="E6" s="15"/>
      <c r="F6" s="15"/>
      <c r="G6" s="15"/>
      <c r="H6" s="15"/>
      <c r="I6" s="15"/>
      <c r="J6" s="16"/>
    </row>
    <row r="7" spans="1:234" s="21" customFormat="1">
      <c r="A7" s="17" t="s">
        <v>15</v>
      </c>
      <c r="B7" s="18"/>
      <c r="C7" s="18"/>
      <c r="D7" s="18"/>
      <c r="E7" s="18"/>
      <c r="F7" s="18"/>
      <c r="G7" s="18"/>
      <c r="H7" s="18"/>
      <c r="I7" s="18"/>
      <c r="J7" s="19"/>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row>
    <row r="8" spans="1:234" s="21" customFormat="1" ht="12">
      <c r="A8" s="22" t="s">
        <v>16</v>
      </c>
      <c r="B8" s="23">
        <v>272403</v>
      </c>
      <c r="C8" s="23">
        <v>288192</v>
      </c>
      <c r="D8" s="23">
        <v>300754</v>
      </c>
      <c r="E8" s="24">
        <v>319337</v>
      </c>
      <c r="F8" s="24">
        <v>325165</v>
      </c>
      <c r="G8" s="24">
        <v>326300</v>
      </c>
      <c r="H8" s="24">
        <v>327100</v>
      </c>
      <c r="I8" s="24">
        <v>331000</v>
      </c>
      <c r="J8" s="25">
        <v>328900</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row>
    <row r="9" spans="1:234" s="21" customFormat="1" ht="12">
      <c r="A9" s="22" t="s">
        <v>17</v>
      </c>
      <c r="B9" s="23">
        <v>11125</v>
      </c>
      <c r="C9" s="23">
        <v>12086</v>
      </c>
      <c r="D9" s="23">
        <v>12924</v>
      </c>
      <c r="E9" s="24">
        <v>14463</v>
      </c>
      <c r="F9" s="24">
        <v>20848</v>
      </c>
      <c r="G9" s="24">
        <v>16100</v>
      </c>
      <c r="H9" s="24">
        <v>17500</v>
      </c>
      <c r="I9" s="24">
        <v>18100</v>
      </c>
      <c r="J9" s="25">
        <v>19200</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row>
    <row r="10" spans="1:234" s="27" customFormat="1">
      <c r="A10" s="26" t="s">
        <v>18</v>
      </c>
      <c r="B10" s="11">
        <v>283528</v>
      </c>
      <c r="C10" s="11">
        <v>300279</v>
      </c>
      <c r="D10" s="11">
        <v>313678</v>
      </c>
      <c r="E10" s="11">
        <v>333801</v>
      </c>
      <c r="F10" s="11">
        <v>346013</v>
      </c>
      <c r="G10" s="11">
        <v>342300</v>
      </c>
      <c r="H10" s="11">
        <v>344600</v>
      </c>
      <c r="I10" s="11">
        <v>349100</v>
      </c>
      <c r="J10" s="12">
        <v>348200</v>
      </c>
      <c r="L10" s="20"/>
      <c r="M10" s="20"/>
      <c r="N10" s="20"/>
      <c r="O10" s="20"/>
    </row>
    <row r="11" spans="1:234">
      <c r="A11" s="17" t="s">
        <v>19</v>
      </c>
      <c r="B11" s="18"/>
      <c r="C11" s="18"/>
      <c r="D11" s="18"/>
      <c r="E11" s="28"/>
      <c r="F11" s="28"/>
      <c r="G11" s="28"/>
      <c r="H11" s="28"/>
      <c r="I11" s="28"/>
      <c r="J11" s="29"/>
    </row>
    <row r="12" spans="1:234">
      <c r="A12" s="22" t="s">
        <v>20</v>
      </c>
      <c r="B12" s="23">
        <v>133463</v>
      </c>
      <c r="C12" s="23">
        <v>140474</v>
      </c>
      <c r="D12" s="23">
        <v>151195</v>
      </c>
      <c r="E12" s="24">
        <v>164487</v>
      </c>
      <c r="F12" s="24">
        <v>170403</v>
      </c>
      <c r="G12" s="24">
        <v>175424</v>
      </c>
      <c r="H12" s="24">
        <v>180001</v>
      </c>
      <c r="I12" s="24">
        <v>179604</v>
      </c>
      <c r="J12" s="25">
        <v>184070</v>
      </c>
    </row>
    <row r="13" spans="1:234" ht="12">
      <c r="A13" s="30" t="s">
        <v>21</v>
      </c>
      <c r="B13" s="23">
        <v>18798</v>
      </c>
      <c r="C13" s="23">
        <v>20142</v>
      </c>
      <c r="D13" s="23">
        <v>24171</v>
      </c>
      <c r="E13" s="24">
        <v>27667</v>
      </c>
      <c r="F13" s="24">
        <v>28925</v>
      </c>
      <c r="G13" s="24">
        <v>30099.751</v>
      </c>
      <c r="H13" s="24">
        <v>31380.707999999999</v>
      </c>
      <c r="I13" s="24">
        <v>31707.996999999999</v>
      </c>
      <c r="J13" s="25">
        <v>31841.107</v>
      </c>
    </row>
    <row r="14" spans="1:234" ht="12">
      <c r="A14" s="30" t="s">
        <v>22</v>
      </c>
      <c r="B14" s="23">
        <v>3253</v>
      </c>
      <c r="C14" s="23">
        <v>5325</v>
      </c>
      <c r="D14" s="23">
        <v>5417</v>
      </c>
      <c r="E14" s="24">
        <v>1530</v>
      </c>
      <c r="F14" s="24">
        <v>-74880</v>
      </c>
      <c r="G14" s="24">
        <v>5234</v>
      </c>
      <c r="H14" s="24">
        <v>6029</v>
      </c>
      <c r="I14" s="24">
        <v>1617</v>
      </c>
      <c r="J14" s="25">
        <v>1847</v>
      </c>
    </row>
    <row r="15" spans="1:234">
      <c r="A15" s="22" t="s">
        <v>23</v>
      </c>
      <c r="B15" s="23">
        <v>837</v>
      </c>
      <c r="C15" s="23">
        <v>882</v>
      </c>
      <c r="D15" s="23">
        <v>1011</v>
      </c>
      <c r="E15" s="24">
        <v>1001</v>
      </c>
      <c r="F15" s="24">
        <v>1090</v>
      </c>
      <c r="G15" s="24">
        <v>861</v>
      </c>
      <c r="H15" s="24">
        <v>799</v>
      </c>
      <c r="I15" s="24">
        <v>861</v>
      </c>
      <c r="J15" s="25">
        <v>861</v>
      </c>
    </row>
    <row r="16" spans="1:234">
      <c r="A16" s="22" t="s">
        <v>24</v>
      </c>
      <c r="B16" s="23">
        <v>3242</v>
      </c>
      <c r="C16" s="23">
        <v>3430</v>
      </c>
      <c r="D16" s="23">
        <v>3316</v>
      </c>
      <c r="E16" s="24">
        <v>3464</v>
      </c>
      <c r="F16" s="24">
        <v>3303</v>
      </c>
      <c r="G16" s="24">
        <v>3513</v>
      </c>
      <c r="H16" s="24">
        <v>3430</v>
      </c>
      <c r="I16" s="24">
        <v>3582</v>
      </c>
      <c r="J16" s="25">
        <v>3429</v>
      </c>
    </row>
    <row r="17" spans="1:15">
      <c r="A17" s="22" t="s">
        <v>25</v>
      </c>
      <c r="B17" s="23">
        <v>-456</v>
      </c>
      <c r="C17" s="23">
        <v>-847</v>
      </c>
      <c r="D17" s="23">
        <v>-976</v>
      </c>
      <c r="E17" s="24">
        <v>-256</v>
      </c>
      <c r="F17" s="24">
        <v>-301</v>
      </c>
      <c r="G17" s="24">
        <v>-1768</v>
      </c>
      <c r="H17" s="24">
        <v>-1695</v>
      </c>
      <c r="I17" s="24">
        <v>-1861</v>
      </c>
      <c r="J17" s="25">
        <v>-2490</v>
      </c>
    </row>
    <row r="18" spans="1:15">
      <c r="A18" s="22" t="s">
        <v>26</v>
      </c>
      <c r="B18" s="23">
        <v>40794</v>
      </c>
      <c r="C18" s="23">
        <v>47109</v>
      </c>
      <c r="D18" s="23">
        <v>42613</v>
      </c>
      <c r="E18" s="24">
        <v>44108</v>
      </c>
      <c r="F18" s="24">
        <v>56343</v>
      </c>
      <c r="G18" s="24">
        <v>52419</v>
      </c>
      <c r="H18" s="24">
        <v>54631</v>
      </c>
      <c r="I18" s="24">
        <v>49057</v>
      </c>
      <c r="J18" s="25">
        <v>51182</v>
      </c>
    </row>
    <row r="19" spans="1:15">
      <c r="A19" s="22" t="s">
        <v>27</v>
      </c>
      <c r="B19" s="23">
        <v>0</v>
      </c>
      <c r="C19" s="23">
        <v>0</v>
      </c>
      <c r="D19" s="23">
        <v>41551</v>
      </c>
      <c r="E19" s="24">
        <v>-27592</v>
      </c>
      <c r="F19" s="24">
        <v>-14581</v>
      </c>
      <c r="G19" s="24">
        <v>-2040</v>
      </c>
      <c r="H19" s="24">
        <v>0</v>
      </c>
      <c r="I19" s="24">
        <v>0</v>
      </c>
      <c r="J19" s="25">
        <v>0</v>
      </c>
    </row>
    <row r="20" spans="1:15">
      <c r="A20" s="22" t="s">
        <v>28</v>
      </c>
      <c r="B20" s="23">
        <v>2392</v>
      </c>
      <c r="C20" s="23">
        <v>1001</v>
      </c>
      <c r="D20" s="23">
        <v>1412</v>
      </c>
      <c r="E20" s="24">
        <v>2301</v>
      </c>
      <c r="F20" s="24">
        <v>844</v>
      </c>
      <c r="G20" s="24">
        <v>1764.2489999999998</v>
      </c>
      <c r="H20" s="24">
        <v>2406.2920000000004</v>
      </c>
      <c r="I20" s="24">
        <v>2726.0029999999997</v>
      </c>
      <c r="J20" s="25">
        <v>2842.893</v>
      </c>
    </row>
    <row r="21" spans="1:15" s="27" customFormat="1">
      <c r="A21" s="26" t="s">
        <v>29</v>
      </c>
      <c r="B21" s="11">
        <v>202324</v>
      </c>
      <c r="C21" s="11">
        <v>217516</v>
      </c>
      <c r="D21" s="11">
        <v>269710</v>
      </c>
      <c r="E21" s="11">
        <v>216711</v>
      </c>
      <c r="F21" s="11">
        <v>171145</v>
      </c>
      <c r="G21" s="11">
        <v>265506</v>
      </c>
      <c r="H21" s="11">
        <v>276983</v>
      </c>
      <c r="I21" s="11">
        <v>267293</v>
      </c>
      <c r="J21" s="12">
        <v>273582</v>
      </c>
    </row>
    <row r="22" spans="1:15">
      <c r="A22" s="17" t="s">
        <v>30</v>
      </c>
      <c r="B22" s="31"/>
      <c r="C22" s="31"/>
      <c r="D22" s="31"/>
      <c r="E22" s="32"/>
      <c r="F22" s="32"/>
      <c r="G22" s="32"/>
      <c r="H22" s="32"/>
      <c r="I22" s="32"/>
      <c r="J22" s="33"/>
    </row>
    <row r="23" spans="1:15">
      <c r="A23" s="34" t="s">
        <v>31</v>
      </c>
      <c r="B23" s="23">
        <v>4652</v>
      </c>
      <c r="C23" s="23">
        <v>5392</v>
      </c>
      <c r="D23" s="23">
        <v>3060</v>
      </c>
      <c r="E23" s="24">
        <v>6419</v>
      </c>
      <c r="F23" s="24">
        <v>8414</v>
      </c>
      <c r="G23" s="24">
        <v>8990</v>
      </c>
      <c r="H23" s="24">
        <v>8430</v>
      </c>
      <c r="I23" s="24">
        <v>9059</v>
      </c>
      <c r="J23" s="25">
        <v>9617</v>
      </c>
    </row>
    <row r="24" spans="1:15">
      <c r="A24" s="34" t="s">
        <v>32</v>
      </c>
      <c r="B24" s="23">
        <v>23448</v>
      </c>
      <c r="C24" s="23">
        <v>24340</v>
      </c>
      <c r="D24" s="23">
        <v>26966</v>
      </c>
      <c r="E24" s="24">
        <v>25563</v>
      </c>
      <c r="F24" s="24">
        <v>24841</v>
      </c>
      <c r="G24" s="24">
        <v>27221</v>
      </c>
      <c r="H24" s="24">
        <v>28868</v>
      </c>
      <c r="I24" s="24">
        <v>30238</v>
      </c>
      <c r="J24" s="25">
        <v>31444</v>
      </c>
    </row>
    <row r="25" spans="1:15">
      <c r="A25" s="22" t="s">
        <v>33</v>
      </c>
      <c r="B25" s="23">
        <v>27581</v>
      </c>
      <c r="C25" s="23">
        <v>29961</v>
      </c>
      <c r="D25" s="23">
        <v>30507</v>
      </c>
      <c r="E25" s="24">
        <v>30864</v>
      </c>
      <c r="F25" s="24">
        <v>43682</v>
      </c>
      <c r="G25" s="24">
        <v>48635</v>
      </c>
      <c r="H25" s="24">
        <v>50857</v>
      </c>
      <c r="I25" s="24">
        <v>56628</v>
      </c>
      <c r="J25" s="25">
        <v>62361</v>
      </c>
    </row>
    <row r="26" spans="1:15" ht="12">
      <c r="A26" s="22" t="s">
        <v>34</v>
      </c>
      <c r="B26" s="23">
        <v>-34316</v>
      </c>
      <c r="C26" s="23">
        <v>-41606</v>
      </c>
      <c r="D26" s="23">
        <v>-79579</v>
      </c>
      <c r="E26" s="24">
        <v>-12504</v>
      </c>
      <c r="F26" s="24">
        <v>37583</v>
      </c>
      <c r="G26" s="24">
        <v>-36035</v>
      </c>
      <c r="H26" s="24">
        <v>-40204</v>
      </c>
      <c r="I26" s="24">
        <v>-29953</v>
      </c>
      <c r="J26" s="25">
        <v>-30638</v>
      </c>
    </row>
    <row r="27" spans="1:15" s="27" customFormat="1">
      <c r="A27" s="35" t="s">
        <v>35</v>
      </c>
      <c r="B27" s="36">
        <v>21365</v>
      </c>
      <c r="C27" s="36">
        <v>18087</v>
      </c>
      <c r="D27" s="36">
        <v>-19046</v>
      </c>
      <c r="E27" s="36">
        <v>50342</v>
      </c>
      <c r="F27" s="36">
        <v>114519</v>
      </c>
      <c r="G27" s="36">
        <v>48812</v>
      </c>
      <c r="H27" s="36">
        <v>47950</v>
      </c>
      <c r="I27" s="36">
        <v>65972</v>
      </c>
      <c r="J27" s="37">
        <v>72784</v>
      </c>
    </row>
    <row r="28" spans="1:15" s="27" customFormat="1">
      <c r="A28" s="38" t="s">
        <v>36</v>
      </c>
      <c r="B28" s="39">
        <v>223689</v>
      </c>
      <c r="C28" s="39">
        <v>235602</v>
      </c>
      <c r="D28" s="39">
        <v>250664</v>
      </c>
      <c r="E28" s="39">
        <v>267053</v>
      </c>
      <c r="F28" s="39">
        <v>285664</v>
      </c>
      <c r="G28" s="39">
        <v>314318</v>
      </c>
      <c r="H28" s="39">
        <v>324933</v>
      </c>
      <c r="I28" s="39">
        <v>333265</v>
      </c>
      <c r="J28" s="40">
        <v>346366</v>
      </c>
    </row>
    <row r="29" spans="1:15" s="27" customFormat="1">
      <c r="A29" s="26" t="s">
        <v>37</v>
      </c>
      <c r="B29" s="11">
        <v>507217</v>
      </c>
      <c r="C29" s="11">
        <v>535881</v>
      </c>
      <c r="D29" s="11">
        <v>564342</v>
      </c>
      <c r="E29" s="11">
        <v>600854</v>
      </c>
      <c r="F29" s="11">
        <v>631677</v>
      </c>
      <c r="G29" s="11">
        <v>656700</v>
      </c>
      <c r="H29" s="11">
        <v>669600</v>
      </c>
      <c r="I29" s="11">
        <v>682400</v>
      </c>
      <c r="J29" s="12">
        <v>694600</v>
      </c>
      <c r="L29" s="20"/>
      <c r="M29" s="20"/>
      <c r="N29" s="20"/>
      <c r="O29" s="20"/>
    </row>
    <row r="30" spans="1:15" s="2" customFormat="1">
      <c r="A30" s="41" t="s">
        <v>38</v>
      </c>
      <c r="B30" s="42"/>
      <c r="C30" s="42"/>
      <c r="D30" s="42"/>
      <c r="E30" s="43"/>
      <c r="F30" s="43"/>
      <c r="G30" s="43"/>
      <c r="H30" s="43"/>
      <c r="I30" s="43"/>
      <c r="J30" s="44"/>
    </row>
    <row r="31" spans="1:15">
      <c r="A31" s="17" t="s">
        <v>39</v>
      </c>
      <c r="B31" s="18"/>
      <c r="C31" s="18"/>
      <c r="D31" s="18"/>
      <c r="E31" s="28"/>
      <c r="F31" s="28"/>
      <c r="G31" s="28"/>
      <c r="H31" s="28"/>
      <c r="I31" s="28"/>
      <c r="J31" s="29"/>
    </row>
    <row r="32" spans="1:15" s="27" customFormat="1">
      <c r="A32" s="26" t="s">
        <v>40</v>
      </c>
      <c r="B32" s="11">
        <v>39482</v>
      </c>
      <c r="C32" s="11">
        <v>44806</v>
      </c>
      <c r="D32" s="11">
        <v>48510</v>
      </c>
      <c r="E32" s="11">
        <v>56963</v>
      </c>
      <c r="F32" s="11">
        <v>50005</v>
      </c>
      <c r="G32" s="11">
        <v>44500</v>
      </c>
      <c r="H32" s="11">
        <v>42600</v>
      </c>
      <c r="I32" s="11">
        <v>39200</v>
      </c>
      <c r="J32" s="12">
        <v>40300</v>
      </c>
      <c r="L32" s="20"/>
      <c r="M32" s="20"/>
      <c r="N32" s="20"/>
      <c r="O32" s="20"/>
    </row>
    <row r="33" spans="1:15">
      <c r="A33" s="17" t="s">
        <v>41</v>
      </c>
      <c r="B33" s="23"/>
      <c r="C33" s="23"/>
      <c r="D33" s="23"/>
      <c r="E33" s="24"/>
      <c r="F33" s="24"/>
      <c r="G33" s="24"/>
      <c r="H33" s="24"/>
      <c r="I33" s="24"/>
      <c r="J33" s="25"/>
    </row>
    <row r="34" spans="1:15">
      <c r="A34" s="22" t="s">
        <v>23</v>
      </c>
      <c r="B34" s="23">
        <v>880</v>
      </c>
      <c r="C34" s="23">
        <v>713</v>
      </c>
      <c r="D34" s="23">
        <v>536</v>
      </c>
      <c r="E34" s="24">
        <v>752</v>
      </c>
      <c r="F34" s="24">
        <v>721</v>
      </c>
      <c r="G34" s="24">
        <v>539</v>
      </c>
      <c r="H34" s="24">
        <v>501</v>
      </c>
      <c r="I34" s="24">
        <v>539</v>
      </c>
      <c r="J34" s="25">
        <v>539</v>
      </c>
    </row>
    <row r="35" spans="1:15">
      <c r="A35" s="22" t="s">
        <v>24</v>
      </c>
      <c r="B35" s="23">
        <v>103</v>
      </c>
      <c r="C35" s="23">
        <v>85</v>
      </c>
      <c r="D35" s="23">
        <v>81</v>
      </c>
      <c r="E35" s="24">
        <v>123</v>
      </c>
      <c r="F35" s="24">
        <v>114</v>
      </c>
      <c r="G35" s="24">
        <v>168</v>
      </c>
      <c r="H35" s="24">
        <v>31</v>
      </c>
      <c r="I35" s="24">
        <v>295</v>
      </c>
      <c r="J35" s="25">
        <v>250</v>
      </c>
    </row>
    <row r="36" spans="1:15">
      <c r="A36" s="22" t="s">
        <v>25</v>
      </c>
      <c r="B36" s="23">
        <v>3207</v>
      </c>
      <c r="C36" s="23">
        <v>4481</v>
      </c>
      <c r="D36" s="23">
        <v>4475</v>
      </c>
      <c r="E36" s="24">
        <v>4601</v>
      </c>
      <c r="F36" s="24">
        <v>4959</v>
      </c>
      <c r="G36" s="24">
        <v>6366</v>
      </c>
      <c r="H36" s="24">
        <v>7088</v>
      </c>
      <c r="I36" s="24">
        <v>8674</v>
      </c>
      <c r="J36" s="25">
        <v>10450</v>
      </c>
    </row>
    <row r="37" spans="1:15">
      <c r="A37" s="22" t="s">
        <v>27</v>
      </c>
      <c r="B37" s="23">
        <v>0</v>
      </c>
      <c r="C37" s="23">
        <v>0</v>
      </c>
      <c r="D37" s="23">
        <v>85525</v>
      </c>
      <c r="E37" s="24">
        <v>38281</v>
      </c>
      <c r="F37" s="24">
        <v>-3015</v>
      </c>
      <c r="G37" s="24">
        <v>1110.1099999999999</v>
      </c>
      <c r="H37" s="24">
        <v>0</v>
      </c>
      <c r="I37" s="24">
        <v>0</v>
      </c>
      <c r="J37" s="25">
        <v>0</v>
      </c>
    </row>
    <row r="38" spans="1:15">
      <c r="A38" s="45" t="s">
        <v>28</v>
      </c>
      <c r="B38" s="23">
        <v>136</v>
      </c>
      <c r="C38" s="23">
        <v>696</v>
      </c>
      <c r="D38" s="23">
        <v>144</v>
      </c>
      <c r="E38" s="24">
        <v>3938</v>
      </c>
      <c r="F38" s="24">
        <v>1147</v>
      </c>
      <c r="G38" s="24">
        <v>1610.89</v>
      </c>
      <c r="H38" s="24">
        <v>1730</v>
      </c>
      <c r="I38" s="24">
        <v>1855</v>
      </c>
      <c r="J38" s="25">
        <v>2125</v>
      </c>
    </row>
    <row r="39" spans="1:15" s="27" customFormat="1">
      <c r="A39" s="26" t="s">
        <v>42</v>
      </c>
      <c r="B39" s="11">
        <v>4327</v>
      </c>
      <c r="C39" s="11">
        <v>5975</v>
      </c>
      <c r="D39" s="11">
        <v>90761</v>
      </c>
      <c r="E39" s="11">
        <v>47694</v>
      </c>
      <c r="F39" s="11">
        <v>3926</v>
      </c>
      <c r="G39" s="11">
        <v>9794</v>
      </c>
      <c r="H39" s="11">
        <v>9349</v>
      </c>
      <c r="I39" s="11">
        <v>11363</v>
      </c>
      <c r="J39" s="12">
        <v>13364</v>
      </c>
    </row>
    <row r="40" spans="1:15">
      <c r="A40" s="17" t="s">
        <v>43</v>
      </c>
      <c r="B40" s="23"/>
      <c r="C40" s="23"/>
      <c r="D40" s="23"/>
      <c r="E40" s="24"/>
      <c r="F40" s="24"/>
      <c r="G40" s="24"/>
      <c r="H40" s="24"/>
      <c r="I40" s="24"/>
      <c r="J40" s="25"/>
    </row>
    <row r="41" spans="1:15">
      <c r="A41" s="22" t="s">
        <v>32</v>
      </c>
      <c r="B41" s="23">
        <v>3113</v>
      </c>
      <c r="C41" s="23">
        <v>4129</v>
      </c>
      <c r="D41" s="23">
        <v>7324</v>
      </c>
      <c r="E41" s="24">
        <v>6361</v>
      </c>
      <c r="F41" s="24">
        <v>6692</v>
      </c>
      <c r="G41" s="24">
        <v>13201</v>
      </c>
      <c r="H41" s="24">
        <v>5305</v>
      </c>
      <c r="I41" s="24">
        <v>4942</v>
      </c>
      <c r="J41" s="25">
        <v>4488</v>
      </c>
    </row>
    <row r="42" spans="1:15" ht="22.5">
      <c r="A42" s="34" t="s">
        <v>44</v>
      </c>
      <c r="B42" s="23">
        <v>4728</v>
      </c>
      <c r="C42" s="23">
        <v>5505</v>
      </c>
      <c r="D42" s="23">
        <v>7189</v>
      </c>
      <c r="E42" s="24">
        <v>7735</v>
      </c>
      <c r="F42" s="24">
        <v>8541</v>
      </c>
      <c r="G42" s="24">
        <v>8266</v>
      </c>
      <c r="H42" s="24">
        <v>8304</v>
      </c>
      <c r="I42" s="24">
        <v>8326</v>
      </c>
      <c r="J42" s="25">
        <v>8646</v>
      </c>
    </row>
    <row r="43" spans="1:15" ht="12">
      <c r="A43" s="22" t="s">
        <v>34</v>
      </c>
      <c r="B43" s="23">
        <v>-8821</v>
      </c>
      <c r="C43" s="23">
        <v>-13728</v>
      </c>
      <c r="D43" s="23">
        <v>-88526</v>
      </c>
      <c r="E43" s="24">
        <v>-50171</v>
      </c>
      <c r="F43" s="24">
        <v>-9174</v>
      </c>
      <c r="G43" s="20">
        <v>-22019</v>
      </c>
      <c r="H43" s="24">
        <v>-14923</v>
      </c>
      <c r="I43" s="24">
        <v>-16105</v>
      </c>
      <c r="J43" s="25">
        <v>-17658</v>
      </c>
    </row>
    <row r="44" spans="1:15" s="27" customFormat="1">
      <c r="A44" s="35" t="s">
        <v>45</v>
      </c>
      <c r="B44" s="36">
        <v>-980</v>
      </c>
      <c r="C44" s="36">
        <v>-4094</v>
      </c>
      <c r="D44" s="36">
        <v>-74014</v>
      </c>
      <c r="E44" s="36">
        <v>-36075</v>
      </c>
      <c r="F44" s="36">
        <v>6059</v>
      </c>
      <c r="G44" s="36">
        <v>-552</v>
      </c>
      <c r="H44" s="36">
        <v>-1314</v>
      </c>
      <c r="I44" s="36">
        <v>-2837</v>
      </c>
      <c r="J44" s="37">
        <v>-4525</v>
      </c>
    </row>
    <row r="45" spans="1:15" s="27" customFormat="1">
      <c r="A45" s="35" t="s">
        <v>46</v>
      </c>
      <c r="B45" s="36">
        <v>3346</v>
      </c>
      <c r="C45" s="36">
        <v>1882</v>
      </c>
      <c r="D45" s="36">
        <v>16747</v>
      </c>
      <c r="E45" s="36">
        <v>11619</v>
      </c>
      <c r="F45" s="36">
        <v>9984</v>
      </c>
      <c r="G45" s="36">
        <v>9242</v>
      </c>
      <c r="H45" s="36">
        <v>8035</v>
      </c>
      <c r="I45" s="36">
        <v>8527</v>
      </c>
      <c r="J45" s="37">
        <v>8839</v>
      </c>
    </row>
    <row r="46" spans="1:15" s="27" customFormat="1" ht="12">
      <c r="A46" s="26" t="s">
        <v>47</v>
      </c>
      <c r="B46" s="11">
        <v>42828</v>
      </c>
      <c r="C46" s="11">
        <v>46688</v>
      </c>
      <c r="D46" s="11">
        <v>65257</v>
      </c>
      <c r="E46" s="11">
        <v>68582</v>
      </c>
      <c r="F46" s="11">
        <v>59989</v>
      </c>
      <c r="G46" s="11">
        <v>53700</v>
      </c>
      <c r="H46" s="11">
        <v>50700</v>
      </c>
      <c r="I46" s="11">
        <v>47700</v>
      </c>
      <c r="J46" s="12">
        <v>49100</v>
      </c>
      <c r="L46" s="20"/>
      <c r="M46" s="20"/>
      <c r="N46" s="20"/>
      <c r="O46" s="20"/>
    </row>
    <row r="47" spans="1:15" ht="12">
      <c r="A47" s="46" t="s">
        <v>48</v>
      </c>
      <c r="B47" s="23">
        <v>16976</v>
      </c>
      <c r="C47" s="23">
        <v>17744</v>
      </c>
      <c r="D47" s="23">
        <v>18675</v>
      </c>
      <c r="E47" s="24">
        <v>19326</v>
      </c>
      <c r="F47" s="24">
        <v>20273</v>
      </c>
      <c r="G47" s="24">
        <v>21871</v>
      </c>
      <c r="H47" s="24">
        <v>22900</v>
      </c>
      <c r="I47" s="24">
        <v>23901</v>
      </c>
      <c r="J47" s="25">
        <v>24887</v>
      </c>
    </row>
    <row r="48" spans="1:15" s="27" customFormat="1" ht="12">
      <c r="A48" s="35" t="s">
        <v>49</v>
      </c>
      <c r="B48" s="36">
        <v>25852</v>
      </c>
      <c r="C48" s="36">
        <v>28944</v>
      </c>
      <c r="D48" s="36">
        <v>46582</v>
      </c>
      <c r="E48" s="36">
        <v>49256</v>
      </c>
      <c r="F48" s="36">
        <v>39716</v>
      </c>
      <c r="G48" s="36">
        <v>31800</v>
      </c>
      <c r="H48" s="36">
        <v>27800</v>
      </c>
      <c r="I48" s="36">
        <v>23800</v>
      </c>
      <c r="J48" s="37">
        <v>24200</v>
      </c>
      <c r="L48" s="20"/>
      <c r="M48" s="20"/>
      <c r="N48" s="20"/>
      <c r="O48" s="20"/>
    </row>
    <row r="49" spans="1:15" s="27" customFormat="1" ht="12">
      <c r="A49" s="47" t="s">
        <v>50</v>
      </c>
      <c r="B49" s="11">
        <v>550045</v>
      </c>
      <c r="C49" s="11">
        <v>582569</v>
      </c>
      <c r="D49" s="11">
        <v>629599</v>
      </c>
      <c r="E49" s="11">
        <v>669436</v>
      </c>
      <c r="F49" s="11">
        <v>691666</v>
      </c>
      <c r="G49" s="11">
        <v>710400</v>
      </c>
      <c r="H49" s="11">
        <v>720200</v>
      </c>
      <c r="I49" s="11">
        <v>730100</v>
      </c>
      <c r="J49" s="12">
        <v>743600</v>
      </c>
      <c r="L49" s="20"/>
      <c r="M49" s="20"/>
      <c r="N49" s="20"/>
      <c r="O49" s="20"/>
    </row>
    <row r="50" spans="1:15">
      <c r="A50" s="46" t="s">
        <v>51</v>
      </c>
      <c r="B50" s="23"/>
      <c r="C50" s="23"/>
      <c r="D50" s="23"/>
      <c r="E50" s="24"/>
      <c r="F50" s="24"/>
      <c r="G50" s="24"/>
      <c r="H50" s="24"/>
      <c r="I50" s="24"/>
      <c r="J50" s="25"/>
    </row>
    <row r="51" spans="1:15" ht="12">
      <c r="A51" s="22" t="s">
        <v>52</v>
      </c>
      <c r="B51" s="23">
        <v>311885</v>
      </c>
      <c r="C51" s="23">
        <v>332999</v>
      </c>
      <c r="D51" s="23">
        <v>349264</v>
      </c>
      <c r="E51" s="24">
        <v>376300</v>
      </c>
      <c r="F51" s="24">
        <v>375170</v>
      </c>
      <c r="G51" s="24">
        <v>370700</v>
      </c>
      <c r="H51" s="24">
        <v>369700</v>
      </c>
      <c r="I51" s="24">
        <v>370200</v>
      </c>
      <c r="J51" s="25">
        <v>369200</v>
      </c>
    </row>
    <row r="52" spans="1:15">
      <c r="A52" s="22" t="s">
        <v>53</v>
      </c>
      <c r="B52" s="23">
        <v>206650</v>
      </c>
      <c r="C52" s="23">
        <v>223491</v>
      </c>
      <c r="D52" s="23">
        <v>360471</v>
      </c>
      <c r="E52" s="24">
        <v>264405</v>
      </c>
      <c r="F52" s="24">
        <v>175070</v>
      </c>
      <c r="G52" s="24">
        <v>275300</v>
      </c>
      <c r="H52" s="24">
        <v>286332</v>
      </c>
      <c r="I52" s="24">
        <v>278656</v>
      </c>
      <c r="J52" s="25">
        <v>286946</v>
      </c>
    </row>
    <row r="53" spans="1:15" ht="12" thickBot="1">
      <c r="A53" s="48" t="s">
        <v>54</v>
      </c>
      <c r="B53" s="49">
        <v>31510</v>
      </c>
      <c r="C53" s="49">
        <v>26079</v>
      </c>
      <c r="D53" s="49">
        <v>-80136</v>
      </c>
      <c r="E53" s="50">
        <v>28730</v>
      </c>
      <c r="F53" s="50">
        <v>141426</v>
      </c>
      <c r="G53" s="50">
        <v>64335</v>
      </c>
      <c r="H53" s="50">
        <v>64173</v>
      </c>
      <c r="I53" s="50">
        <v>81199</v>
      </c>
      <c r="J53" s="51">
        <v>87506</v>
      </c>
    </row>
    <row r="54" spans="1:15">
      <c r="A54" s="52" t="s">
        <v>55</v>
      </c>
      <c r="B54" s="52"/>
      <c r="C54" s="52"/>
      <c r="D54" s="52"/>
      <c r="E54" s="52"/>
    </row>
    <row r="55" spans="1:15" ht="11.25" customHeight="1">
      <c r="A55" s="256" t="s">
        <v>56</v>
      </c>
      <c r="B55" s="256"/>
      <c r="C55" s="256"/>
      <c r="D55" s="256"/>
      <c r="E55" s="256"/>
      <c r="F55" s="256"/>
      <c r="G55" s="256"/>
      <c r="H55" s="256"/>
      <c r="I55" s="256"/>
      <c r="J55" s="256"/>
    </row>
    <row r="56" spans="1:15">
      <c r="A56" s="256"/>
      <c r="B56" s="256"/>
      <c r="C56" s="256"/>
      <c r="D56" s="256"/>
      <c r="E56" s="256"/>
      <c r="F56" s="256"/>
      <c r="G56" s="256"/>
      <c r="H56" s="256"/>
      <c r="I56" s="256"/>
      <c r="J56" s="256"/>
    </row>
    <row r="57" spans="1:15" ht="11.25" customHeight="1">
      <c r="A57" s="257" t="s">
        <v>296</v>
      </c>
      <c r="B57" s="257"/>
      <c r="C57" s="257"/>
      <c r="D57" s="257"/>
      <c r="E57" s="257"/>
      <c r="F57" s="257"/>
      <c r="G57" s="257"/>
      <c r="H57" s="257"/>
      <c r="I57" s="257"/>
      <c r="J57" s="257"/>
    </row>
    <row r="58" spans="1:15" ht="23.25" customHeight="1">
      <c r="A58" s="257"/>
      <c r="B58" s="257"/>
      <c r="C58" s="257"/>
      <c r="D58" s="257"/>
      <c r="E58" s="257"/>
      <c r="F58" s="257"/>
      <c r="G58" s="257"/>
      <c r="H58" s="257"/>
      <c r="I58" s="257"/>
      <c r="J58" s="257"/>
    </row>
    <row r="59" spans="1:15">
      <c r="A59" s="53" t="s">
        <v>57</v>
      </c>
      <c r="B59" s="53"/>
      <c r="C59" s="53"/>
      <c r="D59" s="53"/>
      <c r="E59" s="53"/>
    </row>
    <row r="60" spans="1:15">
      <c r="A60" s="53" t="s">
        <v>58</v>
      </c>
      <c r="B60" s="53"/>
      <c r="C60" s="53"/>
      <c r="D60" s="53"/>
      <c r="E60" s="53"/>
    </row>
    <row r="61" spans="1:15" ht="11.25" customHeight="1">
      <c r="A61" s="54" t="s">
        <v>59</v>
      </c>
      <c r="B61" s="54"/>
      <c r="C61" s="54"/>
      <c r="D61" s="54"/>
      <c r="E61" s="54"/>
    </row>
  </sheetData>
  <mergeCells count="3">
    <mergeCell ref="B3:F3"/>
    <mergeCell ref="A55:J56"/>
    <mergeCell ref="A57:J58"/>
  </mergeCells>
  <pageMargins left="0.98425196850393704" right="0.98425196850393704" top="0.98425196850393704" bottom="0.98425196850393704" header="0.51181102362204722" footer="0.51181102362204722"/>
  <pageSetup paperSize="9" fitToHeight="2"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autoPageBreaks="0"/>
  </sheetPr>
  <dimension ref="A1:IA38"/>
  <sheetViews>
    <sheetView showGridLines="0" zoomScaleNormal="100" zoomScaleSheetLayoutView="100" workbookViewId="0">
      <selection activeCell="L36" sqref="L36"/>
    </sheetView>
  </sheetViews>
  <sheetFormatPr defaultColWidth="10.1640625" defaultRowHeight="11.25"/>
  <cols>
    <col min="1" max="1" width="36" style="175" customWidth="1"/>
    <col min="2" max="5" width="14.1640625" style="175" customWidth="1"/>
    <col min="6" max="6" width="10.1640625" style="174"/>
    <col min="7" max="8" width="10.1640625" style="176"/>
    <col min="9" max="16384" width="10.1640625" style="174"/>
  </cols>
  <sheetData>
    <row r="1" spans="1:235" s="167" customFormat="1" ht="16.5">
      <c r="A1" s="87" t="s">
        <v>138</v>
      </c>
      <c r="B1" s="87"/>
      <c r="C1" s="87"/>
      <c r="D1" s="87"/>
      <c r="E1" s="87"/>
      <c r="G1" s="168"/>
      <c r="H1" s="168"/>
    </row>
    <row r="2" spans="1:235" s="2" customFormat="1" ht="12" thickBot="1">
      <c r="A2" s="3"/>
      <c r="B2" s="3"/>
      <c r="C2" s="3"/>
      <c r="D2" s="3"/>
      <c r="E2" s="3"/>
      <c r="F2" s="3"/>
      <c r="G2" s="3"/>
      <c r="H2" s="3"/>
      <c r="I2" s="3"/>
      <c r="J2" s="4" t="s">
        <v>1</v>
      </c>
    </row>
    <row r="3" spans="1:235"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35"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row>
    <row r="5" spans="1:235"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row>
    <row r="6" spans="1:235" s="171" customFormat="1">
      <c r="A6" s="94" t="s">
        <v>135</v>
      </c>
      <c r="B6" s="169"/>
      <c r="C6" s="169"/>
      <c r="D6" s="169"/>
      <c r="E6" s="169"/>
      <c r="F6" s="169"/>
      <c r="G6" s="169"/>
      <c r="H6" s="169"/>
      <c r="I6" s="169"/>
      <c r="J6" s="170"/>
    </row>
    <row r="7" spans="1:235" s="172" customFormat="1">
      <c r="A7" s="141" t="s">
        <v>103</v>
      </c>
      <c r="B7" s="142">
        <f>46148/(([2]GDP!$D$72)/100)</f>
        <v>51048.113045071841</v>
      </c>
      <c r="C7" s="142">
        <f>50129/(([2]GDP!$E$72)/100)</f>
        <v>53907.185164538067</v>
      </c>
      <c r="D7" s="142">
        <f>52344/(([2]GDP!$F$72)/100)</f>
        <v>54773.661753475477</v>
      </c>
      <c r="E7" s="142">
        <f>57018/(([2]GDP!$G$72)/100)</f>
        <v>58708.848914423659</v>
      </c>
      <c r="F7" s="142">
        <f>58552/(([2]GDP!$H$72)/100)</f>
        <v>58552</v>
      </c>
      <c r="G7" s="142">
        <f>56522/(([2]GDP!$I$72)/100)</f>
        <v>54908.464774986154</v>
      </c>
      <c r="H7" s="142">
        <f>56751/(([2]GDP!$J$72)/100)</f>
        <v>53791.303179609429</v>
      </c>
      <c r="I7" s="142">
        <f>56339/(([2]GDP!$K$72)/100)</f>
        <v>52001.1857452517</v>
      </c>
      <c r="J7" s="143">
        <f>57386/(([2]GDP!$L$72)/100)</f>
        <v>51588.342897109309</v>
      </c>
      <c r="R7" s="55">
        <f>([2]GDP!$D$72)/100</f>
        <v>0.90400990844175977</v>
      </c>
      <c r="S7" s="55">
        <f>([2]GDP!$E$72)/100</f>
        <v>0.92991314324786001</v>
      </c>
      <c r="T7" s="55">
        <f>([2]GDP!$F$72)/100</f>
        <v>0.95564178702510594</v>
      </c>
      <c r="U7" s="55">
        <f>([2]GDP!$G$72)/100</f>
        <v>0.97119941975206658</v>
      </c>
      <c r="V7" s="55">
        <f>([2]GDP!$H$72)/100</f>
        <v>1</v>
      </c>
      <c r="W7" s="55">
        <f>([2]GDP!$I$72)/100</f>
        <v>1.0293859103805958</v>
      </c>
      <c r="X7" s="55">
        <f>([2]GDP!$J$72)/100</f>
        <v>1.0550218463848724</v>
      </c>
      <c r="Y7" s="55">
        <f>([2]GDP!$K$72)/100</f>
        <v>1.0834176027446527</v>
      </c>
      <c r="Z7" s="55">
        <f>([2]GDP!$L$72)/100</f>
        <v>1.1123830845750147</v>
      </c>
    </row>
    <row r="8" spans="1:235" s="172" customFormat="1" ht="12">
      <c r="A8" s="63" t="s">
        <v>111</v>
      </c>
      <c r="B8" s="142">
        <f>78881/(([2]GDP!$D$72)/100)</f>
        <v>87256.786970363013</v>
      </c>
      <c r="C8" s="142">
        <f>85791/(([2]GDP!$E$72)/100)</f>
        <v>92257.003380296534</v>
      </c>
      <c r="D8" s="142">
        <f>92384/(([2]GDP!$F$72)/100)</f>
        <v>96672.20631654207</v>
      </c>
      <c r="E8" s="142">
        <f>99792/(([2]GDP!$G$72)/100)</f>
        <v>102751.29697408127</v>
      </c>
      <c r="F8" s="142">
        <f>101985/(([2]GDP!$H$72)/100)</f>
        <v>101985</v>
      </c>
      <c r="G8" s="142">
        <f>106054/(([2]GDP!$I$72)/100)</f>
        <v>103026.47328909773</v>
      </c>
      <c r="H8" s="142">
        <f>108521/(([2]GDP!$J$72)/100)</f>
        <v>102861.3771097319</v>
      </c>
      <c r="I8" s="142">
        <f>111470/(([2]GDP!$K$72)/100)</f>
        <v>102887.38129933451</v>
      </c>
      <c r="J8" s="143">
        <f>114533/(([2]GDP!$L$72)/100)</f>
        <v>102961.83175399262</v>
      </c>
      <c r="R8" s="55">
        <f>([2]GDP!$D$72)/100</f>
        <v>0.90400990844175977</v>
      </c>
      <c r="S8" s="55">
        <f>([2]GDP!$E$72)/100</f>
        <v>0.92991314324786001</v>
      </c>
      <c r="T8" s="55">
        <f>([2]GDP!$F$72)/100</f>
        <v>0.95564178702510594</v>
      </c>
      <c r="U8" s="55">
        <f>([2]GDP!$G$72)/100</f>
        <v>0.97119941975206658</v>
      </c>
      <c r="V8" s="55">
        <f>([2]GDP!$H$72)/100</f>
        <v>1</v>
      </c>
      <c r="W8" s="55">
        <f>([2]GDP!$I$72)/100</f>
        <v>1.0293859103805958</v>
      </c>
      <c r="X8" s="55">
        <f>([2]GDP!$J$72)/100</f>
        <v>1.0550218463848724</v>
      </c>
      <c r="Y8" s="55">
        <f>([2]GDP!$K$72)/100</f>
        <v>1.0834176027446527</v>
      </c>
      <c r="Z8" s="55">
        <f>([2]GDP!$L$72)/100</f>
        <v>1.1123830845750147</v>
      </c>
    </row>
    <row r="9" spans="1:235" s="172" customFormat="1" ht="12">
      <c r="A9" s="63" t="s">
        <v>112</v>
      </c>
      <c r="B9" s="142">
        <f>1744/(([2]GDP!$D$72)/100)</f>
        <v>1929.1823946997768</v>
      </c>
      <c r="C9" s="142">
        <f>1782/(([2]GDP!$E$72)/100)</f>
        <v>1916.308004612237</v>
      </c>
      <c r="D9" s="142">
        <f>1295/(([2]GDP!$F$72)/100)</f>
        <v>1355.1102699593218</v>
      </c>
      <c r="E9" s="142">
        <f>1395/(([2]GDP!$G$72)/100)</f>
        <v>1436.3682387249817</v>
      </c>
      <c r="F9" s="142">
        <f>1522/(([2]GDP!$H$72)/100)</f>
        <v>1522</v>
      </c>
      <c r="G9" s="142">
        <f>0/(([2]GDP!$I$72)/100)</f>
        <v>0</v>
      </c>
      <c r="H9" s="142">
        <f>0/(([2]GDP!$J$72)/100)</f>
        <v>0</v>
      </c>
      <c r="I9" s="142">
        <f>0/(([2]GDP!$K$72)/100)</f>
        <v>0</v>
      </c>
      <c r="J9" s="143">
        <f>0/(([2]GDP!$L$72)/100)</f>
        <v>0</v>
      </c>
      <c r="R9" s="55">
        <f>([2]GDP!$D$72)/100</f>
        <v>0.90400990844175977</v>
      </c>
      <c r="S9" s="55">
        <f>([2]GDP!$E$72)/100</f>
        <v>0.92991314324786001</v>
      </c>
      <c r="T9" s="55">
        <f>([2]GDP!$F$72)/100</f>
        <v>0.95564178702510594</v>
      </c>
      <c r="U9" s="55">
        <f>([2]GDP!$G$72)/100</f>
        <v>0.97119941975206658</v>
      </c>
      <c r="V9" s="55">
        <f>([2]GDP!$H$72)/100</f>
        <v>1</v>
      </c>
      <c r="W9" s="55">
        <f>([2]GDP!$I$72)/100</f>
        <v>1.0293859103805958</v>
      </c>
      <c r="X9" s="55">
        <f>([2]GDP!$J$72)/100</f>
        <v>1.0550218463848724</v>
      </c>
      <c r="Y9" s="55">
        <f>([2]GDP!$K$72)/100</f>
        <v>1.0834176027446527</v>
      </c>
      <c r="Z9" s="55">
        <f>([2]GDP!$L$72)/100</f>
        <v>1.1123830845750147</v>
      </c>
    </row>
    <row r="10" spans="1:235" s="172" customFormat="1">
      <c r="A10" s="141" t="s">
        <v>80</v>
      </c>
      <c r="B10" s="142">
        <f>13103/(([2]GDP!$D$72)/100)</f>
        <v>14494.310159260995</v>
      </c>
      <c r="C10" s="142">
        <f>12839/(([2]GDP!$E$72)/100)</f>
        <v>13806.665808763475</v>
      </c>
      <c r="D10" s="142">
        <f>12657/(([2]GDP!$F$72)/100)</f>
        <v>13244.502460907441</v>
      </c>
      <c r="E10" s="142">
        <f>13962/(([2]GDP!$G$72)/100)</f>
        <v>14376.038243066805</v>
      </c>
      <c r="F10" s="142">
        <f>12556/(([2]GDP!$H$72)/100)</f>
        <v>12556</v>
      </c>
      <c r="G10" s="142">
        <f>13026/(([2]GDP!$I$72)/100)</f>
        <v>12654.146388290748</v>
      </c>
      <c r="H10" s="142">
        <f>13110/(([2]GDP!$J$72)/100)</f>
        <v>12426.282967431052</v>
      </c>
      <c r="I10" s="142">
        <f>12446/(([2]GDP!$K$72)/100)</f>
        <v>11487.721787490062</v>
      </c>
      <c r="J10" s="143">
        <f>11948/(([2]GDP!$L$72)/100)</f>
        <v>10740.904069540689</v>
      </c>
      <c r="R10" s="55">
        <f>([2]GDP!$D$72)/100</f>
        <v>0.90400990844175977</v>
      </c>
      <c r="S10" s="55">
        <f>([2]GDP!$E$72)/100</f>
        <v>0.92991314324786001</v>
      </c>
      <c r="T10" s="55">
        <f>([2]GDP!$F$72)/100</f>
        <v>0.95564178702510594</v>
      </c>
      <c r="U10" s="55">
        <f>([2]GDP!$G$72)/100</f>
        <v>0.97119941975206658</v>
      </c>
      <c r="V10" s="55">
        <f>([2]GDP!$H$72)/100</f>
        <v>1</v>
      </c>
      <c r="W10" s="55">
        <f>([2]GDP!$I$72)/100</f>
        <v>1.0293859103805958</v>
      </c>
      <c r="X10" s="55">
        <f>([2]GDP!$J$72)/100</f>
        <v>1.0550218463848724</v>
      </c>
      <c r="Y10" s="55">
        <f>([2]GDP!$K$72)/100</f>
        <v>1.0834176027446527</v>
      </c>
      <c r="Z10" s="55">
        <f>([2]GDP!$L$72)/100</f>
        <v>1.1123830845750147</v>
      </c>
    </row>
    <row r="11" spans="1:235" s="172" customFormat="1">
      <c r="A11" s="145" t="s">
        <v>81</v>
      </c>
      <c r="B11" s="142">
        <f>8928/(([2]GDP!$D$72)/100)</f>
        <v>9875.9979471786737</v>
      </c>
      <c r="C11" s="142">
        <f>10161/(([2]GDP!$E$72)/100)</f>
        <v>10926.826955591998</v>
      </c>
      <c r="D11" s="142">
        <f>11168/(([2]GDP!$F$72)/100)</f>
        <v>11686.387254753441</v>
      </c>
      <c r="E11" s="142">
        <f>13209/(([2]GDP!$G$72)/100)</f>
        <v>13600.70829055074</v>
      </c>
      <c r="F11" s="142">
        <f>10052/(([2]GDP!$H$72)/100)</f>
        <v>10052</v>
      </c>
      <c r="G11" s="142">
        <f>5476/(([2]GDP!$I$72)/100)</f>
        <v>5319.676464170132</v>
      </c>
      <c r="H11" s="142">
        <f>4077/(([2]GDP!$J$72)/100)</f>
        <v>3864.3749548601372</v>
      </c>
      <c r="I11" s="142">
        <f>3444/(([2]GDP!$K$72)/100)</f>
        <v>3178.8296509815023</v>
      </c>
      <c r="J11" s="143">
        <f>3204/(([2]GDP!$L$72)/100)</f>
        <v>2880.3026982598235</v>
      </c>
      <c r="R11" s="55">
        <f>([2]GDP!$D$72)/100</f>
        <v>0.90400990844175977</v>
      </c>
      <c r="S11" s="55">
        <f>([2]GDP!$E$72)/100</f>
        <v>0.92991314324786001</v>
      </c>
      <c r="T11" s="55">
        <f>([2]GDP!$F$72)/100</f>
        <v>0.95564178702510594</v>
      </c>
      <c r="U11" s="55">
        <f>([2]GDP!$G$72)/100</f>
        <v>0.97119941975206658</v>
      </c>
      <c r="V11" s="55">
        <f>([2]GDP!$H$72)/100</f>
        <v>1</v>
      </c>
      <c r="W11" s="55">
        <f>([2]GDP!$I$72)/100</f>
        <v>1.0293859103805958</v>
      </c>
      <c r="X11" s="55">
        <f>([2]GDP!$J$72)/100</f>
        <v>1.0550218463848724</v>
      </c>
      <c r="Y11" s="55">
        <f>([2]GDP!$K$72)/100</f>
        <v>1.0834176027446527</v>
      </c>
      <c r="Z11" s="55">
        <f>([2]GDP!$L$72)/100</f>
        <v>1.1123830845750147</v>
      </c>
    </row>
    <row r="12" spans="1:235" s="172" customFormat="1">
      <c r="A12" s="141" t="s">
        <v>105</v>
      </c>
      <c r="B12" s="142">
        <f>22763/(([2]GDP!$D$72)/100)</f>
        <v>25180.033744582004</v>
      </c>
      <c r="C12" s="142">
        <f>22782/(([2]GDP!$E$72)/100)</f>
        <v>24499.062267719408</v>
      </c>
      <c r="D12" s="142">
        <f>24772/(([2]GDP!$F$72)/100)</f>
        <v>25921.846801106039</v>
      </c>
      <c r="E12" s="142">
        <f>25776/(([2]GDP!$G$72)/100)</f>
        <v>26540.378294892562</v>
      </c>
      <c r="F12" s="142">
        <f>25889/(([2]GDP!$H$72)/100)</f>
        <v>25889</v>
      </c>
      <c r="G12" s="142">
        <f>26000/(([2]GDP!$I$72)/100)</f>
        <v>25257.777222137222</v>
      </c>
      <c r="H12" s="142">
        <f>23974/(([2]GDP!$J$72)/100)</f>
        <v>22723.700065689707</v>
      </c>
      <c r="I12" s="142">
        <f>24198/(([2]GDP!$K$72)/100)</f>
        <v>22334.878018133099</v>
      </c>
      <c r="J12" s="143">
        <f>22850/(([2]GDP!$L$72)/100)</f>
        <v>20541.484599012783</v>
      </c>
      <c r="R12" s="55">
        <f>([2]GDP!$D$72)/100</f>
        <v>0.90400990844175977</v>
      </c>
      <c r="S12" s="55">
        <f>([2]GDP!$E$72)/100</f>
        <v>0.92991314324786001</v>
      </c>
      <c r="T12" s="55">
        <f>([2]GDP!$F$72)/100</f>
        <v>0.95564178702510594</v>
      </c>
      <c r="U12" s="55">
        <f>([2]GDP!$G$72)/100</f>
        <v>0.97119941975206658</v>
      </c>
      <c r="V12" s="55">
        <f>([2]GDP!$H$72)/100</f>
        <v>1</v>
      </c>
      <c r="W12" s="55">
        <f>([2]GDP!$I$72)/100</f>
        <v>1.0293859103805958</v>
      </c>
      <c r="X12" s="55">
        <f>([2]GDP!$J$72)/100</f>
        <v>1.0550218463848724</v>
      </c>
      <c r="Y12" s="55">
        <f>([2]GDP!$K$72)/100</f>
        <v>1.0834176027446527</v>
      </c>
      <c r="Z12" s="55">
        <f>([2]GDP!$L$72)/100</f>
        <v>1.1123830845750147</v>
      </c>
    </row>
    <row r="13" spans="1:235" s="172" customFormat="1">
      <c r="A13" s="141" t="s">
        <v>82</v>
      </c>
      <c r="B13" s="142">
        <f>16608/(([2]GDP!$D$72)/100)</f>
        <v>18371.480052278606</v>
      </c>
      <c r="C13" s="142">
        <f>17972/(([2]GDP!$E$72)/100)</f>
        <v>19326.536172217242</v>
      </c>
      <c r="D13" s="142">
        <f>18671/(([2]GDP!$F$72)/100)</f>
        <v>19537.655482942468</v>
      </c>
      <c r="E13" s="142">
        <f>20561/(([2]GDP!$G$72)/100)</f>
        <v>21170.72928775939</v>
      </c>
      <c r="F13" s="142">
        <f>19302/(([2]GDP!$H$72)/100)</f>
        <v>19302</v>
      </c>
      <c r="G13" s="142">
        <f>17899/(([2]GDP!$I$72)/100)</f>
        <v>17388.036711501314</v>
      </c>
      <c r="H13" s="142">
        <f>16792/(([2]GDP!$J$72)/100)</f>
        <v>15916.258092227477</v>
      </c>
      <c r="I13" s="142">
        <f>15594/(([2]GDP!$K$72)/100)</f>
        <v>14393.341921430181</v>
      </c>
      <c r="J13" s="143">
        <f>14780/(([2]GDP!$L$72)/100)</f>
        <v>13286.789600586826</v>
      </c>
      <c r="R13" s="55">
        <f>([2]GDP!$D$72)/100</f>
        <v>0.90400990844175977</v>
      </c>
      <c r="S13" s="55">
        <f>([2]GDP!$E$72)/100</f>
        <v>0.92991314324786001</v>
      </c>
      <c r="T13" s="55">
        <f>([2]GDP!$F$72)/100</f>
        <v>0.95564178702510594</v>
      </c>
      <c r="U13" s="55">
        <f>([2]GDP!$G$72)/100</f>
        <v>0.97119941975206658</v>
      </c>
      <c r="V13" s="55">
        <f>([2]GDP!$H$72)/100</f>
        <v>1</v>
      </c>
      <c r="W13" s="55">
        <f>([2]GDP!$I$72)/100</f>
        <v>1.0293859103805958</v>
      </c>
      <c r="X13" s="55">
        <f>([2]GDP!$J$72)/100</f>
        <v>1.0550218463848724</v>
      </c>
      <c r="Y13" s="55">
        <f>([2]GDP!$K$72)/100</f>
        <v>1.0834176027446527</v>
      </c>
      <c r="Z13" s="55">
        <f>([2]GDP!$L$72)/100</f>
        <v>1.1123830845750147</v>
      </c>
    </row>
    <row r="14" spans="1:235" s="172" customFormat="1">
      <c r="A14" s="141" t="s">
        <v>83</v>
      </c>
      <c r="B14" s="142">
        <f>9100/(([2]GDP!$D$72)/100)</f>
        <v>10066.261348490807</v>
      </c>
      <c r="C14" s="142">
        <f>9450/(([2]GDP!$E$72)/100)</f>
        <v>10162.239418398227</v>
      </c>
      <c r="D14" s="142">
        <f>9850/(([2]GDP!$F$72)/100)</f>
        <v>10307.209389265883</v>
      </c>
      <c r="E14" s="142">
        <f>10340/(([2]GDP!$G$72)/100)</f>
        <v>10646.629095638931</v>
      </c>
      <c r="F14" s="142">
        <f>9605/(([2]GDP!$H$72)/100)</f>
        <v>9605</v>
      </c>
      <c r="G14" s="142">
        <f>9491/(([2]GDP!$I$72)/100)</f>
        <v>9220.0601390501688</v>
      </c>
      <c r="H14" s="142">
        <f>9081/(([2]GDP!$J$72)/100)</f>
        <v>8607.4047007811896</v>
      </c>
      <c r="I14" s="142">
        <f>8503/(([2]GDP!$K$72)/100)</f>
        <v>7848.312579063796</v>
      </c>
      <c r="J14" s="143">
        <f>8330/(([2]GDP!$L$72)/100)</f>
        <v>7488.4274271236982</v>
      </c>
      <c r="R14" s="55">
        <f>([2]GDP!$D$72)/100</f>
        <v>0.90400990844175977</v>
      </c>
      <c r="S14" s="55">
        <f>([2]GDP!$E$72)/100</f>
        <v>0.92991314324786001</v>
      </c>
      <c r="T14" s="55">
        <f>([2]GDP!$F$72)/100</f>
        <v>0.95564178702510594</v>
      </c>
      <c r="U14" s="55">
        <f>([2]GDP!$G$72)/100</f>
        <v>0.97119941975206658</v>
      </c>
      <c r="V14" s="55">
        <f>([2]GDP!$H$72)/100</f>
        <v>1</v>
      </c>
      <c r="W14" s="55">
        <f>([2]GDP!$I$72)/100</f>
        <v>1.0293859103805958</v>
      </c>
      <c r="X14" s="55">
        <f>([2]GDP!$J$72)/100</f>
        <v>1.0550218463848724</v>
      </c>
      <c r="Y14" s="55">
        <f>([2]GDP!$K$72)/100</f>
        <v>1.0834176027446527</v>
      </c>
      <c r="Z14" s="55">
        <f>([2]GDP!$L$72)/100</f>
        <v>1.1123830845750147</v>
      </c>
    </row>
    <row r="15" spans="1:235" s="172" customFormat="1">
      <c r="A15" s="141" t="s">
        <v>84</v>
      </c>
      <c r="B15" s="142">
        <f>8428/(([2]GDP!$D$72)/100)</f>
        <v>9322.9066642945636</v>
      </c>
      <c r="C15" s="142">
        <f>9280/(([2]GDP!$E$72)/100)</f>
        <v>9979.4266457921221</v>
      </c>
      <c r="D15" s="142">
        <f>9587/(([2]GDP!$F$72)/100)</f>
        <v>10032.0016664865</v>
      </c>
      <c r="E15" s="142">
        <f>9414/(([2]GDP!$G$72)/100)</f>
        <v>9693.1688884279411</v>
      </c>
      <c r="F15" s="142">
        <f>9166/(([2]GDP!$H$72)/100)</f>
        <v>9166</v>
      </c>
      <c r="G15" s="142">
        <f>8751/(([2]GDP!$I$72)/100)</f>
        <v>8501.18494118934</v>
      </c>
      <c r="H15" s="142">
        <f>8121/(([2]GDP!$J$72)/100)</f>
        <v>7697.4709365757117</v>
      </c>
      <c r="I15" s="142">
        <f>7720/(([2]GDP!$K$72)/100)</f>
        <v>7125.5995660793251</v>
      </c>
      <c r="J15" s="143">
        <f>7424/(([2]GDP!$L$72)/100)</f>
        <v>6673.95981020004</v>
      </c>
      <c r="R15" s="55">
        <f>([2]GDP!$D$72)/100</f>
        <v>0.90400990844175977</v>
      </c>
      <c r="S15" s="55">
        <f>([2]GDP!$E$72)/100</f>
        <v>0.92991314324786001</v>
      </c>
      <c r="T15" s="55">
        <f>([2]GDP!$F$72)/100</f>
        <v>0.95564178702510594</v>
      </c>
      <c r="U15" s="55">
        <f>([2]GDP!$G$72)/100</f>
        <v>0.97119941975206658</v>
      </c>
      <c r="V15" s="55">
        <f>([2]GDP!$H$72)/100</f>
        <v>1</v>
      </c>
      <c r="W15" s="55">
        <f>([2]GDP!$I$72)/100</f>
        <v>1.0293859103805958</v>
      </c>
      <c r="X15" s="55">
        <f>([2]GDP!$J$72)/100</f>
        <v>1.0550218463848724</v>
      </c>
      <c r="Y15" s="55">
        <f>([2]GDP!$K$72)/100</f>
        <v>1.0834176027446527</v>
      </c>
      <c r="Z15" s="55">
        <f>([2]GDP!$L$72)/100</f>
        <v>1.1123830845750147</v>
      </c>
    </row>
    <row r="16" spans="1:235" s="172" customFormat="1">
      <c r="A16" s="141" t="s">
        <v>85</v>
      </c>
      <c r="B16" s="142">
        <f>698/(([2]GDP!$D$72)/100)</f>
        <v>772.11543090621797</v>
      </c>
      <c r="C16" s="142">
        <f>716/(([2]GDP!$E$72)/100)</f>
        <v>769.96438344689216</v>
      </c>
      <c r="D16" s="142">
        <f>720/(([2]GDP!$F$72)/100)</f>
        <v>753.42038175344533</v>
      </c>
      <c r="E16" s="142">
        <f>709/(([2]GDP!$G$72)/100)</f>
        <v>730.02514785377207</v>
      </c>
      <c r="F16" s="142">
        <f>666/(([2]GDP!$H$72)/100)</f>
        <v>666</v>
      </c>
      <c r="G16" s="142">
        <f>650/(([2]GDP!$I$72)/100)</f>
        <v>631.44443055343049</v>
      </c>
      <c r="H16" s="142">
        <f>620/(([2]GDP!$J$72)/100)</f>
        <v>587.66555604937093</v>
      </c>
      <c r="I16" s="142">
        <f>595/(([2]GDP!$K$72)/100)</f>
        <v>549.18804945818636</v>
      </c>
      <c r="J16" s="143">
        <f>559/(([2]GDP!$L$72)/100)</f>
        <v>502.52472170013772</v>
      </c>
      <c r="R16" s="55">
        <f>([2]GDP!$D$72)/100</f>
        <v>0.90400990844175977</v>
      </c>
      <c r="S16" s="55">
        <f>([2]GDP!$E$72)/100</f>
        <v>0.92991314324786001</v>
      </c>
      <c r="T16" s="55">
        <f>([2]GDP!$F$72)/100</f>
        <v>0.95564178702510594</v>
      </c>
      <c r="U16" s="55">
        <f>([2]GDP!$G$72)/100</f>
        <v>0.97119941975206658</v>
      </c>
      <c r="V16" s="55">
        <f>([2]GDP!$H$72)/100</f>
        <v>1</v>
      </c>
      <c r="W16" s="55">
        <f>([2]GDP!$I$72)/100</f>
        <v>1.0293859103805958</v>
      </c>
      <c r="X16" s="55">
        <f>([2]GDP!$J$72)/100</f>
        <v>1.0550218463848724</v>
      </c>
      <c r="Y16" s="55">
        <f>([2]GDP!$K$72)/100</f>
        <v>1.0834176027446527</v>
      </c>
      <c r="Z16" s="55">
        <f>([2]GDP!$L$72)/100</f>
        <v>1.1123830845750147</v>
      </c>
    </row>
    <row r="17" spans="1:26" s="172" customFormat="1">
      <c r="A17" s="141" t="s">
        <v>86</v>
      </c>
      <c r="B17" s="142">
        <f>30713/(([2]GDP!$D$72)/100)</f>
        <v>33974.185142439361</v>
      </c>
      <c r="C17" s="142">
        <f>33221/(([2]GDP!$E$72)/100)</f>
        <v>35724.841874984922</v>
      </c>
      <c r="D17" s="142">
        <f>34383/(([2]GDP!$F$72)/100)</f>
        <v>35978.962480317656</v>
      </c>
      <c r="E17" s="142">
        <f>36806/(([2]GDP!$G$72)/100)</f>
        <v>37897.469100008369</v>
      </c>
      <c r="F17" s="142">
        <f>37402/(([2]GDP!$H$72)/100)</f>
        <v>37402</v>
      </c>
      <c r="G17" s="142">
        <f>37444/(([2]GDP!$I$72)/100)</f>
        <v>36375.085011757925</v>
      </c>
      <c r="H17" s="142">
        <f>34402/(([2]GDP!$J$72)/100)</f>
        <v>32607.855579371706</v>
      </c>
      <c r="I17" s="142">
        <f>34148/(([2]GDP!$K$72)/100)</f>
        <v>31518.779013274197</v>
      </c>
      <c r="J17" s="143">
        <f>33495/(([2]GDP!$L$72)/100)</f>
        <v>30111.029612425962</v>
      </c>
      <c r="R17" s="55">
        <f>([2]GDP!$D$72)/100</f>
        <v>0.90400990844175977</v>
      </c>
      <c r="S17" s="55">
        <f>([2]GDP!$E$72)/100</f>
        <v>0.92991314324786001</v>
      </c>
      <c r="T17" s="55">
        <f>([2]GDP!$F$72)/100</f>
        <v>0.95564178702510594</v>
      </c>
      <c r="U17" s="55">
        <f>([2]GDP!$G$72)/100</f>
        <v>0.97119941975206658</v>
      </c>
      <c r="V17" s="55">
        <f>([2]GDP!$H$72)/100</f>
        <v>1</v>
      </c>
      <c r="W17" s="55">
        <f>([2]GDP!$I$72)/100</f>
        <v>1.0293859103805958</v>
      </c>
      <c r="X17" s="55">
        <f>([2]GDP!$J$72)/100</f>
        <v>1.0550218463848724</v>
      </c>
      <c r="Y17" s="55">
        <f>([2]GDP!$K$72)/100</f>
        <v>1.0834176027446527</v>
      </c>
      <c r="Z17" s="55">
        <f>([2]GDP!$L$72)/100</f>
        <v>1.1123830845750147</v>
      </c>
    </row>
    <row r="18" spans="1:26" s="172" customFormat="1">
      <c r="A18" s="141" t="s">
        <v>87</v>
      </c>
      <c r="B18" s="142">
        <f>1850/(([2]GDP!$D$72)/100)</f>
        <v>2046.4377466712081</v>
      </c>
      <c r="C18" s="142">
        <f>1963/(([2]GDP!$E$72)/100)</f>
        <v>2110.9498389752084</v>
      </c>
      <c r="D18" s="142">
        <f>2173/(([2]GDP!$F$72)/100)</f>
        <v>2273.864568819773</v>
      </c>
      <c r="E18" s="142">
        <f>2223/(([2]GDP!$G$72)/100)</f>
        <v>2288.9222900972286</v>
      </c>
      <c r="F18" s="142">
        <f>2253/(([2]GDP!$H$72)/100)</f>
        <v>2253</v>
      </c>
      <c r="G18" s="142">
        <f>2129/(([2]GDP!$I$72)/100)</f>
        <v>2068.2233733050057</v>
      </c>
      <c r="H18" s="142">
        <f>1565/(([2]GDP!$J$72)/100)</f>
        <v>1483.3816051891379</v>
      </c>
      <c r="I18" s="142">
        <f>1531/(([2]GDP!$K$72)/100)</f>
        <v>1413.1208465890475</v>
      </c>
      <c r="J18" s="143">
        <f>1265/(([2]GDP!$L$72)/100)</f>
        <v>1137.1981627024584</v>
      </c>
      <c r="R18" s="55">
        <f>([2]GDP!$D$72)/100</f>
        <v>0.90400990844175977</v>
      </c>
      <c r="S18" s="55">
        <f>([2]GDP!$E$72)/100</f>
        <v>0.92991314324786001</v>
      </c>
      <c r="T18" s="55">
        <f>([2]GDP!$F$72)/100</f>
        <v>0.95564178702510594</v>
      </c>
      <c r="U18" s="55">
        <f>([2]GDP!$G$72)/100</f>
        <v>0.97119941975206658</v>
      </c>
      <c r="V18" s="55">
        <f>([2]GDP!$H$72)/100</f>
        <v>1</v>
      </c>
      <c r="W18" s="55">
        <f>([2]GDP!$I$72)/100</f>
        <v>1.0293859103805958</v>
      </c>
      <c r="X18" s="55">
        <f>([2]GDP!$J$72)/100</f>
        <v>1.0550218463848724</v>
      </c>
      <c r="Y18" s="55">
        <f>([2]GDP!$K$72)/100</f>
        <v>1.0834176027446527</v>
      </c>
      <c r="Z18" s="55">
        <f>([2]GDP!$L$72)/100</f>
        <v>1.1123830845750147</v>
      </c>
    </row>
    <row r="19" spans="1:26" s="172" customFormat="1">
      <c r="A19" s="141" t="s">
        <v>88</v>
      </c>
      <c r="B19" s="142">
        <f>4863/(([2]GDP!$D$72)/100)</f>
        <v>5379.3658173308568</v>
      </c>
      <c r="C19" s="142">
        <f>5186/(([2]GDP!$E$72)/100)</f>
        <v>5576.864933736847</v>
      </c>
      <c r="D19" s="142">
        <f>5617/(([2]GDP!$F$72)/100)</f>
        <v>5877.7253948737534</v>
      </c>
      <c r="E19" s="142">
        <f>6587/(([2]GDP!$G$72)/100)</f>
        <v>6782.3351888755942</v>
      </c>
      <c r="F19" s="142">
        <f>7473/(([2]GDP!$H$72)/100)</f>
        <v>7473</v>
      </c>
      <c r="G19" s="142">
        <f>7859/(([2]GDP!$I$72)/100)</f>
        <v>7634.648891876016</v>
      </c>
      <c r="H19" s="142">
        <f>8830/(([2]GDP!$J$72)/100)</f>
        <v>8369.4949353482989</v>
      </c>
      <c r="I19" s="142">
        <f>11318/(([2]GDP!$K$72)/100)</f>
        <v>10446.572006332357</v>
      </c>
      <c r="J19" s="143">
        <f>11456/(([2]GDP!$L$72)/100)</f>
        <v>10298.6103967742</v>
      </c>
      <c r="R19" s="55">
        <f>([2]GDP!$D$72)/100</f>
        <v>0.90400990844175977</v>
      </c>
      <c r="S19" s="55">
        <f>([2]GDP!$E$72)/100</f>
        <v>0.92991314324786001</v>
      </c>
      <c r="T19" s="55">
        <f>([2]GDP!$F$72)/100</f>
        <v>0.95564178702510594</v>
      </c>
      <c r="U19" s="55">
        <f>([2]GDP!$G$72)/100</f>
        <v>0.97119941975206658</v>
      </c>
      <c r="V19" s="55">
        <f>([2]GDP!$H$72)/100</f>
        <v>1</v>
      </c>
      <c r="W19" s="55">
        <f>([2]GDP!$I$72)/100</f>
        <v>1.0293859103805958</v>
      </c>
      <c r="X19" s="55">
        <f>([2]GDP!$J$72)/100</f>
        <v>1.0550218463848724</v>
      </c>
      <c r="Y19" s="55">
        <f>([2]GDP!$K$72)/100</f>
        <v>1.0834176027446527</v>
      </c>
      <c r="Z19" s="55">
        <f>([2]GDP!$L$72)/100</f>
        <v>1.1123830845750147</v>
      </c>
    </row>
    <row r="20" spans="1:26" s="172" customFormat="1">
      <c r="A20" s="145" t="s">
        <v>89</v>
      </c>
      <c r="B20" s="142">
        <f>2374/(([2]GDP!$D$72)/100)</f>
        <v>2626.0774111337555</v>
      </c>
      <c r="C20" s="142">
        <f>2158/(([2]GDP!$E$72)/100)</f>
        <v>2320.6468428469179</v>
      </c>
      <c r="D20" s="142">
        <f>1955/(([2]GDP!$F$72)/100)</f>
        <v>2045.7456198999801</v>
      </c>
      <c r="E20" s="142">
        <f>3022/(([2]GDP!$G$72)/100)</f>
        <v>3111.6163565784191</v>
      </c>
      <c r="F20" s="142">
        <f>3162/(([2]GDP!$H$72)/100)</f>
        <v>3162</v>
      </c>
      <c r="G20" s="142">
        <f>3009/(([2]GDP!$I$72)/100)</f>
        <v>2923.1019869773422</v>
      </c>
      <c r="H20" s="142">
        <f>3411/(([2]GDP!$J$72)/100)</f>
        <v>3233.1084059425871</v>
      </c>
      <c r="I20" s="142">
        <f>3549/(([2]GDP!$K$72)/100)</f>
        <v>3275.7451891211822</v>
      </c>
      <c r="J20" s="143">
        <f>3747/(([2]GDP!$L$72)/100)</f>
        <v>3368.4438858862541</v>
      </c>
      <c r="R20" s="55">
        <f>([2]GDP!$D$72)/100</f>
        <v>0.90400990844175977</v>
      </c>
      <c r="S20" s="55">
        <f>([2]GDP!$E$72)/100</f>
        <v>0.92991314324786001</v>
      </c>
      <c r="T20" s="55">
        <f>([2]GDP!$F$72)/100</f>
        <v>0.95564178702510594</v>
      </c>
      <c r="U20" s="55">
        <f>([2]GDP!$G$72)/100</f>
        <v>0.97119941975206658</v>
      </c>
      <c r="V20" s="55">
        <f>([2]GDP!$H$72)/100</f>
        <v>1</v>
      </c>
      <c r="W20" s="55">
        <f>([2]GDP!$I$72)/100</f>
        <v>1.0293859103805958</v>
      </c>
      <c r="X20" s="55">
        <f>([2]GDP!$J$72)/100</f>
        <v>1.0550218463848724</v>
      </c>
      <c r="Y20" s="55">
        <f>([2]GDP!$K$72)/100</f>
        <v>1.0834176027446527</v>
      </c>
      <c r="Z20" s="55">
        <f>([2]GDP!$L$72)/100</f>
        <v>1.1123830845750147</v>
      </c>
    </row>
    <row r="21" spans="1:26" s="172" customFormat="1">
      <c r="A21" s="141" t="s">
        <v>90</v>
      </c>
      <c r="B21" s="142">
        <f>2843/(([2]GDP!$D$72)/100)</f>
        <v>3144.877034479051</v>
      </c>
      <c r="C21" s="142">
        <f>2913/(([2]GDP!$E$72)/100)</f>
        <v>3132.5506270681517</v>
      </c>
      <c r="D21" s="142">
        <f>2828/(([2]GDP!$F$72)/100)</f>
        <v>2959.2678327760323</v>
      </c>
      <c r="E21" s="142">
        <f>2953/(([2]GDP!$G$72)/100)</f>
        <v>3040.5701856307319</v>
      </c>
      <c r="F21" s="142">
        <f>2736/(([2]GDP!$H$72)/100)</f>
        <v>2736</v>
      </c>
      <c r="G21" s="142">
        <f>2480/(([2]GDP!$I$72)/100)</f>
        <v>2409.2033658038581</v>
      </c>
      <c r="H21" s="142">
        <f>2441/(([2]GDP!$J$72)/100)</f>
        <v>2313.6961650266362</v>
      </c>
      <c r="I21" s="142">
        <f>2293/(([2]GDP!$K$72)/100)</f>
        <v>2116.4507519455819</v>
      </c>
      <c r="J21" s="143">
        <f>2204/(([2]GDP!$L$72)/100)</f>
        <v>1981.3318186531369</v>
      </c>
      <c r="R21" s="55">
        <f>([2]GDP!$D$72)/100</f>
        <v>0.90400990844175977</v>
      </c>
      <c r="S21" s="55">
        <f>([2]GDP!$E$72)/100</f>
        <v>0.92991314324786001</v>
      </c>
      <c r="T21" s="55">
        <f>([2]GDP!$F$72)/100</f>
        <v>0.95564178702510594</v>
      </c>
      <c r="U21" s="55">
        <f>([2]GDP!$G$72)/100</f>
        <v>0.97119941975206658</v>
      </c>
      <c r="V21" s="55">
        <f>([2]GDP!$H$72)/100</f>
        <v>1</v>
      </c>
      <c r="W21" s="55">
        <f>([2]GDP!$I$72)/100</f>
        <v>1.0293859103805958</v>
      </c>
      <c r="X21" s="55">
        <f>([2]GDP!$J$72)/100</f>
        <v>1.0550218463848724</v>
      </c>
      <c r="Y21" s="55">
        <f>([2]GDP!$K$72)/100</f>
        <v>1.0834176027446527</v>
      </c>
      <c r="Z21" s="55">
        <f>([2]GDP!$L$72)/100</f>
        <v>1.1123830845750147</v>
      </c>
    </row>
    <row r="22" spans="1:26" s="172" customFormat="1">
      <c r="A22" s="141" t="s">
        <v>91</v>
      </c>
      <c r="B22" s="142">
        <f>1643/(([2]GDP!$D$72)/100)</f>
        <v>1817.4579555571863</v>
      </c>
      <c r="C22" s="142">
        <f>1933/(([2]GDP!$E$72)/100)</f>
        <v>2078.6887614564839</v>
      </c>
      <c r="D22" s="142">
        <f>2258/(([2]GDP!$F$72)/100)</f>
        <v>2362.8100305545549</v>
      </c>
      <c r="E22" s="142">
        <f>1910/(([2]GDP!$G$72)/100)</f>
        <v>1966.6403842040968</v>
      </c>
      <c r="F22" s="142">
        <f>1998/(([2]GDP!$H$72)/100)</f>
        <v>1998</v>
      </c>
      <c r="G22" s="142">
        <f>2823/(([2]GDP!$I$72)/100)</f>
        <v>2742.4117345420532</v>
      </c>
      <c r="H22" s="142">
        <f>2567/(([2]GDP!$J$72)/100)</f>
        <v>2433.1249715786048</v>
      </c>
      <c r="I22" s="142">
        <f>1401/(([2]GDP!$K$72)/100)</f>
        <v>1293.1301803208723</v>
      </c>
      <c r="J22" s="143">
        <f>1199/(([2]GDP!$L$72)/100)</f>
        <v>1077.866084648417</v>
      </c>
      <c r="R22" s="55">
        <f>([2]GDP!$D$72)/100</f>
        <v>0.90400990844175977</v>
      </c>
      <c r="S22" s="55">
        <f>([2]GDP!$E$72)/100</f>
        <v>0.92991314324786001</v>
      </c>
      <c r="T22" s="55">
        <f>([2]GDP!$F$72)/100</f>
        <v>0.95564178702510594</v>
      </c>
      <c r="U22" s="55">
        <f>([2]GDP!$G$72)/100</f>
        <v>0.97119941975206658</v>
      </c>
      <c r="V22" s="55">
        <f>([2]GDP!$H$72)/100</f>
        <v>1</v>
      </c>
      <c r="W22" s="55">
        <f>([2]GDP!$I$72)/100</f>
        <v>1.0293859103805958</v>
      </c>
      <c r="X22" s="55">
        <f>([2]GDP!$J$72)/100</f>
        <v>1.0550218463848724</v>
      </c>
      <c r="Y22" s="55">
        <f>([2]GDP!$K$72)/100</f>
        <v>1.0834176027446527</v>
      </c>
      <c r="Z22" s="55">
        <f>([2]GDP!$L$72)/100</f>
        <v>1.1123830845750147</v>
      </c>
    </row>
    <row r="23" spans="1:26" s="172" customFormat="1">
      <c r="A23" s="141" t="s">
        <v>92</v>
      </c>
      <c r="B23" s="142">
        <f>7813/(([2]GDP!$D$72)/100)</f>
        <v>8642.6043863471077</v>
      </c>
      <c r="C23" s="142">
        <f>7944/(([2]GDP!$E$72)/100)</f>
        <v>8542.7333269582559</v>
      </c>
      <c r="D23" s="142">
        <f>7842/(([2]GDP!$F$72)/100)</f>
        <v>8206.0036579312746</v>
      </c>
      <c r="E23" s="142">
        <f>8819/(([2]GDP!$G$72)/100)</f>
        <v>9080.5243708355647</v>
      </c>
      <c r="F23" s="142">
        <f>9006/(([2]GDP!$H$72)/100)</f>
        <v>9006</v>
      </c>
      <c r="G23" s="142">
        <f>7806/(([2]GDP!$I$72)/100)</f>
        <v>7583.1618844616596</v>
      </c>
      <c r="H23" s="142">
        <f>7701/(([2]GDP!$J$72)/100)</f>
        <v>7299.3749147358149</v>
      </c>
      <c r="I23" s="142">
        <f>7806/(([2]GDP!$K$72)/100)</f>
        <v>7204.9780068413484</v>
      </c>
      <c r="J23" s="143">
        <f>7847/(([2]GDP!$L$72)/100)</f>
        <v>7054.2244922736681</v>
      </c>
      <c r="R23" s="55">
        <f>([2]GDP!$D$72)/100</f>
        <v>0.90400990844175977</v>
      </c>
      <c r="S23" s="55">
        <f>([2]GDP!$E$72)/100</f>
        <v>0.92991314324786001</v>
      </c>
      <c r="T23" s="55">
        <f>([2]GDP!$F$72)/100</f>
        <v>0.95564178702510594</v>
      </c>
      <c r="U23" s="55">
        <f>([2]GDP!$G$72)/100</f>
        <v>0.97119941975206658</v>
      </c>
      <c r="V23" s="55">
        <f>([2]GDP!$H$72)/100</f>
        <v>1</v>
      </c>
      <c r="W23" s="55">
        <f>([2]GDP!$I$72)/100</f>
        <v>1.0293859103805958</v>
      </c>
      <c r="X23" s="55">
        <f>([2]GDP!$J$72)/100</f>
        <v>1.0550218463848724</v>
      </c>
      <c r="Y23" s="55">
        <f>([2]GDP!$K$72)/100</f>
        <v>1.0834176027446527</v>
      </c>
      <c r="Z23" s="55">
        <f>([2]GDP!$L$72)/100</f>
        <v>1.1123830845750147</v>
      </c>
    </row>
    <row r="24" spans="1:26" s="172" customFormat="1">
      <c r="A24" s="141" t="s">
        <v>93</v>
      </c>
      <c r="B24" s="142">
        <f>24505/(([2]GDP!$D$72)/100)</f>
        <v>27107.003774150246</v>
      </c>
      <c r="C24" s="142">
        <f>26468/(([2]GDP!$E$72)/100)</f>
        <v>28462.873325520028</v>
      </c>
      <c r="D24" s="142">
        <f>26884/(([2]GDP!$F$72)/100)</f>
        <v>28131.879920916144</v>
      </c>
      <c r="E24" s="142">
        <f>28413/(([2]GDP!$G$72)/100)</f>
        <v>29255.577610675915</v>
      </c>
      <c r="F24" s="142">
        <f>28510/(([2]GDP!$H$72)/100)</f>
        <v>28510</v>
      </c>
      <c r="G24" s="142">
        <f>27390/(([2]GDP!$I$72)/100)</f>
        <v>26608.096850551479</v>
      </c>
      <c r="H24" s="142">
        <f>27626/(([2]GDP!$J$72)/100)</f>
        <v>26185.239760354711</v>
      </c>
      <c r="I24" s="142">
        <f>27581/(([2]GDP!$K$72)/100)</f>
        <v>25457.404356481071</v>
      </c>
      <c r="J24" s="143">
        <f>27769/(([2]GDP!$L$72)/100)</f>
        <v>24963.522355798075</v>
      </c>
      <c r="R24" s="55">
        <f>([2]GDP!$D$72)/100</f>
        <v>0.90400990844175977</v>
      </c>
      <c r="S24" s="55">
        <f>([2]GDP!$E$72)/100</f>
        <v>0.92991314324786001</v>
      </c>
      <c r="T24" s="55">
        <f>([2]GDP!$F$72)/100</f>
        <v>0.95564178702510594</v>
      </c>
      <c r="U24" s="55">
        <f>([2]GDP!$G$72)/100</f>
        <v>0.97119941975206658</v>
      </c>
      <c r="V24" s="55">
        <f>([2]GDP!$H$72)/100</f>
        <v>1</v>
      </c>
      <c r="W24" s="55">
        <f>([2]GDP!$I$72)/100</f>
        <v>1.0293859103805958</v>
      </c>
      <c r="X24" s="55">
        <f>([2]GDP!$J$72)/100</f>
        <v>1.0550218463848724</v>
      </c>
      <c r="Y24" s="55">
        <f>([2]GDP!$K$72)/100</f>
        <v>1.0834176027446527</v>
      </c>
      <c r="Z24" s="55">
        <f>([2]GDP!$L$72)/100</f>
        <v>1.1123830845750147</v>
      </c>
    </row>
    <row r="25" spans="1:26" s="172" customFormat="1">
      <c r="A25" s="141" t="s">
        <v>94</v>
      </c>
      <c r="B25" s="142">
        <f>12684/(([2]GDP!$D$72)/100)</f>
        <v>14030.819664204109</v>
      </c>
      <c r="C25" s="142">
        <f>13417/(([2]GDP!$E$72)/100)</f>
        <v>14428.229235624234</v>
      </c>
      <c r="D25" s="142">
        <f>14047/(([2]GDP!$F$72)/100)</f>
        <v>14699.022364570343</v>
      </c>
      <c r="E25" s="142">
        <f>15004/(([2]GDP!$G$72)/100)</f>
        <v>15448.938389842024</v>
      </c>
      <c r="F25" s="142">
        <f>15138/(([2]GDP!$H$72)/100)</f>
        <v>15138</v>
      </c>
      <c r="G25" s="142">
        <f>14642/(([2]GDP!$I$72)/100)</f>
        <v>14224.014387943585</v>
      </c>
      <c r="H25" s="142">
        <f>14556/(([2]GDP!$J$72)/100)</f>
        <v>13796.870699765554</v>
      </c>
      <c r="I25" s="142">
        <f>14575/(([2]GDP!$K$72)/100)</f>
        <v>13452.799698912715</v>
      </c>
      <c r="J25" s="143">
        <f>14651/(([2]GDP!$L$72)/100)</f>
        <v>13170.822357117562</v>
      </c>
      <c r="R25" s="55">
        <f>([2]GDP!$D$72)/100</f>
        <v>0.90400990844175977</v>
      </c>
      <c r="S25" s="55">
        <f>([2]GDP!$E$72)/100</f>
        <v>0.92991314324786001</v>
      </c>
      <c r="T25" s="55">
        <f>([2]GDP!$F$72)/100</f>
        <v>0.95564178702510594</v>
      </c>
      <c r="U25" s="55">
        <f>([2]GDP!$G$72)/100</f>
        <v>0.97119941975206658</v>
      </c>
      <c r="V25" s="55">
        <f>([2]GDP!$H$72)/100</f>
        <v>1</v>
      </c>
      <c r="W25" s="55">
        <f>([2]GDP!$I$72)/100</f>
        <v>1.0293859103805958</v>
      </c>
      <c r="X25" s="55">
        <f>([2]GDP!$J$72)/100</f>
        <v>1.0550218463848724</v>
      </c>
      <c r="Y25" s="55">
        <f>([2]GDP!$K$72)/100</f>
        <v>1.0834176027446527</v>
      </c>
      <c r="Z25" s="55">
        <f>([2]GDP!$L$72)/100</f>
        <v>1.1123830845750147</v>
      </c>
    </row>
    <row r="26" spans="1:26" s="172" customFormat="1">
      <c r="A26" s="141" t="s">
        <v>95</v>
      </c>
      <c r="B26" s="142">
        <f>9006/(([2]GDP!$D$72)/100)</f>
        <v>9962.2801873085955</v>
      </c>
      <c r="C26" s="142">
        <f>9746/(([2]GDP!$E$72)/100)</f>
        <v>10480.548716582976</v>
      </c>
      <c r="D26" s="142">
        <f>10261/(([2]GDP!$F$72)/100)</f>
        <v>10737.286857183475</v>
      </c>
      <c r="E26" s="142">
        <f>10618/(([2]GDP!$G$72)/100)</f>
        <v>10932.873088732513</v>
      </c>
      <c r="F26" s="142">
        <f>10832/(([2]GDP!$H$72)/100)</f>
        <v>10832</v>
      </c>
      <c r="G26" s="142">
        <f>10370/(([2]GDP!$I$72)/100)</f>
        <v>10073.967299752423</v>
      </c>
      <c r="H26" s="142">
        <f>10311/(([2]GDP!$J$72)/100)</f>
        <v>9773.2573361694576</v>
      </c>
      <c r="I26" s="142">
        <f>10292/(([2]GDP!$K$72)/100)</f>
        <v>9499.5687479389144</v>
      </c>
      <c r="J26" s="143">
        <f>10356/(([2]GDP!$L$72)/100)</f>
        <v>9309.7424292068445</v>
      </c>
      <c r="R26" s="55">
        <f>([2]GDP!$D$72)/100</f>
        <v>0.90400990844175977</v>
      </c>
      <c r="S26" s="55">
        <f>([2]GDP!$E$72)/100</f>
        <v>0.92991314324786001</v>
      </c>
      <c r="T26" s="55">
        <f>([2]GDP!$F$72)/100</f>
        <v>0.95564178702510594</v>
      </c>
      <c r="U26" s="55">
        <f>([2]GDP!$G$72)/100</f>
        <v>0.97119941975206658</v>
      </c>
      <c r="V26" s="55">
        <f>([2]GDP!$H$72)/100</f>
        <v>1</v>
      </c>
      <c r="W26" s="55">
        <f>([2]GDP!$I$72)/100</f>
        <v>1.0293859103805958</v>
      </c>
      <c r="X26" s="55">
        <f>([2]GDP!$J$72)/100</f>
        <v>1.0550218463848724</v>
      </c>
      <c r="Y26" s="55">
        <f>([2]GDP!$K$72)/100</f>
        <v>1.0834176027446527</v>
      </c>
      <c r="Z26" s="55">
        <f>([2]GDP!$L$72)/100</f>
        <v>1.1123830845750147</v>
      </c>
    </row>
    <row r="27" spans="1:26" s="172" customFormat="1">
      <c r="A27" s="141" t="s">
        <v>96</v>
      </c>
      <c r="B27" s="142">
        <f>4740/(([2]GDP!$D$72)/100)</f>
        <v>5243.3053617413652</v>
      </c>
      <c r="C27" s="142">
        <f>4486/(([2]GDP!$E$72)/100)</f>
        <v>4824.1064582999416</v>
      </c>
      <c r="D27" s="142">
        <f>4594/(([2]GDP!$F$72)/100)</f>
        <v>4807.240602465733</v>
      </c>
      <c r="E27" s="142">
        <f>4516/(([2]GDP!$G$72)/100)</f>
        <v>4649.9204057935603</v>
      </c>
      <c r="F27" s="142">
        <f>4140/(([2]GDP!$H$72)/100)</f>
        <v>4140</v>
      </c>
      <c r="G27" s="142">
        <f>4288/(([2]GDP!$I$72)/100)</f>
        <v>4165.5903357124771</v>
      </c>
      <c r="H27" s="142">
        <f>3991/(([2]GDP!$J$72)/100)</f>
        <v>3782.8600551500631</v>
      </c>
      <c r="I27" s="142">
        <f>3901/(([2]GDP!$K$72)/100)</f>
        <v>3600.6429931703947</v>
      </c>
      <c r="J27" s="143">
        <f>3723/(([2]GDP!$L$72)/100)</f>
        <v>3346.8685847756938</v>
      </c>
      <c r="R27" s="55">
        <f>([2]GDP!$D$72)/100</f>
        <v>0.90400990844175977</v>
      </c>
      <c r="S27" s="55">
        <f>([2]GDP!$E$72)/100</f>
        <v>0.92991314324786001</v>
      </c>
      <c r="T27" s="55">
        <f>([2]GDP!$F$72)/100</f>
        <v>0.95564178702510594</v>
      </c>
      <c r="U27" s="55">
        <f>([2]GDP!$G$72)/100</f>
        <v>0.97119941975206658</v>
      </c>
      <c r="V27" s="55">
        <f>([2]GDP!$H$72)/100</f>
        <v>1</v>
      </c>
      <c r="W27" s="55">
        <f>([2]GDP!$I$72)/100</f>
        <v>1.0293859103805958</v>
      </c>
      <c r="X27" s="55">
        <f>([2]GDP!$J$72)/100</f>
        <v>1.0550218463848724</v>
      </c>
      <c r="Y27" s="55">
        <f>([2]GDP!$K$72)/100</f>
        <v>1.0834176027446527</v>
      </c>
      <c r="Z27" s="55">
        <f>([2]GDP!$L$72)/100</f>
        <v>1.1123830845750147</v>
      </c>
    </row>
    <row r="28" spans="1:26" s="172" customFormat="1">
      <c r="A28" s="141" t="s">
        <v>97</v>
      </c>
      <c r="B28" s="142">
        <f>1769/(([2]GDP!$D$72)/100)</f>
        <v>1956.8369588439823</v>
      </c>
      <c r="C28" s="142">
        <f>1941/(([2]GDP!$E$72)/100)</f>
        <v>2087.291715461477</v>
      </c>
      <c r="D28" s="142">
        <f>2191/(([2]GDP!$F$72)/100)</f>
        <v>2292.7000783636095</v>
      </c>
      <c r="E28" s="142">
        <f>2440/(([2]GDP!$G$72)/100)</f>
        <v>2512.357349454448</v>
      </c>
      <c r="F28" s="142">
        <f>2464/(([2]GDP!$H$72)/100)</f>
        <v>2464</v>
      </c>
      <c r="G28" s="142">
        <f>2504/(([2]GDP!$I$72)/100)</f>
        <v>2432.5182370858311</v>
      </c>
      <c r="H28" s="142">
        <f>2419/(([2]GDP!$J$72)/100)</f>
        <v>2292.8435162635938</v>
      </c>
      <c r="I28" s="142">
        <f>2351/(([2]GDP!$K$72)/100)</f>
        <v>2169.9850492036908</v>
      </c>
      <c r="J28" s="143">
        <f>2512/(([2]GDP!$L$72)/100)</f>
        <v>2258.2148495719962</v>
      </c>
      <c r="R28" s="55">
        <f>([2]GDP!$D$72)/100</f>
        <v>0.90400990844175977</v>
      </c>
      <c r="S28" s="55">
        <f>([2]GDP!$E$72)/100</f>
        <v>0.92991314324786001</v>
      </c>
      <c r="T28" s="55">
        <f>([2]GDP!$F$72)/100</f>
        <v>0.95564178702510594</v>
      </c>
      <c r="U28" s="55">
        <f>([2]GDP!$G$72)/100</f>
        <v>0.97119941975206658</v>
      </c>
      <c r="V28" s="55">
        <f>([2]GDP!$H$72)/100</f>
        <v>1</v>
      </c>
      <c r="W28" s="55">
        <f>([2]GDP!$I$72)/100</f>
        <v>1.0293859103805958</v>
      </c>
      <c r="X28" s="55">
        <f>([2]GDP!$J$72)/100</f>
        <v>1.0550218463848724</v>
      </c>
      <c r="Y28" s="55">
        <f>([2]GDP!$K$72)/100</f>
        <v>1.0834176027446527</v>
      </c>
      <c r="Z28" s="55">
        <f>([2]GDP!$L$72)/100</f>
        <v>1.1123830845750147</v>
      </c>
    </row>
    <row r="29" spans="1:26" s="172" customFormat="1">
      <c r="A29" s="141" t="s">
        <v>98</v>
      </c>
      <c r="B29" s="142">
        <f>682/(([2]GDP!$D$72)/100)</f>
        <v>754.41650985392641</v>
      </c>
      <c r="C29" s="142">
        <f>721/(([2]GDP!$E$72)/100)</f>
        <v>775.34122970001283</v>
      </c>
      <c r="D29" s="142">
        <f>783/(([2]GDP!$F$72)/100)</f>
        <v>819.34466515687177</v>
      </c>
      <c r="E29" s="142">
        <f>815/(([2]GDP!$G$72)/100)</f>
        <v>839.16854090384231</v>
      </c>
      <c r="F29" s="142">
        <f>763/(([2]GDP!$H$72)/100)</f>
        <v>763</v>
      </c>
      <c r="G29" s="142">
        <f>909/(([2]GDP!$I$72)/100)</f>
        <v>883.05074980472057</v>
      </c>
      <c r="H29" s="142">
        <f>818/(([2]GDP!$J$72)/100)</f>
        <v>775.33939491675062</v>
      </c>
      <c r="I29" s="142">
        <f>802/(([2]GDP!$K$72)/100)</f>
        <v>740.25011036212675</v>
      </c>
      <c r="J29" s="143">
        <f>792/(([2]GDP!$L$72)/100)</f>
        <v>711.9849366484957</v>
      </c>
      <c r="R29" s="55">
        <f>([2]GDP!$D$72)/100</f>
        <v>0.90400990844175977</v>
      </c>
      <c r="S29" s="55">
        <f>([2]GDP!$E$72)/100</f>
        <v>0.92991314324786001</v>
      </c>
      <c r="T29" s="55">
        <f>([2]GDP!$F$72)/100</f>
        <v>0.95564178702510594</v>
      </c>
      <c r="U29" s="55">
        <f>([2]GDP!$G$72)/100</f>
        <v>0.97119941975206658</v>
      </c>
      <c r="V29" s="55">
        <f>([2]GDP!$H$72)/100</f>
        <v>1</v>
      </c>
      <c r="W29" s="55">
        <f>([2]GDP!$I$72)/100</f>
        <v>1.0293859103805958</v>
      </c>
      <c r="X29" s="55">
        <f>([2]GDP!$J$72)/100</f>
        <v>1.0550218463848724</v>
      </c>
      <c r="Y29" s="55">
        <f>([2]GDP!$K$72)/100</f>
        <v>1.0834176027446527</v>
      </c>
      <c r="Z29" s="55">
        <f>([2]GDP!$L$72)/100</f>
        <v>1.1123830845750147</v>
      </c>
    </row>
    <row r="30" spans="1:26" s="173" customFormat="1">
      <c r="A30" s="63" t="s">
        <v>99</v>
      </c>
      <c r="B30" s="142">
        <f>0/(([2]GDP!$D$72)/100)</f>
        <v>0</v>
      </c>
      <c r="C30" s="142">
        <f>0/(([2]GDP!$E$72)/100)</f>
        <v>0</v>
      </c>
      <c r="D30" s="142">
        <f>0/(([2]GDP!$F$72)/100)</f>
        <v>0</v>
      </c>
      <c r="E30" s="142">
        <f>0/(([2]GDP!$G$72)/100)</f>
        <v>0</v>
      </c>
      <c r="F30" s="144">
        <f>0/(([2]GDP!$H$72)/100)</f>
        <v>0</v>
      </c>
      <c r="G30" s="142">
        <v>2800</v>
      </c>
      <c r="H30" s="142">
        <v>3300</v>
      </c>
      <c r="I30" s="142">
        <v>3300</v>
      </c>
      <c r="J30" s="143">
        <v>3200</v>
      </c>
      <c r="R30" s="55">
        <f>([2]GDP!$D$72)/100</f>
        <v>0.90400990844175977</v>
      </c>
      <c r="S30" s="55">
        <f>([2]GDP!$E$72)/100</f>
        <v>0.92991314324786001</v>
      </c>
      <c r="T30" s="55">
        <f>([2]GDP!$F$72)/100</f>
        <v>0.95564178702510594</v>
      </c>
      <c r="U30" s="55">
        <f>([2]GDP!$G$72)/100</f>
        <v>0.97119941975206658</v>
      </c>
      <c r="V30" s="55">
        <f>([2]GDP!$H$72)/100</f>
        <v>1</v>
      </c>
      <c r="W30" s="55">
        <f>([2]GDP!$I$72)/100</f>
        <v>1.0293859103805958</v>
      </c>
      <c r="X30" s="55">
        <f>([2]GDP!$J$72)/100</f>
        <v>1.0550218463848724</v>
      </c>
      <c r="Y30" s="55">
        <f>([2]GDP!$K$72)/100</f>
        <v>1.0834176027446527</v>
      </c>
      <c r="Z30" s="55">
        <f>([2]GDP!$L$72)/100</f>
        <v>1.1123830845750147</v>
      </c>
    </row>
    <row r="31" spans="1:26" ht="11.25" customHeight="1">
      <c r="A31" s="63" t="s">
        <v>100</v>
      </c>
      <c r="B31" s="142">
        <f>0/(([2]GDP!$D$72)/100)</f>
        <v>0</v>
      </c>
      <c r="C31" s="142">
        <f>0/(([2]GDP!$E$72)/100)</f>
        <v>0</v>
      </c>
      <c r="D31" s="142">
        <f>0/(([2]GDP!$F$72)/100)</f>
        <v>0</v>
      </c>
      <c r="E31" s="142">
        <f>0/(([2]GDP!$G$72)/100)</f>
        <v>0</v>
      </c>
      <c r="F31" s="142">
        <f>0/(([2]GDP!$H$72)/100)</f>
        <v>0</v>
      </c>
      <c r="G31" s="142">
        <v>300</v>
      </c>
      <c r="H31" s="142">
        <v>3600</v>
      </c>
      <c r="I31" s="142">
        <v>3500</v>
      </c>
      <c r="J31" s="143">
        <v>3200</v>
      </c>
      <c r="R31" s="55">
        <f>([2]GDP!$D$72)/100</f>
        <v>0.90400990844175977</v>
      </c>
      <c r="S31" s="55">
        <f>([2]GDP!$E$72)/100</f>
        <v>0.92991314324786001</v>
      </c>
      <c r="T31" s="55">
        <f>([2]GDP!$F$72)/100</f>
        <v>0.95564178702510594</v>
      </c>
      <c r="U31" s="55">
        <f>([2]GDP!$G$72)/100</f>
        <v>0.97119941975206658</v>
      </c>
      <c r="V31" s="55">
        <f>([2]GDP!$H$72)/100</f>
        <v>1</v>
      </c>
      <c r="W31" s="55">
        <f>([2]GDP!$I$72)/100</f>
        <v>1.0293859103805958</v>
      </c>
      <c r="X31" s="55">
        <f>([2]GDP!$J$72)/100</f>
        <v>1.0550218463848724</v>
      </c>
      <c r="Y31" s="55">
        <f>([2]GDP!$K$72)/100</f>
        <v>1.0834176027446527</v>
      </c>
      <c r="Z31" s="55">
        <f>([2]GDP!$L$72)/100</f>
        <v>1.1123830845750147</v>
      </c>
    </row>
    <row r="32" spans="1:26">
      <c r="A32" s="63" t="s">
        <v>101</v>
      </c>
      <c r="B32" s="142">
        <f>0/(([2]GDP!$D$72)/100)</f>
        <v>0</v>
      </c>
      <c r="C32" s="142">
        <f>0/(([2]GDP!$E$72)/100)</f>
        <v>0</v>
      </c>
      <c r="D32" s="142">
        <f>0/(([2]GDP!$F$72)/100)</f>
        <v>0</v>
      </c>
      <c r="E32" s="142">
        <f>0/(([2]GDP!$G$72)/100)</f>
        <v>0</v>
      </c>
      <c r="F32" s="142">
        <f>0/(([2]GDP!$H$72)/100)</f>
        <v>0</v>
      </c>
      <c r="G32" s="142">
        <f>0/(([2]GDP!$I$72)/100)</f>
        <v>0</v>
      </c>
      <c r="H32" s="142">
        <v>700</v>
      </c>
      <c r="I32" s="142">
        <v>900</v>
      </c>
      <c r="J32" s="143">
        <f>0/(([2]GDP!$L$72)/100)</f>
        <v>0</v>
      </c>
      <c r="R32" s="55">
        <f>([2]GDP!$D$72)/100</f>
        <v>0.90400990844175977</v>
      </c>
      <c r="S32" s="55">
        <f>([2]GDP!$E$72)/100</f>
        <v>0.92991314324786001</v>
      </c>
      <c r="T32" s="55">
        <f>([2]GDP!$F$72)/100</f>
        <v>0.95564178702510594</v>
      </c>
      <c r="U32" s="55">
        <f>([2]GDP!$G$72)/100</f>
        <v>0.97119941975206658</v>
      </c>
      <c r="V32" s="55">
        <f>([2]GDP!$H$72)/100</f>
        <v>1</v>
      </c>
      <c r="W32" s="55">
        <f>([2]GDP!$I$72)/100</f>
        <v>1.0293859103805958</v>
      </c>
      <c r="X32" s="55">
        <f>([2]GDP!$J$72)/100</f>
        <v>1.0550218463848724</v>
      </c>
      <c r="Y32" s="55">
        <f>([2]GDP!$K$72)/100</f>
        <v>1.0834176027446527</v>
      </c>
      <c r="Z32" s="55">
        <f>([2]GDP!$L$72)/100</f>
        <v>1.1123830845750147</v>
      </c>
    </row>
    <row r="33" spans="1:26" ht="11.25" customHeight="1" thickBot="1">
      <c r="A33" s="160" t="s">
        <v>136</v>
      </c>
      <c r="B33" s="161">
        <f>311885/(([2]GDP!$D$72)/100)</f>
        <v>345001.74952462147</v>
      </c>
      <c r="C33" s="161">
        <f>332999/(([2]GDP!$E$72)/100)</f>
        <v>358096.88508859166</v>
      </c>
      <c r="D33" s="161">
        <f>349264/(([2]GDP!$F$72)/100)</f>
        <v>365475.8558510213</v>
      </c>
      <c r="E33" s="161">
        <f>376300/(([2]GDP!$G$72)/100)</f>
        <v>387459.04532774951</v>
      </c>
      <c r="F33" s="161">
        <f>375170/(([2]GDP!$H$72)/100)</f>
        <v>375170</v>
      </c>
      <c r="G33" s="161">
        <v>360200</v>
      </c>
      <c r="H33" s="161">
        <v>350500</v>
      </c>
      <c r="I33" s="161">
        <v>341700</v>
      </c>
      <c r="J33" s="162">
        <v>331900</v>
      </c>
      <c r="L33" s="166"/>
      <c r="M33" s="166"/>
      <c r="N33" s="166"/>
      <c r="O33" s="166"/>
      <c r="P33" s="166"/>
      <c r="R33" s="55">
        <f>([2]GDP!$D$72)/100</f>
        <v>0.90400990844175977</v>
      </c>
      <c r="S33" s="55">
        <f>([2]GDP!$E$72)/100</f>
        <v>0.92991314324786001</v>
      </c>
      <c r="T33" s="55">
        <f>([2]GDP!$F$72)/100</f>
        <v>0.95564178702510594</v>
      </c>
      <c r="U33" s="55">
        <f>([2]GDP!$G$72)/100</f>
        <v>0.97119941975206658</v>
      </c>
      <c r="V33" s="55">
        <f>([2]GDP!$H$72)/100</f>
        <v>1</v>
      </c>
      <c r="W33" s="55">
        <f>([2]GDP!$I$72)/100</f>
        <v>1.0293859103805958</v>
      </c>
      <c r="X33" s="55">
        <f>([2]GDP!$J$72)/100</f>
        <v>1.0550218463848724</v>
      </c>
      <c r="Y33" s="55">
        <f>([2]GDP!$K$72)/100</f>
        <v>1.0834176027446527</v>
      </c>
      <c r="Z33" s="55">
        <f>([2]GDP!$L$72)/100</f>
        <v>1.1123830845750147</v>
      </c>
    </row>
    <row r="34" spans="1:26" ht="11.25" customHeight="1">
      <c r="A34" s="258" t="s">
        <v>137</v>
      </c>
      <c r="B34" s="258"/>
      <c r="C34" s="258"/>
      <c r="D34" s="258"/>
      <c r="E34" s="258"/>
      <c r="F34" s="166"/>
      <c r="G34" s="165"/>
      <c r="H34" s="165"/>
      <c r="I34" s="166"/>
      <c r="J34" s="166"/>
    </row>
    <row r="35" spans="1:26" ht="24.75" customHeight="1">
      <c r="A35" s="264" t="s">
        <v>314</v>
      </c>
      <c r="B35" s="264"/>
      <c r="C35" s="264"/>
      <c r="D35" s="264"/>
      <c r="E35" s="264"/>
      <c r="F35" s="264"/>
      <c r="G35" s="264"/>
      <c r="H35" s="264"/>
      <c r="I35" s="264"/>
      <c r="J35" s="264"/>
    </row>
    <row r="36" spans="1:26">
      <c r="A36" s="260" t="s">
        <v>114</v>
      </c>
      <c r="B36" s="260"/>
      <c r="C36" s="260"/>
      <c r="D36" s="260"/>
      <c r="E36" s="260"/>
      <c r="F36" s="166"/>
      <c r="G36" s="165"/>
      <c r="H36" s="165"/>
      <c r="I36" s="166"/>
      <c r="J36" s="166"/>
    </row>
    <row r="37" spans="1:26" ht="11.25" customHeight="1">
      <c r="A37" s="260" t="s">
        <v>115</v>
      </c>
      <c r="B37" s="260"/>
      <c r="C37" s="260"/>
      <c r="D37" s="260"/>
      <c r="E37" s="260"/>
      <c r="F37" s="260"/>
      <c r="G37" s="260"/>
      <c r="H37" s="260"/>
      <c r="I37" s="260"/>
      <c r="J37" s="260"/>
    </row>
    <row r="38" spans="1:26" ht="3.75" customHeight="1">
      <c r="A38" s="260"/>
      <c r="B38" s="260"/>
      <c r="C38" s="260"/>
      <c r="D38" s="260"/>
      <c r="E38" s="260"/>
      <c r="F38" s="260"/>
      <c r="G38" s="260"/>
      <c r="H38" s="260"/>
      <c r="I38" s="260"/>
      <c r="J38" s="260"/>
    </row>
  </sheetData>
  <mergeCells count="5">
    <mergeCell ref="B3:F3"/>
    <mergeCell ref="A34:E34"/>
    <mergeCell ref="A36:E36"/>
    <mergeCell ref="A35:J35"/>
    <mergeCell ref="A37:J38"/>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J135"/>
  <sheetViews>
    <sheetView showGridLines="0" zoomScaleNormal="100" workbookViewId="0">
      <selection activeCell="L4" sqref="L4"/>
    </sheetView>
  </sheetViews>
  <sheetFormatPr defaultRowHeight="11.25"/>
  <cols>
    <col min="1" max="1" width="49.5" style="185" customWidth="1"/>
    <col min="2" max="5" width="10" style="185" customWidth="1"/>
    <col min="6" max="6" width="10.33203125" style="185" customWidth="1"/>
    <col min="7" max="10" width="10" style="185" customWidth="1"/>
    <col min="11" max="16384" width="9.33203125" style="185"/>
  </cols>
  <sheetData>
    <row r="1" spans="1:10" ht="15">
      <c r="A1" s="265" t="s">
        <v>150</v>
      </c>
      <c r="B1" s="265"/>
      <c r="C1" s="265"/>
      <c r="D1" s="265"/>
      <c r="E1" s="265"/>
    </row>
    <row r="2" spans="1:10">
      <c r="A2" s="186"/>
      <c r="B2" s="186"/>
      <c r="C2" s="186"/>
      <c r="D2" s="186"/>
      <c r="J2" s="187" t="s">
        <v>151</v>
      </c>
    </row>
    <row r="3" spans="1:10" ht="22.5">
      <c r="A3" s="188"/>
      <c r="B3" s="188" t="s">
        <v>152</v>
      </c>
      <c r="C3" s="188" t="s">
        <v>153</v>
      </c>
      <c r="D3" s="188" t="s">
        <v>154</v>
      </c>
      <c r="E3" s="188" t="s">
        <v>155</v>
      </c>
      <c r="F3" s="188" t="s">
        <v>156</v>
      </c>
      <c r="G3" s="188" t="s">
        <v>157</v>
      </c>
      <c r="H3" s="188" t="s">
        <v>158</v>
      </c>
      <c r="I3" s="188" t="s">
        <v>159</v>
      </c>
      <c r="J3" s="188" t="s">
        <v>160</v>
      </c>
    </row>
    <row r="4" spans="1:10" ht="15.75" customHeight="1">
      <c r="A4" s="266" t="s">
        <v>161</v>
      </c>
      <c r="B4" s="266"/>
      <c r="C4" s="266"/>
      <c r="D4" s="266"/>
      <c r="E4" s="266"/>
      <c r="F4" s="266"/>
      <c r="G4" s="266"/>
      <c r="H4" s="266"/>
      <c r="I4" s="266"/>
      <c r="J4" s="266"/>
    </row>
    <row r="5" spans="1:10" ht="12.75" customHeight="1">
      <c r="A5" s="189" t="s">
        <v>15</v>
      </c>
      <c r="B5" s="190"/>
      <c r="C5" s="190"/>
      <c r="D5" s="190"/>
      <c r="E5" s="190"/>
    </row>
    <row r="6" spans="1:10" ht="12.75" customHeight="1">
      <c r="A6" s="191" t="s">
        <v>162</v>
      </c>
      <c r="B6" s="190">
        <v>-9.5</v>
      </c>
      <c r="C6" s="190">
        <v>-10</v>
      </c>
      <c r="D6" s="190">
        <v>-10.6</v>
      </c>
      <c r="E6" s="190">
        <v>-13.4</v>
      </c>
      <c r="F6" s="190">
        <v>-19.100000000000001</v>
      </c>
      <c r="G6" s="190">
        <v>-14.3</v>
      </c>
      <c r="H6" s="190">
        <v>-15.4</v>
      </c>
      <c r="I6" s="190">
        <v>-15.3</v>
      </c>
      <c r="J6" s="190">
        <v>-16</v>
      </c>
    </row>
    <row r="7" spans="1:10" ht="12.75" customHeight="1">
      <c r="A7" s="191" t="s">
        <v>163</v>
      </c>
      <c r="B7" s="190">
        <v>-1.5</v>
      </c>
      <c r="C7" s="190">
        <v>-1.7</v>
      </c>
      <c r="D7" s="190">
        <v>-1.8</v>
      </c>
      <c r="E7" s="190">
        <v>-1.8</v>
      </c>
      <c r="F7" s="190">
        <v>-1.8</v>
      </c>
      <c r="G7" s="190">
        <v>-1</v>
      </c>
      <c r="H7" s="190">
        <v>-1.9</v>
      </c>
      <c r="I7" s="190">
        <v>-1.9</v>
      </c>
      <c r="J7" s="190">
        <v>-2</v>
      </c>
    </row>
    <row r="8" spans="1:10" ht="12.75" customHeight="1">
      <c r="A8" s="191" t="s">
        <v>164</v>
      </c>
      <c r="B8" s="190">
        <v>0.1</v>
      </c>
      <c r="C8" s="190">
        <v>0.1</v>
      </c>
      <c r="D8" s="190">
        <v>0.2</v>
      </c>
      <c r="E8" s="190">
        <v>-0.1</v>
      </c>
      <c r="F8" s="190">
        <v>-0.2</v>
      </c>
      <c r="G8" s="190">
        <v>-0.2</v>
      </c>
      <c r="H8" s="190">
        <v>-0.1</v>
      </c>
      <c r="I8" s="190">
        <v>-0.1</v>
      </c>
      <c r="J8" s="190">
        <v>-0.1</v>
      </c>
    </row>
    <row r="9" spans="1:10" ht="12.75" customHeight="1">
      <c r="A9" s="191" t="s">
        <v>165</v>
      </c>
      <c r="B9" s="190">
        <v>0</v>
      </c>
      <c r="C9" s="190">
        <v>0</v>
      </c>
      <c r="D9" s="190">
        <v>0</v>
      </c>
      <c r="E9" s="190">
        <v>0</v>
      </c>
      <c r="F9" s="190">
        <v>0</v>
      </c>
      <c r="G9" s="190">
        <v>0</v>
      </c>
      <c r="H9" s="190">
        <v>0</v>
      </c>
      <c r="I9" s="190">
        <v>0</v>
      </c>
      <c r="J9" s="190">
        <v>0</v>
      </c>
    </row>
    <row r="10" spans="1:10" ht="12.75" customHeight="1">
      <c r="A10" s="192" t="s">
        <v>18</v>
      </c>
      <c r="B10" s="193">
        <v>-11</v>
      </c>
      <c r="C10" s="193">
        <v>-11.6</v>
      </c>
      <c r="D10" s="193">
        <v>-12.2</v>
      </c>
      <c r="E10" s="193">
        <v>-15.3</v>
      </c>
      <c r="F10" s="193">
        <v>-21</v>
      </c>
      <c r="G10" s="193">
        <v>-15.5</v>
      </c>
      <c r="H10" s="193">
        <v>-17.3</v>
      </c>
      <c r="I10" s="193">
        <v>-17.3</v>
      </c>
      <c r="J10" s="193">
        <v>-18</v>
      </c>
    </row>
    <row r="11" spans="1:10" ht="12.75" customHeight="1">
      <c r="A11" s="189" t="s">
        <v>19</v>
      </c>
      <c r="B11" s="190"/>
      <c r="C11" s="190"/>
      <c r="D11" s="190"/>
      <c r="E11" s="190"/>
      <c r="F11" s="190"/>
      <c r="G11" s="190"/>
      <c r="H11" s="190"/>
      <c r="I11" s="190"/>
      <c r="J11" s="190"/>
    </row>
    <row r="12" spans="1:10" ht="12.75" customHeight="1">
      <c r="A12" s="191" t="s">
        <v>166</v>
      </c>
      <c r="B12" s="190">
        <v>-0.7</v>
      </c>
      <c r="C12" s="190">
        <v>-1.1000000000000001</v>
      </c>
      <c r="D12" s="190">
        <v>-1.9</v>
      </c>
      <c r="E12" s="190">
        <v>-2.5</v>
      </c>
      <c r="F12" s="190">
        <v>-7.5</v>
      </c>
      <c r="G12" s="190">
        <v>-1.6</v>
      </c>
      <c r="H12" s="190">
        <v>-1.6</v>
      </c>
      <c r="I12" s="190">
        <v>-1.8</v>
      </c>
      <c r="J12" s="190">
        <v>-1.7</v>
      </c>
    </row>
    <row r="13" spans="1:10" ht="12.75" customHeight="1">
      <c r="A13" s="191" t="s">
        <v>164</v>
      </c>
      <c r="B13" s="190">
        <v>0.8</v>
      </c>
      <c r="C13" s="190">
        <v>1.3</v>
      </c>
      <c r="D13" s="190">
        <v>2.4</v>
      </c>
      <c r="E13" s="190">
        <v>1.2</v>
      </c>
      <c r="F13" s="190">
        <v>1.1000000000000001</v>
      </c>
      <c r="G13" s="190">
        <v>2.6</v>
      </c>
      <c r="H13" s="190">
        <v>1.7</v>
      </c>
      <c r="I13" s="190">
        <v>1.9</v>
      </c>
      <c r="J13" s="190">
        <v>2.5</v>
      </c>
    </row>
    <row r="14" spans="1:10" ht="12.75" customHeight="1">
      <c r="A14" s="191" t="s">
        <v>167</v>
      </c>
      <c r="B14" s="190">
        <v>0</v>
      </c>
      <c r="C14" s="190">
        <v>0</v>
      </c>
      <c r="D14" s="190">
        <v>0</v>
      </c>
      <c r="E14" s="190">
        <v>0</v>
      </c>
      <c r="F14" s="190">
        <v>0</v>
      </c>
      <c r="G14" s="190">
        <v>-1.7</v>
      </c>
      <c r="H14" s="190">
        <v>-2.2000000000000002</v>
      </c>
      <c r="I14" s="190">
        <v>-2.6</v>
      </c>
      <c r="J14" s="190">
        <v>-3.2</v>
      </c>
    </row>
    <row r="15" spans="1:10" ht="12.75" customHeight="1">
      <c r="A15" s="191" t="s">
        <v>168</v>
      </c>
      <c r="B15" s="190">
        <v>0</v>
      </c>
      <c r="C15" s="190">
        <v>0</v>
      </c>
      <c r="D15" s="190">
        <v>0</v>
      </c>
      <c r="E15" s="190">
        <v>0</v>
      </c>
      <c r="F15" s="190">
        <v>0</v>
      </c>
      <c r="G15" s="190">
        <v>-0.3</v>
      </c>
      <c r="H15" s="190">
        <v>-0.4</v>
      </c>
      <c r="I15" s="190">
        <v>-0.6</v>
      </c>
      <c r="J15" s="190">
        <v>-0.7</v>
      </c>
    </row>
    <row r="16" spans="1:10" ht="12.75" customHeight="1">
      <c r="A16" s="191" t="s">
        <v>165</v>
      </c>
      <c r="B16" s="190">
        <v>0.1</v>
      </c>
      <c r="C16" s="190">
        <v>0</v>
      </c>
      <c r="D16" s="190">
        <v>0.1</v>
      </c>
      <c r="E16" s="190">
        <v>0.1</v>
      </c>
      <c r="F16" s="190">
        <v>0.1</v>
      </c>
      <c r="G16" s="190">
        <v>0.1</v>
      </c>
      <c r="H16" s="190">
        <v>0.1</v>
      </c>
      <c r="I16" s="190">
        <v>0.1</v>
      </c>
      <c r="J16" s="190">
        <v>0.1</v>
      </c>
    </row>
    <row r="17" spans="1:10" ht="12.75" customHeight="1">
      <c r="A17" s="194" t="s">
        <v>29</v>
      </c>
      <c r="B17" s="193">
        <v>0.2</v>
      </c>
      <c r="C17" s="193">
        <v>0.3</v>
      </c>
      <c r="D17" s="193">
        <v>0.6</v>
      </c>
      <c r="E17" s="193">
        <v>-1.2</v>
      </c>
      <c r="F17" s="193">
        <v>-6.4</v>
      </c>
      <c r="G17" s="193">
        <v>-0.9</v>
      </c>
      <c r="H17" s="193">
        <v>-2.5</v>
      </c>
      <c r="I17" s="193">
        <v>-3</v>
      </c>
      <c r="J17" s="193">
        <v>-3</v>
      </c>
    </row>
    <row r="18" spans="1:10" ht="12.75" customHeight="1">
      <c r="A18" s="195" t="s">
        <v>169</v>
      </c>
      <c r="B18" s="190">
        <v>0</v>
      </c>
      <c r="C18" s="190">
        <v>0</v>
      </c>
      <c r="D18" s="190">
        <v>0</v>
      </c>
      <c r="E18" s="190">
        <v>0</v>
      </c>
      <c r="F18" s="190">
        <v>-1.6</v>
      </c>
      <c r="G18" s="190">
        <v>0.5</v>
      </c>
      <c r="H18" s="190">
        <v>0.5</v>
      </c>
      <c r="I18" s="190">
        <v>0.2</v>
      </c>
      <c r="J18" s="190">
        <v>-0.5</v>
      </c>
    </row>
    <row r="19" spans="1:10" ht="12.75" customHeight="1">
      <c r="A19" s="196" t="s">
        <v>170</v>
      </c>
      <c r="B19" s="254">
        <v>0</v>
      </c>
      <c r="C19" s="254">
        <v>0</v>
      </c>
      <c r="D19" s="254">
        <v>0</v>
      </c>
      <c r="E19" s="254">
        <v>0</v>
      </c>
      <c r="F19" s="254">
        <v>1</v>
      </c>
      <c r="G19" s="254">
        <v>-0.2</v>
      </c>
      <c r="H19" s="254">
        <v>0.9</v>
      </c>
      <c r="I19" s="254">
        <v>0.8</v>
      </c>
      <c r="J19" s="254">
        <v>0.4</v>
      </c>
    </row>
    <row r="20" spans="1:10" ht="12.75" customHeight="1">
      <c r="A20" s="196" t="s">
        <v>171</v>
      </c>
      <c r="B20" s="254">
        <v>0</v>
      </c>
      <c r="C20" s="254">
        <v>0</v>
      </c>
      <c r="D20" s="254">
        <v>0</v>
      </c>
      <c r="E20" s="254">
        <v>0</v>
      </c>
      <c r="F20" s="254">
        <v>-2.6</v>
      </c>
      <c r="G20" s="254">
        <v>0.7</v>
      </c>
      <c r="H20" s="254">
        <v>-0.4</v>
      </c>
      <c r="I20" s="254">
        <v>-0.6</v>
      </c>
      <c r="J20" s="254">
        <v>-0.9</v>
      </c>
    </row>
    <row r="21" spans="1:10" ht="12.75" customHeight="1">
      <c r="A21" s="192" t="s">
        <v>172</v>
      </c>
      <c r="B21" s="193">
        <v>-10.8</v>
      </c>
      <c r="C21" s="193">
        <v>-11.3</v>
      </c>
      <c r="D21" s="193">
        <v>-11.6</v>
      </c>
      <c r="E21" s="193">
        <v>-16.5</v>
      </c>
      <c r="F21" s="193">
        <v>-29.1</v>
      </c>
      <c r="G21" s="193">
        <v>-15.8</v>
      </c>
      <c r="H21" s="193">
        <v>-19.3</v>
      </c>
      <c r="I21" s="193">
        <v>-20.100000000000001</v>
      </c>
      <c r="J21" s="193">
        <v>-21.5</v>
      </c>
    </row>
    <row r="22" spans="1:10">
      <c r="A22" s="197" t="s">
        <v>173</v>
      </c>
      <c r="B22" s="198"/>
      <c r="C22" s="198"/>
      <c r="D22" s="198"/>
      <c r="E22" s="198"/>
      <c r="F22" s="198"/>
      <c r="G22" s="198"/>
      <c r="H22" s="198"/>
      <c r="I22" s="198"/>
      <c r="J22" s="198"/>
    </row>
    <row r="23" spans="1:10" ht="12.75" customHeight="1">
      <c r="A23" s="189" t="s">
        <v>15</v>
      </c>
      <c r="B23" s="199"/>
      <c r="C23" s="199"/>
      <c r="D23" s="199"/>
      <c r="E23" s="199"/>
      <c r="F23" s="199"/>
      <c r="G23" s="199"/>
      <c r="H23" s="199"/>
      <c r="I23" s="199"/>
      <c r="J23" s="199"/>
    </row>
    <row r="24" spans="1:10" ht="12.75" customHeight="1">
      <c r="A24" s="191" t="s">
        <v>174</v>
      </c>
      <c r="B24" s="190">
        <v>-0.8</v>
      </c>
      <c r="C24" s="190">
        <v>-1</v>
      </c>
      <c r="D24" s="190">
        <v>-1</v>
      </c>
      <c r="E24" s="190">
        <v>0.5</v>
      </c>
      <c r="F24" s="190">
        <v>0</v>
      </c>
      <c r="G24" s="190">
        <v>0</v>
      </c>
      <c r="H24" s="190">
        <v>0</v>
      </c>
      <c r="I24" s="190">
        <v>0</v>
      </c>
      <c r="J24" s="190">
        <v>0</v>
      </c>
    </row>
    <row r="25" spans="1:10" ht="12.75" customHeight="1">
      <c r="A25" s="191" t="s">
        <v>175</v>
      </c>
      <c r="B25" s="190">
        <v>0.4</v>
      </c>
      <c r="C25" s="190">
        <v>0.5</v>
      </c>
      <c r="D25" s="190">
        <v>0.6</v>
      </c>
      <c r="E25" s="190">
        <v>0.6</v>
      </c>
      <c r="F25" s="190">
        <v>0.7</v>
      </c>
      <c r="G25" s="190">
        <v>0.3</v>
      </c>
      <c r="H25" s="190">
        <v>0.3</v>
      </c>
      <c r="I25" s="190">
        <v>0.3</v>
      </c>
      <c r="J25" s="190">
        <v>0.3</v>
      </c>
    </row>
    <row r="26" spans="1:10" ht="12.75" customHeight="1">
      <c r="A26" s="191" t="s">
        <v>176</v>
      </c>
      <c r="B26" s="190">
        <v>0.2</v>
      </c>
      <c r="C26" s="190">
        <v>0.1</v>
      </c>
      <c r="D26" s="190">
        <v>0.1</v>
      </c>
      <c r="E26" s="190">
        <v>0.1</v>
      </c>
      <c r="F26" s="190">
        <v>0.1</v>
      </c>
      <c r="G26" s="190">
        <v>0.1</v>
      </c>
      <c r="H26" s="190">
        <v>0.1</v>
      </c>
      <c r="I26" s="190">
        <v>0.1</v>
      </c>
      <c r="J26" s="190">
        <v>0.1</v>
      </c>
    </row>
    <row r="27" spans="1:10" ht="12.75" customHeight="1">
      <c r="A27" s="191" t="s">
        <v>177</v>
      </c>
      <c r="B27" s="190">
        <v>-0.8</v>
      </c>
      <c r="C27" s="190">
        <v>-1.1000000000000001</v>
      </c>
      <c r="D27" s="190">
        <v>-1.3</v>
      </c>
      <c r="E27" s="190">
        <v>-1.6</v>
      </c>
      <c r="F27" s="190">
        <v>-1.7</v>
      </c>
      <c r="G27" s="190">
        <v>-1.8</v>
      </c>
      <c r="H27" s="190">
        <v>-2.2000000000000002</v>
      </c>
      <c r="I27" s="190">
        <v>-2.7</v>
      </c>
      <c r="J27" s="190">
        <v>-3.3</v>
      </c>
    </row>
    <row r="28" spans="1:10" ht="12.75" customHeight="1">
      <c r="A28" s="191" t="s">
        <v>178</v>
      </c>
      <c r="B28" s="190">
        <v>-0.2</v>
      </c>
      <c r="C28" s="190">
        <v>-0.6</v>
      </c>
      <c r="D28" s="190">
        <v>0.5</v>
      </c>
      <c r="E28" s="190">
        <v>-1</v>
      </c>
      <c r="F28" s="190">
        <v>-0.1</v>
      </c>
      <c r="G28" s="190">
        <v>0</v>
      </c>
      <c r="H28" s="190">
        <v>0</v>
      </c>
      <c r="I28" s="190">
        <v>0</v>
      </c>
      <c r="J28" s="190">
        <v>0</v>
      </c>
    </row>
    <row r="29" spans="1:10" ht="12.75" customHeight="1">
      <c r="A29" s="191" t="s">
        <v>179</v>
      </c>
      <c r="B29" s="190">
        <v>-0.1</v>
      </c>
      <c r="C29" s="190">
        <v>-0.1</v>
      </c>
      <c r="D29" s="190">
        <v>-0.2</v>
      </c>
      <c r="E29" s="190">
        <v>-0.2</v>
      </c>
      <c r="F29" s="190">
        <v>0.1</v>
      </c>
      <c r="G29" s="190">
        <v>0</v>
      </c>
      <c r="H29" s="190">
        <v>0</v>
      </c>
      <c r="I29" s="190">
        <v>0</v>
      </c>
      <c r="J29" s="190">
        <v>0</v>
      </c>
    </row>
    <row r="30" spans="1:10" ht="12.75" customHeight="1">
      <c r="A30" s="191" t="s">
        <v>180</v>
      </c>
      <c r="B30" s="190">
        <v>0.6</v>
      </c>
      <c r="C30" s="190">
        <v>0.7</v>
      </c>
      <c r="D30" s="190">
        <v>0.8</v>
      </c>
      <c r="E30" s="190">
        <v>1.3</v>
      </c>
      <c r="F30" s="190">
        <v>1.8</v>
      </c>
      <c r="G30" s="190">
        <v>1.9</v>
      </c>
      <c r="H30" s="190">
        <v>2.1</v>
      </c>
      <c r="I30" s="190">
        <v>2.2000000000000002</v>
      </c>
      <c r="J30" s="190">
        <v>2.6</v>
      </c>
    </row>
    <row r="31" spans="1:10" ht="12.75" customHeight="1">
      <c r="A31" s="191" t="s">
        <v>181</v>
      </c>
      <c r="B31" s="190">
        <v>0.5</v>
      </c>
      <c r="C31" s="190">
        <v>0.5</v>
      </c>
      <c r="D31" s="190">
        <v>0.6</v>
      </c>
      <c r="E31" s="190">
        <v>0.5</v>
      </c>
      <c r="F31" s="190">
        <v>0.6</v>
      </c>
      <c r="G31" s="190">
        <v>0.6</v>
      </c>
      <c r="H31" s="190">
        <v>0.6</v>
      </c>
      <c r="I31" s="190">
        <v>0.6</v>
      </c>
      <c r="J31" s="190">
        <v>0.7</v>
      </c>
    </row>
    <row r="32" spans="1:10" ht="12.75" customHeight="1">
      <c r="A32" s="191" t="s">
        <v>182</v>
      </c>
      <c r="B32" s="190">
        <v>0</v>
      </c>
      <c r="C32" s="190">
        <v>0</v>
      </c>
      <c r="D32" s="190">
        <v>0</v>
      </c>
      <c r="E32" s="190">
        <v>0.4</v>
      </c>
      <c r="F32" s="190">
        <v>0</v>
      </c>
      <c r="G32" s="190">
        <v>0</v>
      </c>
      <c r="H32" s="190">
        <v>0</v>
      </c>
      <c r="I32" s="190">
        <v>0</v>
      </c>
      <c r="J32" s="190">
        <v>0</v>
      </c>
    </row>
    <row r="33" spans="1:10" ht="12.75" customHeight="1">
      <c r="A33" s="191" t="s">
        <v>183</v>
      </c>
      <c r="B33" s="190">
        <v>0.1</v>
      </c>
      <c r="C33" s="190">
        <v>0.8</v>
      </c>
      <c r="D33" s="190">
        <v>0.3</v>
      </c>
      <c r="E33" s="190">
        <v>0.1</v>
      </c>
      <c r="F33" s="190">
        <v>0</v>
      </c>
      <c r="G33" s="190">
        <v>0</v>
      </c>
      <c r="H33" s="190">
        <v>0</v>
      </c>
      <c r="I33" s="190">
        <v>0</v>
      </c>
      <c r="J33" s="190">
        <v>0</v>
      </c>
    </row>
    <row r="34" spans="1:10" ht="12.75" customHeight="1">
      <c r="A34" s="191" t="s">
        <v>101</v>
      </c>
      <c r="B34" s="190">
        <v>0</v>
      </c>
      <c r="C34" s="190">
        <v>0</v>
      </c>
      <c r="D34" s="190">
        <v>0</v>
      </c>
      <c r="E34" s="190">
        <v>0</v>
      </c>
      <c r="F34" s="190">
        <v>0</v>
      </c>
      <c r="G34" s="190">
        <v>0</v>
      </c>
      <c r="H34" s="190">
        <v>0</v>
      </c>
      <c r="I34" s="190">
        <v>-1</v>
      </c>
      <c r="J34" s="190">
        <v>0</v>
      </c>
    </row>
    <row r="35" spans="1:10" ht="12.75" customHeight="1">
      <c r="A35" s="191" t="s">
        <v>165</v>
      </c>
      <c r="B35" s="190">
        <v>0.1</v>
      </c>
      <c r="C35" s="190">
        <v>0.1</v>
      </c>
      <c r="D35" s="190">
        <v>0</v>
      </c>
      <c r="E35" s="190">
        <v>0.2</v>
      </c>
      <c r="F35" s="190">
        <v>-0.1</v>
      </c>
      <c r="G35" s="190">
        <v>-0.3</v>
      </c>
      <c r="H35" s="190">
        <v>-0.2</v>
      </c>
      <c r="I35" s="190">
        <v>-0.2</v>
      </c>
      <c r="J35" s="190">
        <v>-0.1</v>
      </c>
    </row>
    <row r="36" spans="1:10" ht="12.75" customHeight="1">
      <c r="A36" s="192" t="s">
        <v>18</v>
      </c>
      <c r="B36" s="193">
        <v>-0.1</v>
      </c>
      <c r="C36" s="193">
        <v>-0.1</v>
      </c>
      <c r="D36" s="193">
        <v>0.4</v>
      </c>
      <c r="E36" s="193">
        <v>0.9</v>
      </c>
      <c r="F36" s="193">
        <v>1.2</v>
      </c>
      <c r="G36" s="193">
        <v>0.9</v>
      </c>
      <c r="H36" s="193">
        <v>0.7</v>
      </c>
      <c r="I36" s="193">
        <v>-0.7</v>
      </c>
      <c r="J36" s="193">
        <v>0.3</v>
      </c>
    </row>
    <row r="37" spans="1:10" ht="12.75" customHeight="1">
      <c r="A37" s="189" t="s">
        <v>19</v>
      </c>
      <c r="B37" s="190"/>
      <c r="C37" s="190"/>
      <c r="D37" s="190"/>
      <c r="E37" s="190"/>
      <c r="F37" s="190"/>
      <c r="G37" s="190"/>
      <c r="H37" s="190"/>
      <c r="I37" s="190"/>
      <c r="J37" s="190"/>
    </row>
    <row r="38" spans="1:10" ht="12.75" customHeight="1">
      <c r="A38" s="191" t="s">
        <v>174</v>
      </c>
      <c r="B38" s="190">
        <v>-4.0999999999999996</v>
      </c>
      <c r="C38" s="190">
        <v>-1.6</v>
      </c>
      <c r="D38" s="190">
        <v>-19.3</v>
      </c>
      <c r="E38" s="190">
        <v>-3.8</v>
      </c>
      <c r="F38" s="190">
        <v>8.4</v>
      </c>
      <c r="G38" s="190">
        <v>-4</v>
      </c>
      <c r="H38" s="190">
        <v>-4.0999999999999996</v>
      </c>
      <c r="I38" s="190">
        <v>-4</v>
      </c>
      <c r="J38" s="190">
        <v>-4.2</v>
      </c>
    </row>
    <row r="39" spans="1:10" ht="12.75" customHeight="1">
      <c r="A39" s="191" t="s">
        <v>184</v>
      </c>
      <c r="B39" s="190">
        <v>-0.4</v>
      </c>
      <c r="C39" s="190">
        <v>-0.4</v>
      </c>
      <c r="D39" s="190">
        <v>-0.5</v>
      </c>
      <c r="E39" s="190">
        <v>-0.5</v>
      </c>
      <c r="F39" s="190">
        <v>-0.6</v>
      </c>
      <c r="G39" s="190">
        <v>-0.4</v>
      </c>
      <c r="H39" s="190">
        <v>-0.4</v>
      </c>
      <c r="I39" s="190">
        <v>-0.4</v>
      </c>
      <c r="J39" s="190">
        <v>-0.4</v>
      </c>
    </row>
    <row r="40" spans="1:10" ht="12.75" customHeight="1">
      <c r="A40" s="191" t="s">
        <v>177</v>
      </c>
      <c r="B40" s="190">
        <v>0.5</v>
      </c>
      <c r="C40" s="190">
        <v>0.1</v>
      </c>
      <c r="D40" s="190">
        <v>0.5</v>
      </c>
      <c r="E40" s="190">
        <v>0.1</v>
      </c>
      <c r="F40" s="190">
        <v>0</v>
      </c>
      <c r="G40" s="190">
        <v>0.1</v>
      </c>
      <c r="H40" s="190">
        <v>0.1</v>
      </c>
      <c r="I40" s="190">
        <v>0.1</v>
      </c>
      <c r="J40" s="190">
        <v>0.1</v>
      </c>
    </row>
    <row r="41" spans="1:10" ht="12.75" customHeight="1">
      <c r="A41" s="191" t="s">
        <v>185</v>
      </c>
      <c r="B41" s="190">
        <v>-6.6</v>
      </c>
      <c r="C41" s="190">
        <v>-11.5</v>
      </c>
      <c r="D41" s="190">
        <v>-28.9</v>
      </c>
      <c r="E41" s="190">
        <v>23.7</v>
      </c>
      <c r="F41" s="190">
        <v>-6.9</v>
      </c>
      <c r="G41" s="190">
        <v>-3.1</v>
      </c>
      <c r="H41" s="190">
        <v>-3.2</v>
      </c>
      <c r="I41" s="190">
        <v>-3.3</v>
      </c>
      <c r="J41" s="190">
        <v>-3.3</v>
      </c>
    </row>
    <row r="42" spans="1:10" ht="12.75" customHeight="1">
      <c r="A42" s="191" t="s">
        <v>179</v>
      </c>
      <c r="B42" s="190">
        <v>-21.1</v>
      </c>
      <c r="C42" s="190">
        <v>-24.5</v>
      </c>
      <c r="D42" s="190">
        <v>-24.8</v>
      </c>
      <c r="E42" s="190">
        <v>-22.1</v>
      </c>
      <c r="F42" s="190">
        <v>53.5</v>
      </c>
      <c r="G42" s="190">
        <v>-26.9</v>
      </c>
      <c r="H42" s="190">
        <v>-27.5</v>
      </c>
      <c r="I42" s="190">
        <v>-23.1</v>
      </c>
      <c r="J42" s="190">
        <v>-23.7</v>
      </c>
    </row>
    <row r="43" spans="1:10" ht="12.75" customHeight="1">
      <c r="A43" s="191" t="s">
        <v>186</v>
      </c>
      <c r="B43" s="190">
        <v>-29.5</v>
      </c>
      <c r="C43" s="190">
        <v>-32.799999999999997</v>
      </c>
      <c r="D43" s="190">
        <v>-36.5</v>
      </c>
      <c r="E43" s="190">
        <v>-39.200000000000003</v>
      </c>
      <c r="F43" s="190">
        <v>-38</v>
      </c>
      <c r="G43" s="190">
        <v>-43.6</v>
      </c>
      <c r="H43" s="190">
        <v>-45.6</v>
      </c>
      <c r="I43" s="190">
        <v>-39.9</v>
      </c>
      <c r="J43" s="190">
        <v>-42</v>
      </c>
    </row>
    <row r="44" spans="1:10" ht="12.75" customHeight="1">
      <c r="A44" s="191" t="s">
        <v>187</v>
      </c>
      <c r="B44" s="190">
        <v>18.899999999999999</v>
      </c>
      <c r="C44" s="190">
        <v>21.3</v>
      </c>
      <c r="D44" s="190">
        <v>22.5</v>
      </c>
      <c r="E44" s="190">
        <v>24.3</v>
      </c>
      <c r="F44" s="190">
        <v>25.8</v>
      </c>
      <c r="G44" s="190">
        <v>27.3</v>
      </c>
      <c r="H44" s="190">
        <v>28.8</v>
      </c>
      <c r="I44" s="190">
        <v>30.1</v>
      </c>
      <c r="J44" s="190">
        <v>31.6</v>
      </c>
    </row>
    <row r="45" spans="1:10" ht="12.75" customHeight="1">
      <c r="A45" s="191" t="s">
        <v>176</v>
      </c>
      <c r="B45" s="190">
        <v>0.2</v>
      </c>
      <c r="C45" s="190">
        <v>0.2</v>
      </c>
      <c r="D45" s="190">
        <v>0.5</v>
      </c>
      <c r="E45" s="190">
        <v>0.2</v>
      </c>
      <c r="F45" s="190">
        <v>0.2</v>
      </c>
      <c r="G45" s="190">
        <v>0.3</v>
      </c>
      <c r="H45" s="190">
        <v>0.2</v>
      </c>
      <c r="I45" s="190">
        <v>0.2</v>
      </c>
      <c r="J45" s="190">
        <v>0.2</v>
      </c>
    </row>
    <row r="46" spans="1:10" ht="12.75" customHeight="1">
      <c r="A46" s="191" t="s">
        <v>183</v>
      </c>
      <c r="B46" s="190">
        <v>0</v>
      </c>
      <c r="C46" s="190">
        <v>0.7</v>
      </c>
      <c r="D46" s="190">
        <v>0</v>
      </c>
      <c r="E46" s="190">
        <v>0</v>
      </c>
      <c r="F46" s="190">
        <v>0</v>
      </c>
      <c r="G46" s="190">
        <v>0</v>
      </c>
      <c r="H46" s="190">
        <v>0</v>
      </c>
      <c r="I46" s="190">
        <v>0</v>
      </c>
      <c r="J46" s="190">
        <v>0</v>
      </c>
    </row>
    <row r="47" spans="1:10" ht="12.75" customHeight="1">
      <c r="A47" s="191" t="s">
        <v>188</v>
      </c>
      <c r="B47" s="190">
        <v>0</v>
      </c>
      <c r="C47" s="190">
        <v>0</v>
      </c>
      <c r="D47" s="190">
        <v>0</v>
      </c>
      <c r="E47" s="190">
        <v>3.2</v>
      </c>
      <c r="F47" s="190">
        <v>0</v>
      </c>
      <c r="G47" s="190">
        <v>0</v>
      </c>
      <c r="H47" s="190">
        <v>0</v>
      </c>
      <c r="I47" s="190">
        <v>0</v>
      </c>
      <c r="J47" s="190">
        <v>0</v>
      </c>
    </row>
    <row r="48" spans="1:10" ht="12.75" customHeight="1">
      <c r="A48" s="191" t="s">
        <v>189</v>
      </c>
      <c r="B48" s="190">
        <v>0</v>
      </c>
      <c r="C48" s="190">
        <v>0</v>
      </c>
      <c r="D48" s="190">
        <v>0</v>
      </c>
      <c r="E48" s="190">
        <v>0</v>
      </c>
      <c r="F48" s="190">
        <v>0</v>
      </c>
      <c r="G48" s="190">
        <v>1.7</v>
      </c>
      <c r="H48" s="190">
        <v>2.2000000000000002</v>
      </c>
      <c r="I48" s="190">
        <v>2.6</v>
      </c>
      <c r="J48" s="190">
        <v>3.2</v>
      </c>
    </row>
    <row r="49" spans="1:10" ht="12.75" customHeight="1">
      <c r="A49" s="191" t="s">
        <v>190</v>
      </c>
      <c r="B49" s="190">
        <v>0</v>
      </c>
      <c r="C49" s="190">
        <v>0</v>
      </c>
      <c r="D49" s="190">
        <v>0</v>
      </c>
      <c r="E49" s="190">
        <v>0</v>
      </c>
      <c r="F49" s="190">
        <v>0</v>
      </c>
      <c r="G49" s="190">
        <v>0.3</v>
      </c>
      <c r="H49" s="190">
        <v>0.4</v>
      </c>
      <c r="I49" s="190">
        <v>0.6</v>
      </c>
      <c r="J49" s="190">
        <v>0.7</v>
      </c>
    </row>
    <row r="50" spans="1:10" ht="12.75" customHeight="1">
      <c r="A50" s="191" t="s">
        <v>191</v>
      </c>
      <c r="B50" s="190">
        <v>-4.5999999999999996</v>
      </c>
      <c r="C50" s="190">
        <v>-4.7</v>
      </c>
      <c r="D50" s="190">
        <v>-5.6</v>
      </c>
      <c r="E50" s="190">
        <v>-5.6</v>
      </c>
      <c r="F50" s="190">
        <v>-5.6</v>
      </c>
      <c r="G50" s="190">
        <v>-4.7</v>
      </c>
      <c r="H50" s="190">
        <v>-4.3</v>
      </c>
      <c r="I50" s="190">
        <v>-4.2</v>
      </c>
      <c r="J50" s="190">
        <v>-4.2</v>
      </c>
    </row>
    <row r="51" spans="1:10" ht="12.75" customHeight="1">
      <c r="A51" s="191" t="s">
        <v>165</v>
      </c>
      <c r="B51" s="190">
        <v>-0.2</v>
      </c>
      <c r="C51" s="190">
        <v>-0.2</v>
      </c>
      <c r="D51" s="190">
        <v>-0.1</v>
      </c>
      <c r="E51" s="190">
        <v>-0.6</v>
      </c>
      <c r="F51" s="190">
        <v>1</v>
      </c>
      <c r="G51" s="190">
        <v>0.2</v>
      </c>
      <c r="H51" s="190">
        <v>0.2</v>
      </c>
      <c r="I51" s="190">
        <v>0.1</v>
      </c>
      <c r="J51" s="190">
        <v>0.2</v>
      </c>
    </row>
    <row r="52" spans="1:10" ht="12.75" customHeight="1">
      <c r="A52" s="200" t="s">
        <v>29</v>
      </c>
      <c r="B52" s="201">
        <v>-47</v>
      </c>
      <c r="C52" s="201">
        <v>-53.4</v>
      </c>
      <c r="D52" s="201">
        <v>-92.4</v>
      </c>
      <c r="E52" s="201">
        <v>-20.399999999999999</v>
      </c>
      <c r="F52" s="201">
        <v>38</v>
      </c>
      <c r="G52" s="201">
        <v>-52.8</v>
      </c>
      <c r="H52" s="201">
        <v>-53.2</v>
      </c>
      <c r="I52" s="201">
        <v>-41.3</v>
      </c>
      <c r="J52" s="201">
        <v>-41.8</v>
      </c>
    </row>
    <row r="53" spans="1:10" ht="12.75" customHeight="1">
      <c r="A53" s="192" t="s">
        <v>192</v>
      </c>
      <c r="B53" s="193">
        <v>-47.1</v>
      </c>
      <c r="C53" s="193">
        <v>-53.4</v>
      </c>
      <c r="D53" s="193">
        <v>-91.9</v>
      </c>
      <c r="E53" s="193">
        <v>-19.5</v>
      </c>
      <c r="F53" s="193">
        <v>39.200000000000003</v>
      </c>
      <c r="G53" s="193">
        <v>-51.9</v>
      </c>
      <c r="H53" s="193">
        <v>-52.5</v>
      </c>
      <c r="I53" s="193">
        <v>-41.9</v>
      </c>
      <c r="J53" s="193">
        <v>-41.5</v>
      </c>
    </row>
    <row r="54" spans="1:10" ht="12.75" customHeight="1">
      <c r="A54" s="202" t="s">
        <v>193</v>
      </c>
      <c r="B54" s="186"/>
      <c r="C54" s="186"/>
      <c r="D54" s="186"/>
      <c r="E54" s="186"/>
      <c r="F54" s="186"/>
      <c r="G54" s="186"/>
      <c r="H54" s="186"/>
      <c r="I54" s="186"/>
      <c r="J54" s="186"/>
    </row>
    <row r="55" spans="1:10" ht="12.75" customHeight="1">
      <c r="A55" s="186" t="s">
        <v>194</v>
      </c>
      <c r="B55" s="190">
        <v>14.5</v>
      </c>
      <c r="C55" s="190">
        <v>12.4</v>
      </c>
      <c r="D55" s="190">
        <v>14.9</v>
      </c>
      <c r="E55" s="190">
        <v>13.3</v>
      </c>
      <c r="F55" s="190">
        <v>14.4</v>
      </c>
      <c r="G55" s="190">
        <v>16.2</v>
      </c>
      <c r="H55" s="190">
        <v>17.5</v>
      </c>
      <c r="I55" s="190">
        <v>18.3</v>
      </c>
      <c r="J55" s="190">
        <v>18.100000000000001</v>
      </c>
    </row>
    <row r="56" spans="1:10" ht="12.75" customHeight="1">
      <c r="A56" s="203" t="s">
        <v>195</v>
      </c>
      <c r="B56" s="254">
        <v>3.9</v>
      </c>
      <c r="C56" s="254">
        <v>3.7</v>
      </c>
      <c r="D56" s="254">
        <v>3.9</v>
      </c>
      <c r="E56" s="254">
        <v>3.7</v>
      </c>
      <c r="F56" s="254">
        <v>4.8</v>
      </c>
      <c r="G56" s="254">
        <v>5.6</v>
      </c>
      <c r="H56" s="254">
        <v>5.8</v>
      </c>
      <c r="I56" s="254">
        <v>5.9</v>
      </c>
      <c r="J56" s="254">
        <v>6</v>
      </c>
    </row>
    <row r="57" spans="1:10" ht="12.75" customHeight="1">
      <c r="A57" s="203" t="s">
        <v>196</v>
      </c>
      <c r="B57" s="254">
        <v>6.5</v>
      </c>
      <c r="C57" s="254">
        <v>5.0999999999999996</v>
      </c>
      <c r="D57" s="254">
        <v>5.7</v>
      </c>
      <c r="E57" s="254">
        <v>5.3</v>
      </c>
      <c r="F57" s="254">
        <v>5.4</v>
      </c>
      <c r="G57" s="254">
        <v>6.4</v>
      </c>
      <c r="H57" s="254">
        <v>5.8</v>
      </c>
      <c r="I57" s="254">
        <v>5.7</v>
      </c>
      <c r="J57" s="254">
        <v>5.2</v>
      </c>
    </row>
    <row r="58" spans="1:10" ht="12.75" customHeight="1">
      <c r="A58" s="203" t="s">
        <v>197</v>
      </c>
      <c r="B58" s="254">
        <v>-0.6</v>
      </c>
      <c r="C58" s="254">
        <v>-0.6</v>
      </c>
      <c r="D58" s="254">
        <v>-0.7</v>
      </c>
      <c r="E58" s="254">
        <v>-0.7</v>
      </c>
      <c r="F58" s="254">
        <v>-0.6</v>
      </c>
      <c r="G58" s="254">
        <v>-0.6</v>
      </c>
      <c r="H58" s="254">
        <v>-0.6</v>
      </c>
      <c r="I58" s="254">
        <v>-0.7</v>
      </c>
      <c r="J58" s="254">
        <v>-0.7</v>
      </c>
    </row>
    <row r="59" spans="1:10" ht="12.75" customHeight="1">
      <c r="A59" s="203" t="s">
        <v>198</v>
      </c>
      <c r="B59" s="254">
        <v>6</v>
      </c>
      <c r="C59" s="254">
        <v>6.2</v>
      </c>
      <c r="D59" s="254">
        <v>6.5</v>
      </c>
      <c r="E59" s="254">
        <v>6.7</v>
      </c>
      <c r="F59" s="254">
        <v>7.2</v>
      </c>
      <c r="G59" s="254">
        <v>7.6</v>
      </c>
      <c r="H59" s="254">
        <v>8</v>
      </c>
      <c r="I59" s="254">
        <v>8.4</v>
      </c>
      <c r="J59" s="254">
        <v>8.8000000000000007</v>
      </c>
    </row>
    <row r="60" spans="1:10" ht="12.75" customHeight="1">
      <c r="A60" s="203" t="s">
        <v>199</v>
      </c>
      <c r="B60" s="254">
        <v>-1.3</v>
      </c>
      <c r="C60" s="254">
        <v>-2</v>
      </c>
      <c r="D60" s="254">
        <v>-0.6</v>
      </c>
      <c r="E60" s="254">
        <v>-1.8</v>
      </c>
      <c r="F60" s="254">
        <v>-2.4</v>
      </c>
      <c r="G60" s="254">
        <v>-2.8</v>
      </c>
      <c r="H60" s="254">
        <v>-1.4</v>
      </c>
      <c r="I60" s="254">
        <v>-1.1000000000000001</v>
      </c>
      <c r="J60" s="254">
        <v>-1.1000000000000001</v>
      </c>
    </row>
    <row r="61" spans="1:10" ht="12.75" customHeight="1">
      <c r="A61" s="186" t="s">
        <v>200</v>
      </c>
      <c r="B61" s="190">
        <v>105.2</v>
      </c>
      <c r="C61" s="190">
        <v>6.8</v>
      </c>
      <c r="D61" s="190">
        <v>7</v>
      </c>
      <c r="E61" s="190">
        <v>7.5</v>
      </c>
      <c r="F61" s="190">
        <v>8</v>
      </c>
      <c r="G61" s="190">
        <v>8.1</v>
      </c>
      <c r="H61" s="190">
        <v>7.2</v>
      </c>
      <c r="I61" s="190">
        <v>6.2</v>
      </c>
      <c r="J61" s="190">
        <v>5.9</v>
      </c>
    </row>
    <row r="62" spans="1:10" ht="12.75" customHeight="1">
      <c r="A62" s="203" t="s">
        <v>201</v>
      </c>
      <c r="B62" s="254">
        <v>106.1</v>
      </c>
      <c r="C62" s="254">
        <v>6.4</v>
      </c>
      <c r="D62" s="254">
        <v>6.9</v>
      </c>
      <c r="E62" s="254">
        <v>7.4</v>
      </c>
      <c r="F62" s="254">
        <v>7.5</v>
      </c>
      <c r="G62" s="254">
        <v>7.4</v>
      </c>
      <c r="H62" s="254">
        <v>7.5</v>
      </c>
      <c r="I62" s="254">
        <v>7.6</v>
      </c>
      <c r="J62" s="254">
        <v>7.7</v>
      </c>
    </row>
    <row r="63" spans="1:10" ht="12.75" customHeight="1">
      <c r="A63" s="203" t="s">
        <v>202</v>
      </c>
      <c r="B63" s="254">
        <v>0</v>
      </c>
      <c r="C63" s="254">
        <v>0</v>
      </c>
      <c r="D63" s="254">
        <v>0</v>
      </c>
      <c r="E63" s="254">
        <v>0</v>
      </c>
      <c r="F63" s="254">
        <v>0</v>
      </c>
      <c r="G63" s="254">
        <v>0</v>
      </c>
      <c r="H63" s="254">
        <v>-1.1000000000000001</v>
      </c>
      <c r="I63" s="254">
        <v>-2.1</v>
      </c>
      <c r="J63" s="254">
        <v>-2.6</v>
      </c>
    </row>
    <row r="64" spans="1:10" ht="12.75" customHeight="1">
      <c r="A64" s="203" t="s">
        <v>199</v>
      </c>
      <c r="B64" s="254">
        <v>-0.9</v>
      </c>
      <c r="C64" s="254">
        <v>0.3</v>
      </c>
      <c r="D64" s="254">
        <v>0.1</v>
      </c>
      <c r="E64" s="254">
        <v>0.1</v>
      </c>
      <c r="F64" s="254">
        <v>0.5</v>
      </c>
      <c r="G64" s="254">
        <v>0.6</v>
      </c>
      <c r="H64" s="254">
        <v>0.7</v>
      </c>
      <c r="I64" s="254">
        <v>0.7</v>
      </c>
      <c r="J64" s="254">
        <v>0.8</v>
      </c>
    </row>
    <row r="65" spans="1:10" ht="12.75" customHeight="1">
      <c r="A65" s="186" t="s">
        <v>203</v>
      </c>
      <c r="B65" s="190">
        <v>3.6</v>
      </c>
      <c r="C65" s="190">
        <v>2.2999999999999998</v>
      </c>
      <c r="D65" s="190">
        <v>3.1</v>
      </c>
      <c r="E65" s="190">
        <v>3.5</v>
      </c>
      <c r="F65" s="190">
        <v>3</v>
      </c>
      <c r="G65" s="190">
        <v>3.7</v>
      </c>
      <c r="H65" s="190">
        <v>3.8</v>
      </c>
      <c r="I65" s="190">
        <v>3.8</v>
      </c>
      <c r="J65" s="190">
        <v>3.9</v>
      </c>
    </row>
    <row r="66" spans="1:10" ht="12.75" customHeight="1">
      <c r="A66" s="203" t="s">
        <v>204</v>
      </c>
      <c r="B66" s="254">
        <v>-0.7</v>
      </c>
      <c r="C66" s="254">
        <v>-0.7</v>
      </c>
      <c r="D66" s="254">
        <v>-0.8</v>
      </c>
      <c r="E66" s="254">
        <v>-0.8</v>
      </c>
      <c r="F66" s="254">
        <v>-0.9</v>
      </c>
      <c r="G66" s="254">
        <v>-1</v>
      </c>
      <c r="H66" s="254">
        <v>-0.9</v>
      </c>
      <c r="I66" s="254">
        <v>-0.9</v>
      </c>
      <c r="J66" s="254">
        <v>-0.9</v>
      </c>
    </row>
    <row r="67" spans="1:10" ht="12.75" customHeight="1">
      <c r="A67" s="203" t="s">
        <v>205</v>
      </c>
      <c r="B67" s="254">
        <v>-0.4</v>
      </c>
      <c r="C67" s="254">
        <v>-0.5</v>
      </c>
      <c r="D67" s="254">
        <v>-0.5</v>
      </c>
      <c r="E67" s="254">
        <v>-0.5</v>
      </c>
      <c r="F67" s="254">
        <v>0</v>
      </c>
      <c r="G67" s="254">
        <v>0</v>
      </c>
      <c r="H67" s="254">
        <v>0</v>
      </c>
      <c r="I67" s="254">
        <v>0</v>
      </c>
      <c r="J67" s="254">
        <v>0</v>
      </c>
    </row>
    <row r="68" spans="1:10" ht="12.75" customHeight="1">
      <c r="A68" s="203" t="s">
        <v>206</v>
      </c>
      <c r="B68" s="254">
        <v>4.5</v>
      </c>
      <c r="C68" s="254">
        <v>3.9</v>
      </c>
      <c r="D68" s="254">
        <v>3.9</v>
      </c>
      <c r="E68" s="254">
        <v>5</v>
      </c>
      <c r="F68" s="254">
        <v>4.2</v>
      </c>
      <c r="G68" s="254">
        <v>4.9000000000000004</v>
      </c>
      <c r="H68" s="254">
        <v>4.9000000000000004</v>
      </c>
      <c r="I68" s="254">
        <v>4.9000000000000004</v>
      </c>
      <c r="J68" s="254">
        <v>4.9000000000000004</v>
      </c>
    </row>
    <row r="69" spans="1:10" ht="12.75" customHeight="1">
      <c r="A69" s="203" t="s">
        <v>199</v>
      </c>
      <c r="B69" s="254">
        <v>0.2</v>
      </c>
      <c r="C69" s="254">
        <v>-0.5</v>
      </c>
      <c r="D69" s="254">
        <v>0.5</v>
      </c>
      <c r="E69" s="254">
        <v>-0.1</v>
      </c>
      <c r="F69" s="254">
        <v>-0.3</v>
      </c>
      <c r="G69" s="254">
        <v>-0.2</v>
      </c>
      <c r="H69" s="254">
        <v>-0.2</v>
      </c>
      <c r="I69" s="254">
        <v>-0.2</v>
      </c>
      <c r="J69" s="254">
        <v>-0.2</v>
      </c>
    </row>
    <row r="70" spans="1:10" ht="12.75" customHeight="1">
      <c r="A70" s="186" t="s">
        <v>207</v>
      </c>
      <c r="B70" s="190">
        <v>-106.2</v>
      </c>
      <c r="C70" s="190">
        <v>-7.1</v>
      </c>
      <c r="D70" s="190">
        <v>-8.6</v>
      </c>
      <c r="E70" s="190">
        <v>-9.1</v>
      </c>
      <c r="F70" s="190">
        <v>-7.4</v>
      </c>
      <c r="G70" s="190">
        <v>-7.6</v>
      </c>
      <c r="H70" s="190">
        <v>-7.7</v>
      </c>
      <c r="I70" s="190">
        <v>-7.7</v>
      </c>
      <c r="J70" s="190">
        <v>-7.8</v>
      </c>
    </row>
    <row r="71" spans="1:10" ht="12.75" customHeight="1">
      <c r="A71" s="203" t="s">
        <v>208</v>
      </c>
      <c r="B71" s="254">
        <v>-106.1</v>
      </c>
      <c r="C71" s="254">
        <v>-6.4</v>
      </c>
      <c r="D71" s="254">
        <v>-6.9</v>
      </c>
      <c r="E71" s="254">
        <v>-7.4</v>
      </c>
      <c r="F71" s="254">
        <v>-7.5</v>
      </c>
      <c r="G71" s="254">
        <v>-7.4</v>
      </c>
      <c r="H71" s="254">
        <v>-7.5</v>
      </c>
      <c r="I71" s="254">
        <v>-7.6</v>
      </c>
      <c r="J71" s="254">
        <v>-7.7</v>
      </c>
    </row>
    <row r="72" spans="1:10" ht="12.75" customHeight="1">
      <c r="A72" s="203" t="s">
        <v>199</v>
      </c>
      <c r="B72" s="254">
        <v>0</v>
      </c>
      <c r="C72" s="254">
        <v>-0.7</v>
      </c>
      <c r="D72" s="254">
        <v>-1.7</v>
      </c>
      <c r="E72" s="254">
        <v>-1.7</v>
      </c>
      <c r="F72" s="254">
        <v>0.1</v>
      </c>
      <c r="G72" s="254">
        <v>-0.2</v>
      </c>
      <c r="H72" s="254">
        <v>-0.1</v>
      </c>
      <c r="I72" s="254">
        <v>-0.1</v>
      </c>
      <c r="J72" s="254">
        <v>-0.1</v>
      </c>
    </row>
    <row r="73" spans="1:10" ht="12.75" customHeight="1">
      <c r="A73" s="186" t="s">
        <v>209</v>
      </c>
      <c r="B73" s="190">
        <v>-1.2</v>
      </c>
      <c r="C73" s="190">
        <v>-0.1</v>
      </c>
      <c r="D73" s="190">
        <v>-1</v>
      </c>
      <c r="E73" s="190">
        <v>-0.7</v>
      </c>
      <c r="F73" s="190">
        <v>-0.9</v>
      </c>
      <c r="G73" s="190">
        <v>-1.2</v>
      </c>
      <c r="H73" s="190">
        <v>-0.7</v>
      </c>
      <c r="I73" s="190">
        <v>-0.1</v>
      </c>
      <c r="J73" s="190">
        <v>0.5</v>
      </c>
    </row>
    <row r="74" spans="1:10" ht="12.75" customHeight="1">
      <c r="A74" s="203" t="s">
        <v>210</v>
      </c>
      <c r="B74" s="254">
        <v>0.5</v>
      </c>
      <c r="C74" s="254">
        <v>0.5</v>
      </c>
      <c r="D74" s="254">
        <v>0.5</v>
      </c>
      <c r="E74" s="254">
        <v>0.5</v>
      </c>
      <c r="F74" s="254">
        <v>0.5</v>
      </c>
      <c r="G74" s="254">
        <v>0.7</v>
      </c>
      <c r="H74" s="254">
        <v>0.9</v>
      </c>
      <c r="I74" s="254">
        <v>1.3</v>
      </c>
      <c r="J74" s="254">
        <v>1.6</v>
      </c>
    </row>
    <row r="75" spans="1:10" ht="12.75" customHeight="1">
      <c r="A75" s="203" t="s">
        <v>211</v>
      </c>
      <c r="B75" s="254">
        <v>0</v>
      </c>
      <c r="C75" s="254">
        <v>0</v>
      </c>
      <c r="D75" s="254">
        <v>0</v>
      </c>
      <c r="E75" s="254">
        <v>0</v>
      </c>
      <c r="F75" s="254">
        <v>0</v>
      </c>
      <c r="G75" s="254">
        <v>0.1</v>
      </c>
      <c r="H75" s="254">
        <v>0.3</v>
      </c>
      <c r="I75" s="254">
        <v>0.5</v>
      </c>
      <c r="J75" s="254">
        <v>0.8</v>
      </c>
    </row>
    <row r="76" spans="1:10" ht="12.75" customHeight="1">
      <c r="A76" s="203" t="s">
        <v>212</v>
      </c>
      <c r="B76" s="254">
        <v>0.7</v>
      </c>
      <c r="C76" s="254">
        <v>0.8</v>
      </c>
      <c r="D76" s="254">
        <v>0.9</v>
      </c>
      <c r="E76" s="254">
        <v>1</v>
      </c>
      <c r="F76" s="254">
        <v>0.9</v>
      </c>
      <c r="G76" s="254">
        <v>0.9</v>
      </c>
      <c r="H76" s="254">
        <v>0.9</v>
      </c>
      <c r="I76" s="254">
        <v>0.9</v>
      </c>
      <c r="J76" s="254">
        <v>0.9</v>
      </c>
    </row>
    <row r="77" spans="1:10" ht="12.75" customHeight="1">
      <c r="A77" s="203" t="s">
        <v>199</v>
      </c>
      <c r="B77" s="254">
        <v>-2.2999999999999998</v>
      </c>
      <c r="C77" s="254">
        <v>-1.3</v>
      </c>
      <c r="D77" s="254">
        <v>-2.4</v>
      </c>
      <c r="E77" s="254">
        <v>-2.2000000000000002</v>
      </c>
      <c r="F77" s="254">
        <v>-2.4</v>
      </c>
      <c r="G77" s="254">
        <v>-2.9</v>
      </c>
      <c r="H77" s="254">
        <v>-2.8</v>
      </c>
      <c r="I77" s="254">
        <v>-2.8</v>
      </c>
      <c r="J77" s="254">
        <v>-2.8</v>
      </c>
    </row>
    <row r="78" spans="1:10" ht="12.75" customHeight="1">
      <c r="A78" s="194" t="s">
        <v>213</v>
      </c>
      <c r="B78" s="193">
        <v>15.9</v>
      </c>
      <c r="C78" s="193">
        <v>14.3</v>
      </c>
      <c r="D78" s="193">
        <v>15.4</v>
      </c>
      <c r="E78" s="193">
        <v>14.5</v>
      </c>
      <c r="F78" s="193">
        <v>17</v>
      </c>
      <c r="G78" s="193">
        <v>19.100000000000001</v>
      </c>
      <c r="H78" s="193">
        <v>20.100000000000001</v>
      </c>
      <c r="I78" s="193">
        <v>20.5</v>
      </c>
      <c r="J78" s="193">
        <v>20.6</v>
      </c>
    </row>
    <row r="79" spans="1:10" ht="12.75" customHeight="1">
      <c r="A79" s="202" t="s">
        <v>214</v>
      </c>
      <c r="B79" s="186"/>
      <c r="C79" s="186"/>
      <c r="D79" s="186"/>
      <c r="E79" s="190"/>
      <c r="F79" s="190"/>
      <c r="G79" s="190"/>
      <c r="H79" s="190"/>
      <c r="I79" s="190"/>
      <c r="J79" s="190"/>
    </row>
    <row r="80" spans="1:10" ht="12.75" customHeight="1">
      <c r="A80" s="186" t="s">
        <v>215</v>
      </c>
      <c r="B80" s="190">
        <v>-4.2</v>
      </c>
      <c r="C80" s="190">
        <v>-4.2</v>
      </c>
      <c r="D80" s="190">
        <v>-4.7</v>
      </c>
      <c r="E80" s="190">
        <v>-4.0999999999999996</v>
      </c>
      <c r="F80" s="190">
        <v>-4.2</v>
      </c>
      <c r="G80" s="190">
        <v>-4</v>
      </c>
      <c r="H80" s="190">
        <v>-4.8</v>
      </c>
      <c r="I80" s="190">
        <v>-4.5999999999999996</v>
      </c>
      <c r="J80" s="190">
        <v>-4.5999999999999996</v>
      </c>
    </row>
    <row r="81" spans="1:10" ht="12.75" customHeight="1">
      <c r="A81" s="203" t="s">
        <v>216</v>
      </c>
      <c r="B81" s="254">
        <v>-0.5</v>
      </c>
      <c r="C81" s="254">
        <v>-0.5</v>
      </c>
      <c r="D81" s="254">
        <v>-0.6</v>
      </c>
      <c r="E81" s="254">
        <v>-0.5</v>
      </c>
      <c r="F81" s="254">
        <v>-0.6</v>
      </c>
      <c r="G81" s="254">
        <v>-0.6</v>
      </c>
      <c r="H81" s="254">
        <v>-0.6</v>
      </c>
      <c r="I81" s="254">
        <v>-0.6</v>
      </c>
      <c r="J81" s="254">
        <v>-0.7</v>
      </c>
    </row>
    <row r="82" spans="1:10" ht="12.75" customHeight="1">
      <c r="A82" s="203" t="s">
        <v>217</v>
      </c>
      <c r="B82" s="254">
        <v>-0.5</v>
      </c>
      <c r="C82" s="254">
        <v>-0.5</v>
      </c>
      <c r="D82" s="254">
        <v>-0.6</v>
      </c>
      <c r="E82" s="254">
        <v>-0.5</v>
      </c>
      <c r="F82" s="254">
        <v>-0.5</v>
      </c>
      <c r="G82" s="254">
        <v>-0.4</v>
      </c>
      <c r="H82" s="254">
        <v>-0.4</v>
      </c>
      <c r="I82" s="254">
        <v>-0.3</v>
      </c>
      <c r="J82" s="254">
        <v>-0.3</v>
      </c>
    </row>
    <row r="83" spans="1:10" ht="12.75" customHeight="1">
      <c r="A83" s="203" t="s">
        <v>218</v>
      </c>
      <c r="B83" s="254">
        <v>-3</v>
      </c>
      <c r="C83" s="254">
        <v>-3.1</v>
      </c>
      <c r="D83" s="254">
        <v>-3.2</v>
      </c>
      <c r="E83" s="254">
        <v>-2.9</v>
      </c>
      <c r="F83" s="254">
        <v>-2.9</v>
      </c>
      <c r="G83" s="254">
        <v>-2.9</v>
      </c>
      <c r="H83" s="254">
        <v>-3.8</v>
      </c>
      <c r="I83" s="254">
        <v>-3.8</v>
      </c>
      <c r="J83" s="254">
        <v>-3.8</v>
      </c>
    </row>
    <row r="84" spans="1:10" ht="12.75" customHeight="1">
      <c r="A84" s="203" t="s">
        <v>199</v>
      </c>
      <c r="B84" s="254">
        <v>-0.3</v>
      </c>
      <c r="C84" s="254">
        <v>-0.1</v>
      </c>
      <c r="D84" s="254">
        <v>-0.2</v>
      </c>
      <c r="E84" s="254">
        <v>-0.1</v>
      </c>
      <c r="F84" s="254">
        <v>-0.2</v>
      </c>
      <c r="G84" s="254">
        <v>0</v>
      </c>
      <c r="H84" s="254">
        <v>0</v>
      </c>
      <c r="I84" s="254">
        <v>0.1</v>
      </c>
      <c r="J84" s="254">
        <v>0.1</v>
      </c>
    </row>
    <row r="85" spans="1:10" ht="12.75" customHeight="1">
      <c r="A85" s="186" t="s">
        <v>219</v>
      </c>
      <c r="B85" s="190">
        <v>-1.3</v>
      </c>
      <c r="C85" s="190">
        <v>-0.9</v>
      </c>
      <c r="D85" s="190">
        <v>-0.7</v>
      </c>
      <c r="E85" s="190">
        <v>-0.3</v>
      </c>
      <c r="F85" s="190">
        <v>-0.5</v>
      </c>
      <c r="G85" s="190">
        <v>-0.4</v>
      </c>
      <c r="H85" s="190">
        <v>-0.4</v>
      </c>
      <c r="I85" s="190">
        <v>-0.3</v>
      </c>
      <c r="J85" s="190">
        <v>-0.3</v>
      </c>
    </row>
    <row r="86" spans="1:10" ht="12.75" customHeight="1">
      <c r="A86" s="203" t="s">
        <v>220</v>
      </c>
      <c r="B86" s="254">
        <v>-1.4</v>
      </c>
      <c r="C86" s="254">
        <v>-1.1000000000000001</v>
      </c>
      <c r="D86" s="254">
        <v>-0.8</v>
      </c>
      <c r="E86" s="254">
        <v>0.2</v>
      </c>
      <c r="F86" s="254">
        <v>0</v>
      </c>
      <c r="G86" s="254">
        <v>0</v>
      </c>
      <c r="H86" s="254">
        <v>0</v>
      </c>
      <c r="I86" s="254">
        <v>0</v>
      </c>
      <c r="J86" s="254">
        <v>0</v>
      </c>
    </row>
    <row r="87" spans="1:10" ht="12.75" customHeight="1">
      <c r="A87" s="203" t="s">
        <v>221</v>
      </c>
      <c r="B87" s="254">
        <v>0</v>
      </c>
      <c r="C87" s="254">
        <v>0.3</v>
      </c>
      <c r="D87" s="254">
        <v>0.1</v>
      </c>
      <c r="E87" s="254">
        <v>-0.5</v>
      </c>
      <c r="F87" s="254">
        <v>-0.5</v>
      </c>
      <c r="G87" s="254">
        <v>-0.4</v>
      </c>
      <c r="H87" s="254">
        <v>-0.3</v>
      </c>
      <c r="I87" s="254">
        <v>-0.2</v>
      </c>
      <c r="J87" s="254">
        <v>-0.2</v>
      </c>
    </row>
    <row r="88" spans="1:10" ht="12.75" customHeight="1">
      <c r="A88" s="203" t="s">
        <v>199</v>
      </c>
      <c r="B88" s="254">
        <v>0</v>
      </c>
      <c r="C88" s="254">
        <v>-0.1</v>
      </c>
      <c r="D88" s="254">
        <v>0</v>
      </c>
      <c r="E88" s="254">
        <v>-0.1</v>
      </c>
      <c r="F88" s="254">
        <v>-0.1</v>
      </c>
      <c r="G88" s="254">
        <v>-0.1</v>
      </c>
      <c r="H88" s="254">
        <v>0</v>
      </c>
      <c r="I88" s="254">
        <v>0</v>
      </c>
      <c r="J88" s="254">
        <v>0</v>
      </c>
    </row>
    <row r="89" spans="1:10" ht="12.75" customHeight="1">
      <c r="A89" s="186" t="s">
        <v>194</v>
      </c>
      <c r="B89" s="190">
        <v>11.4</v>
      </c>
      <c r="C89" s="190">
        <v>12.3</v>
      </c>
      <c r="D89" s="190">
        <v>12.6</v>
      </c>
      <c r="E89" s="190">
        <v>12</v>
      </c>
      <c r="F89" s="190">
        <v>13.6</v>
      </c>
      <c r="G89" s="190">
        <v>15.1</v>
      </c>
      <c r="H89" s="190">
        <v>15.3</v>
      </c>
      <c r="I89" s="190">
        <v>15.3</v>
      </c>
      <c r="J89" s="190">
        <v>15.5</v>
      </c>
    </row>
    <row r="90" spans="1:10" ht="12.75" customHeight="1">
      <c r="A90" s="203" t="s">
        <v>195</v>
      </c>
      <c r="B90" s="254">
        <v>5.5</v>
      </c>
      <c r="C90" s="254">
        <v>6</v>
      </c>
      <c r="D90" s="254">
        <v>6.1</v>
      </c>
      <c r="E90" s="254">
        <v>5.6</v>
      </c>
      <c r="F90" s="254">
        <v>6.2</v>
      </c>
      <c r="G90" s="254">
        <v>7.4</v>
      </c>
      <c r="H90" s="254">
        <v>7.2</v>
      </c>
      <c r="I90" s="254">
        <v>7</v>
      </c>
      <c r="J90" s="254">
        <v>6.9</v>
      </c>
    </row>
    <row r="91" spans="1:10" ht="12.75" customHeight="1">
      <c r="A91" s="203" t="s">
        <v>198</v>
      </c>
      <c r="B91" s="254">
        <v>6.5</v>
      </c>
      <c r="C91" s="254">
        <v>6.8</v>
      </c>
      <c r="D91" s="254">
        <v>7.2</v>
      </c>
      <c r="E91" s="254">
        <v>7.6</v>
      </c>
      <c r="F91" s="254">
        <v>8</v>
      </c>
      <c r="G91" s="254">
        <v>8.5</v>
      </c>
      <c r="H91" s="254">
        <v>8.9</v>
      </c>
      <c r="I91" s="254">
        <v>9.1999999999999993</v>
      </c>
      <c r="J91" s="254">
        <v>9.5</v>
      </c>
    </row>
    <row r="92" spans="1:10" ht="12.75" customHeight="1">
      <c r="A92" s="203" t="s">
        <v>222</v>
      </c>
      <c r="B92" s="254">
        <v>-1.1000000000000001</v>
      </c>
      <c r="C92" s="254">
        <v>-1.1000000000000001</v>
      </c>
      <c r="D92" s="254">
        <v>-1.2</v>
      </c>
      <c r="E92" s="254">
        <v>-1.2</v>
      </c>
      <c r="F92" s="254">
        <v>-1.2</v>
      </c>
      <c r="G92" s="254">
        <v>-1.3</v>
      </c>
      <c r="H92" s="254">
        <v>-1.4</v>
      </c>
      <c r="I92" s="254">
        <v>-1.4</v>
      </c>
      <c r="J92" s="254">
        <v>-1.5</v>
      </c>
    </row>
    <row r="93" spans="1:10" ht="12.75" customHeight="1">
      <c r="A93" s="203" t="s">
        <v>199</v>
      </c>
      <c r="B93" s="254">
        <v>0.5</v>
      </c>
      <c r="C93" s="254">
        <v>0.6</v>
      </c>
      <c r="D93" s="254">
        <v>0.5</v>
      </c>
      <c r="E93" s="254">
        <v>0</v>
      </c>
      <c r="F93" s="254">
        <v>0.6</v>
      </c>
      <c r="G93" s="254">
        <v>0.6</v>
      </c>
      <c r="H93" s="254">
        <v>0.6</v>
      </c>
      <c r="I93" s="254">
        <v>0.6</v>
      </c>
      <c r="J93" s="254">
        <v>0.6</v>
      </c>
    </row>
    <row r="94" spans="1:10" ht="12.75" customHeight="1">
      <c r="A94" s="186" t="s">
        <v>209</v>
      </c>
      <c r="B94" s="190">
        <v>1.6</v>
      </c>
      <c r="C94" s="190">
        <v>1.6</v>
      </c>
      <c r="D94" s="190">
        <v>1.5</v>
      </c>
      <c r="E94" s="190">
        <v>1.8</v>
      </c>
      <c r="F94" s="190">
        <v>1.9</v>
      </c>
      <c r="G94" s="190">
        <v>2</v>
      </c>
      <c r="H94" s="190">
        <v>1.3</v>
      </c>
      <c r="I94" s="190">
        <v>1.3</v>
      </c>
      <c r="J94" s="190">
        <v>1.2</v>
      </c>
    </row>
    <row r="95" spans="1:10" ht="12.75" customHeight="1">
      <c r="A95" s="203" t="s">
        <v>223</v>
      </c>
      <c r="B95" s="254">
        <v>1.5</v>
      </c>
      <c r="C95" s="254">
        <v>1.5</v>
      </c>
      <c r="D95" s="254">
        <v>1.5</v>
      </c>
      <c r="E95" s="254">
        <v>1.5</v>
      </c>
      <c r="F95" s="254">
        <v>1.6</v>
      </c>
      <c r="G95" s="254">
        <v>1.6</v>
      </c>
      <c r="H95" s="254">
        <v>0.9</v>
      </c>
      <c r="I95" s="254">
        <v>0.9</v>
      </c>
      <c r="J95" s="254">
        <v>0.9</v>
      </c>
    </row>
    <row r="96" spans="1:10" ht="12.75" customHeight="1">
      <c r="A96" s="203" t="s">
        <v>199</v>
      </c>
      <c r="B96" s="254">
        <v>0.1</v>
      </c>
      <c r="C96" s="254">
        <v>0.1</v>
      </c>
      <c r="D96" s="254">
        <v>0.1</v>
      </c>
      <c r="E96" s="254">
        <v>0.3</v>
      </c>
      <c r="F96" s="254">
        <v>0.3</v>
      </c>
      <c r="G96" s="254">
        <v>0.3</v>
      </c>
      <c r="H96" s="254">
        <v>0.3</v>
      </c>
      <c r="I96" s="254">
        <v>0.3</v>
      </c>
      <c r="J96" s="254">
        <v>0.3</v>
      </c>
    </row>
    <row r="97" spans="1:10" ht="12.75" customHeight="1">
      <c r="A97" s="186" t="s">
        <v>224</v>
      </c>
      <c r="B97" s="190">
        <v>-0.3</v>
      </c>
      <c r="C97" s="190">
        <v>-0.4</v>
      </c>
      <c r="D97" s="190">
        <v>-0.6</v>
      </c>
      <c r="E97" s="190">
        <v>-0.8</v>
      </c>
      <c r="F97" s="190">
        <v>-0.9</v>
      </c>
      <c r="G97" s="190">
        <v>-0.9</v>
      </c>
      <c r="H97" s="190">
        <v>-0.9</v>
      </c>
      <c r="I97" s="190">
        <v>-0.9</v>
      </c>
      <c r="J97" s="190">
        <v>-0.9</v>
      </c>
    </row>
    <row r="98" spans="1:10" ht="12.75" customHeight="1">
      <c r="A98" s="203" t="s">
        <v>225</v>
      </c>
      <c r="B98" s="254">
        <v>0.4</v>
      </c>
      <c r="C98" s="254">
        <v>0.4</v>
      </c>
      <c r="D98" s="254">
        <v>0.4</v>
      </c>
      <c r="E98" s="254">
        <v>0</v>
      </c>
      <c r="F98" s="254">
        <v>0</v>
      </c>
      <c r="G98" s="254">
        <v>0</v>
      </c>
      <c r="H98" s="254">
        <v>0</v>
      </c>
      <c r="I98" s="254">
        <v>0</v>
      </c>
      <c r="J98" s="254">
        <v>0</v>
      </c>
    </row>
    <row r="99" spans="1:10" ht="12.75" customHeight="1">
      <c r="A99" s="203" t="s">
        <v>199</v>
      </c>
      <c r="B99" s="254">
        <v>-0.8</v>
      </c>
      <c r="C99" s="254">
        <v>-0.8</v>
      </c>
      <c r="D99" s="254">
        <v>-1</v>
      </c>
      <c r="E99" s="254">
        <v>-0.8</v>
      </c>
      <c r="F99" s="254">
        <v>-0.9</v>
      </c>
      <c r="G99" s="254">
        <v>-0.9</v>
      </c>
      <c r="H99" s="254">
        <v>-0.9</v>
      </c>
      <c r="I99" s="254">
        <v>-0.9</v>
      </c>
      <c r="J99" s="254">
        <v>-0.9</v>
      </c>
    </row>
    <row r="100" spans="1:10" ht="12.75" customHeight="1">
      <c r="A100" s="186" t="s">
        <v>226</v>
      </c>
      <c r="B100" s="190">
        <v>-0.1</v>
      </c>
      <c r="C100" s="190">
        <v>-0.1</v>
      </c>
      <c r="D100" s="190">
        <v>-0.1</v>
      </c>
      <c r="E100" s="190">
        <v>-0.1</v>
      </c>
      <c r="F100" s="190">
        <v>0</v>
      </c>
      <c r="G100" s="190">
        <v>0</v>
      </c>
      <c r="H100" s="190">
        <v>0</v>
      </c>
      <c r="I100" s="190">
        <v>0</v>
      </c>
      <c r="J100" s="190">
        <v>0</v>
      </c>
    </row>
    <row r="101" spans="1:10" ht="12.75" customHeight="1">
      <c r="A101" s="194" t="s">
        <v>227</v>
      </c>
      <c r="B101" s="193">
        <v>7</v>
      </c>
      <c r="C101" s="193">
        <v>8.1999999999999993</v>
      </c>
      <c r="D101" s="193">
        <v>8.1</v>
      </c>
      <c r="E101" s="193">
        <v>8.5</v>
      </c>
      <c r="F101" s="193">
        <v>9.9</v>
      </c>
      <c r="G101" s="193">
        <v>11.8</v>
      </c>
      <c r="H101" s="193">
        <v>10.6</v>
      </c>
      <c r="I101" s="193">
        <v>10.9</v>
      </c>
      <c r="J101" s="193">
        <v>11</v>
      </c>
    </row>
    <row r="102" spans="1:10" ht="12.75" customHeight="1">
      <c r="A102" s="202" t="s">
        <v>228</v>
      </c>
      <c r="B102" s="186"/>
      <c r="C102" s="186"/>
      <c r="D102" s="186"/>
      <c r="E102" s="186"/>
      <c r="F102" s="186"/>
      <c r="G102" s="186"/>
      <c r="H102" s="186"/>
      <c r="I102" s="186"/>
      <c r="J102" s="186"/>
    </row>
    <row r="103" spans="1:10" ht="12.75" customHeight="1">
      <c r="A103" s="186" t="s">
        <v>229</v>
      </c>
      <c r="B103" s="190">
        <v>0.7</v>
      </c>
      <c r="C103" s="190">
        <v>0.7</v>
      </c>
      <c r="D103" s="190">
        <v>0.5</v>
      </c>
      <c r="E103" s="190">
        <v>0.4</v>
      </c>
      <c r="F103" s="190">
        <v>0.6</v>
      </c>
      <c r="G103" s="190">
        <v>0.7</v>
      </c>
      <c r="H103" s="190">
        <v>0.7</v>
      </c>
      <c r="I103" s="190">
        <v>0.7</v>
      </c>
      <c r="J103" s="190">
        <v>0.7</v>
      </c>
    </row>
    <row r="104" spans="1:10" ht="12.75" customHeight="1">
      <c r="A104" s="186" t="s">
        <v>165</v>
      </c>
      <c r="B104" s="190">
        <v>0</v>
      </c>
      <c r="C104" s="190">
        <v>0</v>
      </c>
      <c r="D104" s="190">
        <v>0</v>
      </c>
      <c r="E104" s="190">
        <v>0</v>
      </c>
      <c r="F104" s="190">
        <v>-0.1</v>
      </c>
      <c r="G104" s="190">
        <v>0.1</v>
      </c>
      <c r="H104" s="190">
        <v>0.1</v>
      </c>
      <c r="I104" s="190">
        <v>0</v>
      </c>
      <c r="J104" s="190">
        <v>0</v>
      </c>
    </row>
    <row r="105" spans="1:10" ht="12.75" customHeight="1">
      <c r="A105" s="200" t="s">
        <v>230</v>
      </c>
      <c r="B105" s="201">
        <v>0.6</v>
      </c>
      <c r="C105" s="201">
        <v>0.7</v>
      </c>
      <c r="D105" s="201">
        <v>0.5</v>
      </c>
      <c r="E105" s="201">
        <v>0.4</v>
      </c>
      <c r="F105" s="201">
        <v>0.5</v>
      </c>
      <c r="G105" s="201">
        <v>0.8</v>
      </c>
      <c r="H105" s="201">
        <v>0.8</v>
      </c>
      <c r="I105" s="201">
        <v>0.7</v>
      </c>
      <c r="J105" s="201">
        <v>0.7</v>
      </c>
    </row>
    <row r="106" spans="1:10" ht="12.75" customHeight="1">
      <c r="A106" s="194" t="s">
        <v>231</v>
      </c>
      <c r="B106" s="193">
        <v>-34.299999999999997</v>
      </c>
      <c r="C106" s="193">
        <v>-41.6</v>
      </c>
      <c r="D106" s="193">
        <v>-79.599999999999994</v>
      </c>
      <c r="E106" s="193">
        <v>-12.5</v>
      </c>
      <c r="F106" s="193">
        <v>37.6</v>
      </c>
      <c r="G106" s="193">
        <v>-36</v>
      </c>
      <c r="H106" s="193">
        <v>-40.200000000000003</v>
      </c>
      <c r="I106" s="193">
        <v>-30</v>
      </c>
      <c r="J106" s="193">
        <v>-30.6</v>
      </c>
    </row>
    <row r="107" spans="1:10">
      <c r="A107" s="204" t="s">
        <v>51</v>
      </c>
      <c r="B107" s="186"/>
      <c r="C107" s="186"/>
      <c r="D107" s="186"/>
      <c r="E107" s="186"/>
      <c r="G107" s="205"/>
      <c r="H107" s="205"/>
      <c r="I107" s="205"/>
      <c r="J107" s="205"/>
    </row>
    <row r="108" spans="1:10" ht="12">
      <c r="A108" s="191" t="s">
        <v>232</v>
      </c>
      <c r="B108" s="186"/>
      <c r="C108" s="186"/>
      <c r="D108" s="186"/>
      <c r="E108" s="186"/>
      <c r="G108" s="205"/>
      <c r="H108" s="205"/>
      <c r="I108" s="205"/>
      <c r="J108" s="205"/>
    </row>
    <row r="109" spans="1:10">
      <c r="A109" s="206" t="s">
        <v>233</v>
      </c>
      <c r="B109" s="190">
        <v>1.2</v>
      </c>
      <c r="C109" s="190">
        <v>0</v>
      </c>
      <c r="D109" s="190">
        <v>-0.8</v>
      </c>
      <c r="E109" s="190">
        <v>-0.9</v>
      </c>
      <c r="F109" s="190">
        <v>0</v>
      </c>
      <c r="G109" s="190">
        <v>0</v>
      </c>
      <c r="H109" s="190">
        <v>0</v>
      </c>
      <c r="I109" s="190">
        <v>0</v>
      </c>
      <c r="J109" s="190">
        <v>0</v>
      </c>
    </row>
    <row r="110" spans="1:10">
      <c r="A110" s="206" t="s">
        <v>234</v>
      </c>
      <c r="B110" s="190">
        <v>0</v>
      </c>
      <c r="C110" s="190">
        <v>-0.1</v>
      </c>
      <c r="D110" s="190">
        <v>-0.2</v>
      </c>
      <c r="E110" s="190">
        <v>-0.5</v>
      </c>
      <c r="F110" s="190">
        <v>0</v>
      </c>
      <c r="G110" s="190">
        <v>0</v>
      </c>
      <c r="H110" s="190">
        <v>0</v>
      </c>
      <c r="I110" s="190">
        <v>0</v>
      </c>
      <c r="J110" s="190">
        <v>0</v>
      </c>
    </row>
    <row r="112" spans="1:10">
      <c r="A112" s="185" t="s">
        <v>235</v>
      </c>
    </row>
    <row r="113" spans="1:10" ht="13.5" customHeight="1">
      <c r="A113" s="267" t="s">
        <v>236</v>
      </c>
      <c r="B113" s="267"/>
      <c r="C113" s="267"/>
      <c r="D113" s="267"/>
      <c r="E113" s="267"/>
      <c r="F113" s="267"/>
      <c r="G113" s="267"/>
      <c r="H113" s="267"/>
      <c r="I113" s="267"/>
      <c r="J113" s="267"/>
    </row>
    <row r="114" spans="1:10" ht="23.25" customHeight="1">
      <c r="A114" s="268" t="s">
        <v>237</v>
      </c>
      <c r="B114" s="268"/>
      <c r="C114" s="268"/>
      <c r="D114" s="268"/>
      <c r="E114" s="268"/>
      <c r="F114" s="268"/>
      <c r="G114" s="268"/>
      <c r="H114" s="268"/>
      <c r="I114" s="268"/>
      <c r="J114" s="268"/>
    </row>
    <row r="115" spans="1:10" ht="24" customHeight="1">
      <c r="A115" s="268" t="s">
        <v>238</v>
      </c>
      <c r="B115" s="268"/>
      <c r="C115" s="268"/>
      <c r="D115" s="268"/>
      <c r="E115" s="268"/>
      <c r="F115" s="268"/>
      <c r="G115" s="268"/>
      <c r="H115" s="268"/>
      <c r="I115" s="268"/>
      <c r="J115" s="268"/>
    </row>
    <row r="118" spans="1:10">
      <c r="A118" s="207"/>
      <c r="B118" s="208"/>
      <c r="C118" s="208"/>
      <c r="D118" s="208"/>
      <c r="E118" s="208"/>
      <c r="F118" s="208"/>
      <c r="G118" s="208"/>
      <c r="H118" s="208"/>
      <c r="I118" s="208"/>
      <c r="J118" s="208"/>
    </row>
    <row r="119" spans="1:10">
      <c r="B119" s="208"/>
      <c r="C119" s="208"/>
      <c r="D119" s="208"/>
      <c r="E119" s="208"/>
      <c r="F119" s="208"/>
      <c r="G119" s="208"/>
      <c r="H119" s="208"/>
      <c r="I119" s="208"/>
      <c r="J119" s="208"/>
    </row>
    <row r="120" spans="1:10">
      <c r="B120" s="208"/>
      <c r="C120" s="208"/>
      <c r="D120" s="208"/>
      <c r="E120" s="208"/>
      <c r="F120" s="208"/>
      <c r="G120" s="208"/>
      <c r="H120" s="208"/>
      <c r="I120" s="208"/>
      <c r="J120" s="208"/>
    </row>
    <row r="121" spans="1:10">
      <c r="B121" s="208"/>
      <c r="C121" s="208"/>
      <c r="D121" s="208"/>
      <c r="E121" s="208"/>
      <c r="F121" s="208"/>
      <c r="G121" s="208"/>
      <c r="H121" s="208"/>
      <c r="I121" s="208"/>
      <c r="J121" s="208"/>
    </row>
    <row r="122" spans="1:10">
      <c r="B122" s="208"/>
      <c r="C122" s="208"/>
      <c r="D122" s="208"/>
      <c r="E122" s="208"/>
      <c r="F122" s="208"/>
      <c r="G122" s="208"/>
      <c r="H122" s="208"/>
      <c r="I122" s="208"/>
      <c r="J122" s="208"/>
    </row>
    <row r="123" spans="1:10">
      <c r="B123" s="208"/>
      <c r="C123" s="208"/>
      <c r="D123" s="208"/>
      <c r="E123" s="208"/>
      <c r="F123" s="208"/>
      <c r="G123" s="208"/>
      <c r="H123" s="208"/>
      <c r="I123" s="208"/>
      <c r="J123" s="208"/>
    </row>
    <row r="124" spans="1:10">
      <c r="B124" s="208"/>
      <c r="C124" s="208"/>
      <c r="D124" s="208"/>
      <c r="E124" s="208"/>
      <c r="F124" s="208"/>
      <c r="G124" s="208"/>
      <c r="H124" s="208"/>
      <c r="I124" s="208"/>
      <c r="J124" s="208"/>
    </row>
    <row r="125" spans="1:10">
      <c r="B125" s="208"/>
      <c r="C125" s="208"/>
      <c r="D125" s="208"/>
      <c r="E125" s="208"/>
      <c r="F125" s="208"/>
      <c r="G125" s="208"/>
      <c r="H125" s="208"/>
      <c r="I125" s="208"/>
      <c r="J125" s="208"/>
    </row>
    <row r="126" spans="1:10">
      <c r="B126" s="208"/>
      <c r="C126" s="208"/>
      <c r="D126" s="208"/>
      <c r="E126" s="208"/>
      <c r="F126" s="208"/>
      <c r="G126" s="208"/>
      <c r="H126" s="208"/>
      <c r="I126" s="208"/>
      <c r="J126" s="208"/>
    </row>
    <row r="127" spans="1:10">
      <c r="B127" s="208"/>
      <c r="C127" s="208"/>
      <c r="D127" s="208"/>
      <c r="E127" s="208"/>
      <c r="F127" s="208"/>
      <c r="G127" s="208"/>
      <c r="H127" s="208"/>
      <c r="I127" s="208"/>
      <c r="J127" s="208"/>
    </row>
    <row r="128" spans="1:10">
      <c r="B128" s="208"/>
      <c r="C128" s="208"/>
      <c r="D128" s="208"/>
      <c r="E128" s="208"/>
      <c r="F128" s="208"/>
      <c r="G128" s="208"/>
      <c r="H128" s="208"/>
      <c r="I128" s="208"/>
      <c r="J128" s="208"/>
    </row>
    <row r="129" spans="2:10">
      <c r="B129" s="209"/>
      <c r="C129" s="209"/>
      <c r="D129" s="209"/>
      <c r="E129" s="209"/>
      <c r="F129" s="209"/>
      <c r="G129" s="209"/>
      <c r="H129" s="209"/>
      <c r="I129" s="209"/>
      <c r="J129" s="209"/>
    </row>
    <row r="130" spans="2:10">
      <c r="B130" s="208"/>
      <c r="C130" s="208"/>
      <c r="D130" s="208"/>
      <c r="E130" s="208"/>
      <c r="F130" s="208"/>
      <c r="G130" s="208"/>
      <c r="H130" s="208"/>
      <c r="I130" s="208"/>
      <c r="J130" s="208"/>
    </row>
    <row r="131" spans="2:10">
      <c r="B131" s="208"/>
      <c r="C131" s="208"/>
      <c r="D131" s="208"/>
      <c r="E131" s="208"/>
      <c r="F131" s="208"/>
      <c r="G131" s="208"/>
      <c r="H131" s="208"/>
      <c r="I131" s="208"/>
      <c r="J131" s="208"/>
    </row>
    <row r="132" spans="2:10">
      <c r="B132" s="208"/>
      <c r="C132" s="208"/>
      <c r="D132" s="208"/>
      <c r="E132" s="208"/>
      <c r="F132" s="208"/>
      <c r="G132" s="208"/>
      <c r="H132" s="208"/>
      <c r="I132" s="208"/>
      <c r="J132" s="208"/>
    </row>
    <row r="133" spans="2:10">
      <c r="B133" s="208"/>
      <c r="C133" s="208"/>
      <c r="D133" s="208"/>
      <c r="E133" s="208"/>
      <c r="F133" s="208"/>
      <c r="G133" s="208"/>
      <c r="H133" s="208"/>
      <c r="I133" s="208"/>
      <c r="J133" s="208"/>
    </row>
    <row r="134" spans="2:10">
      <c r="B134" s="208"/>
      <c r="C134" s="208"/>
      <c r="D134" s="208"/>
      <c r="E134" s="208"/>
      <c r="F134" s="208"/>
      <c r="G134" s="208"/>
      <c r="H134" s="208"/>
      <c r="I134" s="208"/>
      <c r="J134" s="208"/>
    </row>
    <row r="135" spans="2:10">
      <c r="B135" s="208"/>
      <c r="C135" s="208"/>
      <c r="D135" s="208"/>
      <c r="E135" s="208"/>
      <c r="F135" s="208"/>
      <c r="G135" s="208"/>
      <c r="H135" s="208"/>
      <c r="I135" s="208"/>
      <c r="J135" s="208"/>
    </row>
  </sheetData>
  <mergeCells count="5">
    <mergeCell ref="A1:E1"/>
    <mergeCell ref="A4:J4"/>
    <mergeCell ref="A113:J113"/>
    <mergeCell ref="A114:J114"/>
    <mergeCell ref="A115:J115"/>
  </mergeCells>
  <pageMargins left="0.98425196850393704" right="0.98425196850393704" top="0.98425196850393704" bottom="0.98425196850393704" header="0.51181102362204722" footer="0.51181102362204722"/>
  <pageSetup paperSize="9" scale="70" fitToHeight="2"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J83"/>
  <sheetViews>
    <sheetView showGridLines="0" zoomScaleNormal="100" workbookViewId="0">
      <selection activeCell="H40" sqref="H40"/>
    </sheetView>
  </sheetViews>
  <sheetFormatPr defaultRowHeight="11.25"/>
  <cols>
    <col min="1" max="1" width="36" style="185" customWidth="1"/>
    <col min="2" max="5" width="9.83203125" style="185" customWidth="1"/>
    <col min="6" max="6" width="10.33203125" style="185" customWidth="1"/>
    <col min="7" max="10" width="9.83203125" style="185" customWidth="1"/>
    <col min="11" max="16384" width="9.33203125" style="185"/>
  </cols>
  <sheetData>
    <row r="1" spans="1:10" ht="15.75" customHeight="1">
      <c r="A1" s="265" t="s">
        <v>239</v>
      </c>
      <c r="B1" s="265"/>
      <c r="C1" s="265"/>
      <c r="D1" s="265"/>
      <c r="E1" s="265"/>
      <c r="F1" s="265"/>
      <c r="G1" s="265"/>
      <c r="H1" s="265"/>
      <c r="I1" s="265"/>
      <c r="J1" s="265"/>
    </row>
    <row r="2" spans="1:10">
      <c r="A2" s="186"/>
      <c r="B2" s="186"/>
      <c r="C2" s="186"/>
      <c r="D2" s="186"/>
      <c r="J2" s="210" t="s">
        <v>151</v>
      </c>
    </row>
    <row r="3" spans="1:10" ht="22.5">
      <c r="A3" s="211"/>
      <c r="B3" s="212" t="s">
        <v>152</v>
      </c>
      <c r="C3" s="212" t="s">
        <v>153</v>
      </c>
      <c r="D3" s="212" t="s">
        <v>154</v>
      </c>
      <c r="E3" s="212" t="s">
        <v>155</v>
      </c>
      <c r="F3" s="213" t="s">
        <v>156</v>
      </c>
      <c r="G3" s="213" t="s">
        <v>157</v>
      </c>
      <c r="H3" s="213" t="s">
        <v>158</v>
      </c>
      <c r="I3" s="213" t="s">
        <v>159</v>
      </c>
      <c r="J3" s="213" t="s">
        <v>160</v>
      </c>
    </row>
    <row r="4" spans="1:10" ht="12" customHeight="1">
      <c r="A4" s="197" t="s">
        <v>240</v>
      </c>
      <c r="B4" s="197"/>
      <c r="C4" s="197"/>
      <c r="D4" s="197"/>
      <c r="E4" s="197"/>
    </row>
    <row r="5" spans="1:10" ht="12" customHeight="1">
      <c r="A5" s="214" t="s">
        <v>39</v>
      </c>
      <c r="B5" s="190"/>
      <c r="C5" s="190"/>
      <c r="D5" s="190"/>
      <c r="E5" s="190"/>
    </row>
    <row r="6" spans="1:10" ht="12" customHeight="1">
      <c r="A6" s="191" t="s">
        <v>241</v>
      </c>
      <c r="B6" s="190">
        <v>-0.1</v>
      </c>
      <c r="C6" s="190">
        <v>-0.3</v>
      </c>
      <c r="D6" s="190">
        <v>-0.4</v>
      </c>
      <c r="E6" s="190">
        <v>0</v>
      </c>
      <c r="F6" s="190">
        <v>0.1</v>
      </c>
      <c r="G6" s="190">
        <v>-0.1</v>
      </c>
      <c r="H6" s="190">
        <v>-0.1</v>
      </c>
      <c r="I6" s="190">
        <v>0.1</v>
      </c>
      <c r="J6" s="190">
        <v>0</v>
      </c>
    </row>
    <row r="7" spans="1:10" ht="12" customHeight="1">
      <c r="A7" s="191" t="s">
        <v>242</v>
      </c>
      <c r="B7" s="190">
        <v>0</v>
      </c>
      <c r="C7" s="190">
        <v>-0.1</v>
      </c>
      <c r="D7" s="190">
        <v>-0.2</v>
      </c>
      <c r="E7" s="190">
        <v>0</v>
      </c>
      <c r="F7" s="190">
        <v>0</v>
      </c>
      <c r="G7" s="190">
        <v>0</v>
      </c>
      <c r="H7" s="190">
        <v>0</v>
      </c>
      <c r="I7" s="190">
        <v>0</v>
      </c>
      <c r="J7" s="190">
        <v>0</v>
      </c>
    </row>
    <row r="8" spans="1:10" ht="12" customHeight="1">
      <c r="A8" s="194" t="s">
        <v>40</v>
      </c>
      <c r="B8" s="193">
        <v>-0.1</v>
      </c>
      <c r="C8" s="193">
        <v>-0.4</v>
      </c>
      <c r="D8" s="193">
        <v>-0.5</v>
      </c>
      <c r="E8" s="193">
        <v>0</v>
      </c>
      <c r="F8" s="193">
        <v>0.1</v>
      </c>
      <c r="G8" s="193">
        <v>-0.1</v>
      </c>
      <c r="H8" s="193">
        <v>-0.1</v>
      </c>
      <c r="I8" s="193">
        <v>0.1</v>
      </c>
      <c r="J8" s="193">
        <v>0</v>
      </c>
    </row>
    <row r="9" spans="1:10" ht="12" customHeight="1">
      <c r="A9" s="195" t="s">
        <v>243</v>
      </c>
      <c r="B9" s="190">
        <v>0</v>
      </c>
      <c r="C9" s="190">
        <v>0</v>
      </c>
      <c r="D9" s="190">
        <v>0</v>
      </c>
      <c r="E9" s="190">
        <v>0</v>
      </c>
      <c r="F9" s="190">
        <v>2.1</v>
      </c>
      <c r="G9" s="190">
        <v>-0.6</v>
      </c>
      <c r="H9" s="190">
        <v>0.1</v>
      </c>
      <c r="I9" s="190">
        <v>0.1</v>
      </c>
      <c r="J9" s="190">
        <v>0.3</v>
      </c>
    </row>
    <row r="10" spans="1:10" ht="12" customHeight="1">
      <c r="A10" s="196" t="s">
        <v>170</v>
      </c>
      <c r="B10" s="254">
        <v>0</v>
      </c>
      <c r="C10" s="254">
        <v>0</v>
      </c>
      <c r="D10" s="254">
        <v>0</v>
      </c>
      <c r="E10" s="254">
        <v>0</v>
      </c>
      <c r="F10" s="254">
        <v>2.9</v>
      </c>
      <c r="G10" s="254">
        <v>-0.2</v>
      </c>
      <c r="H10" s="254">
        <v>1.4</v>
      </c>
      <c r="I10" s="254">
        <v>0.7</v>
      </c>
      <c r="J10" s="254">
        <v>0.8</v>
      </c>
    </row>
    <row r="11" spans="1:10" ht="12" customHeight="1">
      <c r="A11" s="196" t="s">
        <v>171</v>
      </c>
      <c r="B11" s="254">
        <v>0</v>
      </c>
      <c r="C11" s="254">
        <v>0</v>
      </c>
      <c r="D11" s="254">
        <v>0</v>
      </c>
      <c r="E11" s="254">
        <v>0</v>
      </c>
      <c r="F11" s="254">
        <v>-0.8</v>
      </c>
      <c r="G11" s="254">
        <v>-0.5</v>
      </c>
      <c r="H11" s="254">
        <v>-1.3</v>
      </c>
      <c r="I11" s="254">
        <v>-0.6</v>
      </c>
      <c r="J11" s="254">
        <v>-0.5</v>
      </c>
    </row>
    <row r="12" spans="1:10" ht="12" customHeight="1">
      <c r="A12" s="192" t="s">
        <v>244</v>
      </c>
      <c r="B12" s="193">
        <v>-0.1</v>
      </c>
      <c r="C12" s="193">
        <v>-0.4</v>
      </c>
      <c r="D12" s="193">
        <v>-0.5</v>
      </c>
      <c r="E12" s="193">
        <v>0</v>
      </c>
      <c r="F12" s="193">
        <v>2.2000000000000002</v>
      </c>
      <c r="G12" s="193">
        <v>-0.7</v>
      </c>
      <c r="H12" s="193">
        <v>0.1</v>
      </c>
      <c r="I12" s="193">
        <v>0.2</v>
      </c>
      <c r="J12" s="193">
        <v>0.3</v>
      </c>
    </row>
    <row r="13" spans="1:10" ht="12" customHeight="1">
      <c r="A13" s="215" t="s">
        <v>245</v>
      </c>
      <c r="B13" s="216"/>
      <c r="C13" s="216"/>
      <c r="D13" s="216"/>
      <c r="E13" s="216"/>
      <c r="G13" s="205"/>
      <c r="H13" s="205"/>
      <c r="I13" s="205"/>
      <c r="J13" s="205"/>
    </row>
    <row r="14" spans="1:10" ht="12" customHeight="1">
      <c r="A14" s="214" t="s">
        <v>39</v>
      </c>
      <c r="B14" s="190"/>
      <c r="C14" s="190"/>
      <c r="D14" s="190"/>
      <c r="E14" s="190"/>
      <c r="G14" s="205"/>
      <c r="H14" s="205"/>
      <c r="I14" s="205"/>
      <c r="J14" s="205"/>
    </row>
    <row r="15" spans="1:10" ht="12" customHeight="1">
      <c r="A15" s="217" t="s">
        <v>246</v>
      </c>
      <c r="B15" s="190">
        <v>-6.5</v>
      </c>
      <c r="C15" s="190">
        <v>-5.0999999999999996</v>
      </c>
      <c r="D15" s="190">
        <v>-5.7</v>
      </c>
      <c r="E15" s="190">
        <v>-5.3</v>
      </c>
      <c r="F15" s="190">
        <v>-5.6</v>
      </c>
      <c r="G15" s="190">
        <v>-6.4</v>
      </c>
      <c r="H15" s="190">
        <v>-5.8</v>
      </c>
      <c r="I15" s="190">
        <v>-5.7</v>
      </c>
      <c r="J15" s="190">
        <v>-5.2</v>
      </c>
    </row>
    <row r="16" spans="1:10" ht="12" customHeight="1">
      <c r="A16" s="191" t="s">
        <v>247</v>
      </c>
      <c r="B16" s="190">
        <v>-0.5</v>
      </c>
      <c r="C16" s="190">
        <v>-0.4</v>
      </c>
      <c r="D16" s="190">
        <v>-0.6</v>
      </c>
      <c r="E16" s="190">
        <v>-1.4</v>
      </c>
      <c r="F16" s="190">
        <v>-1.1000000000000001</v>
      </c>
      <c r="G16" s="190">
        <v>0</v>
      </c>
      <c r="H16" s="190">
        <v>-1.1000000000000001</v>
      </c>
      <c r="I16" s="190">
        <v>-1.2</v>
      </c>
      <c r="J16" s="190">
        <v>-1.3</v>
      </c>
    </row>
    <row r="17" spans="1:10" ht="12" customHeight="1">
      <c r="A17" s="191" t="s">
        <v>248</v>
      </c>
      <c r="B17" s="190">
        <v>0</v>
      </c>
      <c r="C17" s="190">
        <v>-0.7</v>
      </c>
      <c r="D17" s="190">
        <v>-0.1</v>
      </c>
      <c r="E17" s="190">
        <v>-0.1</v>
      </c>
      <c r="F17" s="190">
        <v>0.2</v>
      </c>
      <c r="G17" s="190">
        <v>0.1</v>
      </c>
      <c r="H17" s="190">
        <v>0.1</v>
      </c>
      <c r="I17" s="190">
        <v>0.1</v>
      </c>
      <c r="J17" s="190">
        <v>0.1</v>
      </c>
    </row>
    <row r="18" spans="1:10" ht="12" customHeight="1">
      <c r="A18" s="191" t="s">
        <v>249</v>
      </c>
      <c r="B18" s="190">
        <v>-4.3</v>
      </c>
      <c r="C18" s="190">
        <v>-3.8</v>
      </c>
      <c r="D18" s="190">
        <v>-3.7</v>
      </c>
      <c r="E18" s="190">
        <v>-3.7</v>
      </c>
      <c r="F18" s="190">
        <v>-3</v>
      </c>
      <c r="G18" s="190">
        <v>-0.1</v>
      </c>
      <c r="H18" s="190">
        <v>-0.1</v>
      </c>
      <c r="I18" s="190">
        <v>-0.1</v>
      </c>
      <c r="J18" s="190">
        <v>-0.1</v>
      </c>
    </row>
    <row r="19" spans="1:10" ht="12" customHeight="1">
      <c r="A19" s="191" t="s">
        <v>250</v>
      </c>
      <c r="B19" s="190">
        <v>0.2</v>
      </c>
      <c r="C19" s="190">
        <v>0.1</v>
      </c>
      <c r="D19" s="190">
        <v>0.3</v>
      </c>
      <c r="E19" s="190">
        <v>0.2</v>
      </c>
      <c r="F19" s="190">
        <v>0.2</v>
      </c>
      <c r="G19" s="190">
        <v>0.2</v>
      </c>
      <c r="H19" s="190">
        <v>0.2</v>
      </c>
      <c r="I19" s="190">
        <v>0.2</v>
      </c>
      <c r="J19" s="190">
        <v>0.2</v>
      </c>
    </row>
    <row r="20" spans="1:10" ht="12" customHeight="1">
      <c r="A20" s="191" t="s">
        <v>101</v>
      </c>
      <c r="B20" s="190">
        <v>0</v>
      </c>
      <c r="C20" s="190">
        <v>0</v>
      </c>
      <c r="D20" s="190">
        <v>0</v>
      </c>
      <c r="E20" s="190">
        <v>0</v>
      </c>
      <c r="F20" s="190">
        <v>0</v>
      </c>
      <c r="G20" s="190">
        <v>0</v>
      </c>
      <c r="H20" s="190">
        <v>-0.8</v>
      </c>
      <c r="I20" s="190">
        <v>0</v>
      </c>
      <c r="J20" s="190">
        <v>0</v>
      </c>
    </row>
    <row r="21" spans="1:10" ht="12" customHeight="1">
      <c r="A21" s="191" t="s">
        <v>165</v>
      </c>
      <c r="B21" s="190">
        <v>0.1</v>
      </c>
      <c r="C21" s="190">
        <v>0.1</v>
      </c>
      <c r="D21" s="190">
        <v>0</v>
      </c>
      <c r="E21" s="190">
        <v>0.1</v>
      </c>
      <c r="F21" s="190">
        <v>0.1</v>
      </c>
      <c r="G21" s="190">
        <v>-0.1</v>
      </c>
      <c r="H21" s="190">
        <v>0.1</v>
      </c>
      <c r="I21" s="190">
        <v>0.1</v>
      </c>
      <c r="J21" s="190">
        <v>0</v>
      </c>
    </row>
    <row r="22" spans="1:10" ht="12" customHeight="1">
      <c r="A22" s="192" t="s">
        <v>251</v>
      </c>
      <c r="B22" s="193">
        <v>-11</v>
      </c>
      <c r="C22" s="193">
        <v>-9.8000000000000007</v>
      </c>
      <c r="D22" s="193">
        <v>-9.8000000000000007</v>
      </c>
      <c r="E22" s="193">
        <v>-10.199999999999999</v>
      </c>
      <c r="F22" s="193">
        <v>-9.1999999999999993</v>
      </c>
      <c r="G22" s="193">
        <v>-6.3</v>
      </c>
      <c r="H22" s="193">
        <v>-7.5</v>
      </c>
      <c r="I22" s="193">
        <v>-6.7</v>
      </c>
      <c r="J22" s="193">
        <v>-6.3</v>
      </c>
    </row>
    <row r="23" spans="1:10" ht="12" customHeight="1">
      <c r="A23" s="214" t="s">
        <v>41</v>
      </c>
      <c r="B23" s="190"/>
      <c r="C23" s="190"/>
      <c r="D23" s="190"/>
      <c r="E23" s="190"/>
      <c r="F23" s="190"/>
      <c r="G23" s="190"/>
      <c r="H23" s="190"/>
      <c r="I23" s="190"/>
      <c r="J23" s="190"/>
    </row>
    <row r="24" spans="1:10" ht="12" customHeight="1">
      <c r="A24" s="191" t="s">
        <v>247</v>
      </c>
      <c r="B24" s="190">
        <v>-2.9</v>
      </c>
      <c r="C24" s="190">
        <v>-4.4000000000000004</v>
      </c>
      <c r="D24" s="190">
        <v>-49.8</v>
      </c>
      <c r="E24" s="190">
        <v>-13.2</v>
      </c>
      <c r="F24" s="190">
        <v>-2.1</v>
      </c>
      <c r="G24" s="190">
        <v>-7.5</v>
      </c>
      <c r="H24" s="190">
        <v>-7.1</v>
      </c>
      <c r="I24" s="190">
        <v>-8.9</v>
      </c>
      <c r="J24" s="190">
        <v>-11</v>
      </c>
    </row>
    <row r="25" spans="1:10" ht="12" customHeight="1">
      <c r="A25" s="191" t="s">
        <v>248</v>
      </c>
      <c r="B25" s="190">
        <v>1</v>
      </c>
      <c r="C25" s="190">
        <v>0.6</v>
      </c>
      <c r="D25" s="190">
        <v>0.7</v>
      </c>
      <c r="E25" s="190">
        <v>-0.1</v>
      </c>
      <c r="F25" s="190">
        <v>0.4</v>
      </c>
      <c r="G25" s="190">
        <v>-0.7</v>
      </c>
      <c r="H25" s="190">
        <v>-0.8</v>
      </c>
      <c r="I25" s="190">
        <v>-0.8</v>
      </c>
      <c r="J25" s="190">
        <v>-0.8</v>
      </c>
    </row>
    <row r="26" spans="1:10" ht="12" customHeight="1">
      <c r="A26" s="191" t="s">
        <v>252</v>
      </c>
      <c r="B26" s="190">
        <v>-0.4</v>
      </c>
      <c r="C26" s="190">
        <v>0</v>
      </c>
      <c r="D26" s="190">
        <v>-30.8</v>
      </c>
      <c r="E26" s="190">
        <v>-32.1</v>
      </c>
      <c r="F26" s="190">
        <v>0</v>
      </c>
      <c r="G26" s="190">
        <v>0</v>
      </c>
      <c r="H26" s="190">
        <v>0</v>
      </c>
      <c r="I26" s="190">
        <v>0</v>
      </c>
      <c r="J26" s="190">
        <v>0</v>
      </c>
    </row>
    <row r="27" spans="1:10" ht="12" customHeight="1">
      <c r="A27" s="191" t="s">
        <v>253</v>
      </c>
      <c r="B27" s="190">
        <v>0</v>
      </c>
      <c r="C27" s="190">
        <v>0.1</v>
      </c>
      <c r="D27" s="190">
        <v>0.1</v>
      </c>
      <c r="E27" s="190">
        <v>7.1</v>
      </c>
      <c r="F27" s="190">
        <v>0</v>
      </c>
      <c r="G27" s="190">
        <v>0</v>
      </c>
      <c r="H27" s="190">
        <v>0</v>
      </c>
      <c r="I27" s="190">
        <v>0</v>
      </c>
      <c r="J27" s="190">
        <v>0</v>
      </c>
    </row>
    <row r="28" spans="1:10" ht="12" customHeight="1">
      <c r="A28" s="191" t="s">
        <v>250</v>
      </c>
      <c r="B28" s="190">
        <v>-0.2</v>
      </c>
      <c r="C28" s="190">
        <v>-0.1</v>
      </c>
      <c r="D28" s="190">
        <v>-0.3</v>
      </c>
      <c r="E28" s="190">
        <v>-0.2</v>
      </c>
      <c r="F28" s="190">
        <v>-0.2</v>
      </c>
      <c r="G28" s="190">
        <v>-0.2</v>
      </c>
      <c r="H28" s="190">
        <v>-0.2</v>
      </c>
      <c r="I28" s="190">
        <v>-0.2</v>
      </c>
      <c r="J28" s="190">
        <v>-0.2</v>
      </c>
    </row>
    <row r="29" spans="1:10" ht="12" customHeight="1">
      <c r="A29" s="191" t="s">
        <v>165</v>
      </c>
      <c r="B29" s="190">
        <v>0</v>
      </c>
      <c r="C29" s="190">
        <v>0</v>
      </c>
      <c r="D29" s="190">
        <v>0</v>
      </c>
      <c r="E29" s="190">
        <v>-0.2</v>
      </c>
      <c r="F29" s="190">
        <v>-0.2</v>
      </c>
      <c r="G29" s="190">
        <v>0</v>
      </c>
      <c r="H29" s="190">
        <v>-0.1</v>
      </c>
      <c r="I29" s="190">
        <v>-0.1</v>
      </c>
      <c r="J29" s="190">
        <v>0</v>
      </c>
    </row>
    <row r="30" spans="1:10" ht="12" customHeight="1">
      <c r="A30" s="200" t="s">
        <v>42</v>
      </c>
      <c r="B30" s="201">
        <v>-2.6</v>
      </c>
      <c r="C30" s="201">
        <v>-3.8</v>
      </c>
      <c r="D30" s="201">
        <v>-80</v>
      </c>
      <c r="E30" s="201">
        <v>-38.799999999999997</v>
      </c>
      <c r="F30" s="201">
        <v>-2.1</v>
      </c>
      <c r="G30" s="201">
        <v>-8.4</v>
      </c>
      <c r="H30" s="201">
        <v>-8.1</v>
      </c>
      <c r="I30" s="201">
        <v>-9.8000000000000007</v>
      </c>
      <c r="J30" s="201">
        <v>-11.9</v>
      </c>
    </row>
    <row r="31" spans="1:10" ht="12" customHeight="1">
      <c r="A31" s="192" t="s">
        <v>254</v>
      </c>
      <c r="B31" s="193">
        <v>-13.5</v>
      </c>
      <c r="C31" s="193">
        <v>-13.6</v>
      </c>
      <c r="D31" s="193">
        <v>-89.8</v>
      </c>
      <c r="E31" s="193">
        <v>-49</v>
      </c>
      <c r="F31" s="193">
        <v>-11.3</v>
      </c>
      <c r="G31" s="193">
        <v>-14.7</v>
      </c>
      <c r="H31" s="193">
        <v>-15.6</v>
      </c>
      <c r="I31" s="193">
        <v>-16.600000000000001</v>
      </c>
      <c r="J31" s="193">
        <v>-18.2</v>
      </c>
    </row>
    <row r="32" spans="1:10" ht="12" customHeight="1">
      <c r="A32" s="202" t="s">
        <v>255</v>
      </c>
      <c r="B32" s="186"/>
      <c r="C32" s="186"/>
      <c r="D32" s="186"/>
      <c r="E32" s="186"/>
      <c r="F32" s="186"/>
      <c r="G32" s="186"/>
      <c r="H32" s="186"/>
      <c r="I32" s="186"/>
      <c r="J32" s="186"/>
    </row>
    <row r="33" spans="1:10" ht="12" customHeight="1">
      <c r="A33" s="186" t="s">
        <v>256</v>
      </c>
      <c r="B33" s="190">
        <v>0.9</v>
      </c>
      <c r="C33" s="190">
        <v>-1.6</v>
      </c>
      <c r="D33" s="190">
        <v>-0.6</v>
      </c>
      <c r="E33" s="190">
        <v>0</v>
      </c>
      <c r="F33" s="190">
        <v>-0.2</v>
      </c>
      <c r="G33" s="190">
        <v>-0.4</v>
      </c>
      <c r="H33" s="190">
        <v>-0.4</v>
      </c>
      <c r="I33" s="190">
        <v>-0.5</v>
      </c>
      <c r="J33" s="190">
        <v>-0.5</v>
      </c>
    </row>
    <row r="34" spans="1:10" ht="12" customHeight="1">
      <c r="A34" s="203" t="s">
        <v>257</v>
      </c>
      <c r="B34" s="190">
        <v>-0.1</v>
      </c>
      <c r="C34" s="190">
        <v>-1.5</v>
      </c>
      <c r="D34" s="190">
        <v>-0.3</v>
      </c>
      <c r="E34" s="190">
        <v>-0.1</v>
      </c>
      <c r="F34" s="190">
        <v>0</v>
      </c>
      <c r="G34" s="190">
        <v>0</v>
      </c>
      <c r="H34" s="190">
        <v>0</v>
      </c>
      <c r="I34" s="190">
        <v>0</v>
      </c>
      <c r="J34" s="190">
        <v>0</v>
      </c>
    </row>
    <row r="35" spans="1:10" ht="12" customHeight="1">
      <c r="A35" s="203" t="s">
        <v>199</v>
      </c>
      <c r="B35" s="190">
        <v>1</v>
      </c>
      <c r="C35" s="190">
        <v>-0.1</v>
      </c>
      <c r="D35" s="190">
        <v>-0.3</v>
      </c>
      <c r="E35" s="190">
        <v>0.1</v>
      </c>
      <c r="F35" s="190">
        <v>-0.2</v>
      </c>
      <c r="G35" s="190">
        <v>-0.4</v>
      </c>
      <c r="H35" s="190">
        <v>-0.4</v>
      </c>
      <c r="I35" s="190">
        <v>-0.5</v>
      </c>
      <c r="J35" s="190">
        <v>-0.5</v>
      </c>
    </row>
    <row r="36" spans="1:10" ht="12" customHeight="1">
      <c r="A36" s="186" t="s">
        <v>258</v>
      </c>
      <c r="B36" s="190">
        <v>1.1000000000000001</v>
      </c>
      <c r="C36" s="190">
        <v>0.3</v>
      </c>
      <c r="D36" s="190">
        <v>-0.9</v>
      </c>
      <c r="E36" s="190">
        <v>-2.8</v>
      </c>
      <c r="F36" s="190">
        <v>0.1</v>
      </c>
      <c r="G36" s="190">
        <v>0.4</v>
      </c>
      <c r="H36" s="190">
        <v>0.4</v>
      </c>
      <c r="I36" s="190">
        <v>0.4</v>
      </c>
      <c r="J36" s="190">
        <v>0.4</v>
      </c>
    </row>
    <row r="37" spans="1:10" ht="12" customHeight="1">
      <c r="A37" s="203" t="s">
        <v>195</v>
      </c>
      <c r="B37" s="190">
        <v>0.1</v>
      </c>
      <c r="C37" s="190">
        <v>0.1</v>
      </c>
      <c r="D37" s="190">
        <v>0.1</v>
      </c>
      <c r="E37" s="190">
        <v>0.1</v>
      </c>
      <c r="F37" s="190">
        <v>0.1</v>
      </c>
      <c r="G37" s="190">
        <v>0.1</v>
      </c>
      <c r="H37" s="190">
        <v>0.1</v>
      </c>
      <c r="I37" s="190">
        <v>0.1</v>
      </c>
      <c r="J37" s="190">
        <v>0.1</v>
      </c>
    </row>
    <row r="38" spans="1:10" ht="12" customHeight="1">
      <c r="A38" s="203" t="s">
        <v>259</v>
      </c>
      <c r="B38" s="190">
        <v>1.4</v>
      </c>
      <c r="C38" s="190">
        <v>0</v>
      </c>
      <c r="D38" s="190">
        <v>0</v>
      </c>
      <c r="E38" s="190">
        <v>0</v>
      </c>
      <c r="F38" s="190">
        <v>0</v>
      </c>
      <c r="G38" s="190">
        <v>0</v>
      </c>
      <c r="H38" s="190">
        <v>0</v>
      </c>
      <c r="I38" s="190">
        <v>0</v>
      </c>
      <c r="J38" s="190">
        <v>0</v>
      </c>
    </row>
    <row r="39" spans="1:10" ht="12" customHeight="1">
      <c r="A39" s="203" t="s">
        <v>260</v>
      </c>
      <c r="B39" s="190">
        <v>0</v>
      </c>
      <c r="C39" s="190">
        <v>0</v>
      </c>
      <c r="D39" s="190">
        <v>0</v>
      </c>
      <c r="E39" s="190">
        <v>-3.2</v>
      </c>
      <c r="F39" s="190">
        <v>0</v>
      </c>
      <c r="G39" s="190">
        <v>0</v>
      </c>
      <c r="H39" s="190">
        <v>0</v>
      </c>
      <c r="I39" s="190">
        <v>0</v>
      </c>
      <c r="J39" s="190">
        <v>0</v>
      </c>
    </row>
    <row r="40" spans="1:10" ht="12" customHeight="1">
      <c r="A40" s="203" t="s">
        <v>205</v>
      </c>
      <c r="B40" s="190">
        <v>0.4</v>
      </c>
      <c r="C40" s="190">
        <v>0.5</v>
      </c>
      <c r="D40" s="190">
        <v>0.5</v>
      </c>
      <c r="E40" s="190">
        <v>0.5</v>
      </c>
      <c r="F40" s="190">
        <v>0</v>
      </c>
      <c r="G40" s="190">
        <v>0</v>
      </c>
      <c r="H40" s="190">
        <v>0</v>
      </c>
      <c r="I40" s="190">
        <v>0</v>
      </c>
      <c r="J40" s="190">
        <v>0</v>
      </c>
    </row>
    <row r="41" spans="1:10" ht="12" customHeight="1">
      <c r="A41" s="203" t="s">
        <v>199</v>
      </c>
      <c r="B41" s="190">
        <v>-0.8</v>
      </c>
      <c r="C41" s="190">
        <v>-0.3</v>
      </c>
      <c r="D41" s="190">
        <v>-1.5</v>
      </c>
      <c r="E41" s="190">
        <v>-0.2</v>
      </c>
      <c r="F41" s="190">
        <v>0</v>
      </c>
      <c r="G41" s="190">
        <v>0.3</v>
      </c>
      <c r="H41" s="190">
        <v>0.3</v>
      </c>
      <c r="I41" s="190">
        <v>0.3</v>
      </c>
      <c r="J41" s="190">
        <v>0.3</v>
      </c>
    </row>
    <row r="42" spans="1:10" ht="12" customHeight="1">
      <c r="A42" s="194" t="s">
        <v>261</v>
      </c>
      <c r="B42" s="193">
        <v>2</v>
      </c>
      <c r="C42" s="193">
        <v>-1.3</v>
      </c>
      <c r="D42" s="193">
        <v>-1.5</v>
      </c>
      <c r="E42" s="193">
        <v>-2.8</v>
      </c>
      <c r="F42" s="193">
        <v>-0.1</v>
      </c>
      <c r="G42" s="193">
        <v>0</v>
      </c>
      <c r="H42" s="193">
        <v>0</v>
      </c>
      <c r="I42" s="193">
        <v>-0.1</v>
      </c>
      <c r="J42" s="193">
        <v>-0.1</v>
      </c>
    </row>
    <row r="43" spans="1:10" ht="12" customHeight="1">
      <c r="A43" s="202" t="s">
        <v>214</v>
      </c>
      <c r="B43" s="186"/>
      <c r="C43" s="186"/>
      <c r="D43" s="186"/>
      <c r="E43" s="186"/>
      <c r="F43" s="186"/>
      <c r="G43" s="186"/>
      <c r="H43" s="186"/>
      <c r="I43" s="186"/>
      <c r="J43" s="186"/>
    </row>
    <row r="44" spans="1:10" ht="12" customHeight="1">
      <c r="A44" s="186" t="s">
        <v>219</v>
      </c>
      <c r="B44" s="190">
        <v>1.7</v>
      </c>
      <c r="C44" s="190">
        <v>0.6</v>
      </c>
      <c r="D44" s="190">
        <v>-0.3</v>
      </c>
      <c r="E44" s="190">
        <v>-1.7</v>
      </c>
      <c r="F44" s="190">
        <v>-1.2</v>
      </c>
      <c r="G44" s="190">
        <v>-1.4</v>
      </c>
      <c r="H44" s="190">
        <v>-1.5</v>
      </c>
      <c r="I44" s="190">
        <v>-1.6</v>
      </c>
      <c r="J44" s="190">
        <v>-1.6</v>
      </c>
    </row>
    <row r="45" spans="1:10" ht="12" customHeight="1">
      <c r="A45" s="203" t="s">
        <v>220</v>
      </c>
      <c r="B45" s="190">
        <v>2.8</v>
      </c>
      <c r="C45" s="190">
        <v>2.5</v>
      </c>
      <c r="D45" s="190">
        <v>1.8</v>
      </c>
      <c r="E45" s="190">
        <v>1.1000000000000001</v>
      </c>
      <c r="F45" s="190">
        <v>0</v>
      </c>
      <c r="G45" s="190">
        <v>0</v>
      </c>
      <c r="H45" s="190">
        <v>0</v>
      </c>
      <c r="I45" s="190">
        <v>0</v>
      </c>
      <c r="J45" s="190">
        <v>0</v>
      </c>
    </row>
    <row r="46" spans="1:10" ht="12" customHeight="1">
      <c r="A46" s="203" t="s">
        <v>262</v>
      </c>
      <c r="B46" s="190">
        <v>-0.4</v>
      </c>
      <c r="C46" s="190">
        <v>-1.1000000000000001</v>
      </c>
      <c r="D46" s="190">
        <v>-1.3</v>
      </c>
      <c r="E46" s="190">
        <v>-1.6</v>
      </c>
      <c r="F46" s="190">
        <v>-0.6</v>
      </c>
      <c r="G46" s="190">
        <v>-0.6</v>
      </c>
      <c r="H46" s="190">
        <v>-0.6</v>
      </c>
      <c r="I46" s="190">
        <v>-0.6</v>
      </c>
      <c r="J46" s="190">
        <v>-0.6</v>
      </c>
    </row>
    <row r="47" spans="1:10" ht="12" customHeight="1">
      <c r="A47" s="203" t="s">
        <v>263</v>
      </c>
      <c r="B47" s="190">
        <v>-0.8</v>
      </c>
      <c r="C47" s="190">
        <v>-0.8</v>
      </c>
      <c r="D47" s="190">
        <v>-0.8</v>
      </c>
      <c r="E47" s="190">
        <v>-1.2</v>
      </c>
      <c r="F47" s="190">
        <v>-0.6</v>
      </c>
      <c r="G47" s="190">
        <v>-0.8</v>
      </c>
      <c r="H47" s="190">
        <v>-0.9</v>
      </c>
      <c r="I47" s="190">
        <v>-1</v>
      </c>
      <c r="J47" s="190">
        <v>-1</v>
      </c>
    </row>
    <row r="48" spans="1:10" ht="12" customHeight="1">
      <c r="A48" s="186" t="s">
        <v>256</v>
      </c>
      <c r="B48" s="190">
        <v>1.5</v>
      </c>
      <c r="C48" s="190">
        <v>2.5</v>
      </c>
      <c r="D48" s="190">
        <v>2.8</v>
      </c>
      <c r="E48" s="190">
        <v>2.7</v>
      </c>
      <c r="F48" s="190">
        <v>2.1</v>
      </c>
      <c r="G48" s="190">
        <v>2</v>
      </c>
      <c r="H48" s="190">
        <v>1.8</v>
      </c>
      <c r="I48" s="190">
        <v>1.6</v>
      </c>
      <c r="J48" s="190">
        <v>1.6</v>
      </c>
    </row>
    <row r="49" spans="1:10" ht="12" customHeight="1">
      <c r="A49" s="203" t="s">
        <v>195</v>
      </c>
      <c r="B49" s="190">
        <v>1.6</v>
      </c>
      <c r="C49" s="190">
        <v>1.8</v>
      </c>
      <c r="D49" s="190">
        <v>1.8</v>
      </c>
      <c r="E49" s="190">
        <v>1.7</v>
      </c>
      <c r="F49" s="190">
        <v>2.1</v>
      </c>
      <c r="G49" s="190">
        <v>2</v>
      </c>
      <c r="H49" s="190">
        <v>1.8</v>
      </c>
      <c r="I49" s="190">
        <v>1.6</v>
      </c>
      <c r="J49" s="190">
        <v>1.6</v>
      </c>
    </row>
    <row r="50" spans="1:10" ht="12" customHeight="1">
      <c r="A50" s="203" t="s">
        <v>264</v>
      </c>
      <c r="B50" s="190">
        <v>0</v>
      </c>
      <c r="C50" s="190">
        <v>0.8</v>
      </c>
      <c r="D50" s="190">
        <v>1</v>
      </c>
      <c r="E50" s="190">
        <v>0</v>
      </c>
      <c r="F50" s="190">
        <v>0</v>
      </c>
      <c r="G50" s="190">
        <v>0</v>
      </c>
      <c r="H50" s="190">
        <v>0</v>
      </c>
      <c r="I50" s="190">
        <v>0</v>
      </c>
      <c r="J50" s="190">
        <v>0</v>
      </c>
    </row>
    <row r="51" spans="1:10" ht="12" customHeight="1">
      <c r="A51" s="203" t="s">
        <v>199</v>
      </c>
      <c r="B51" s="190">
        <v>-0.2</v>
      </c>
      <c r="C51" s="190">
        <v>-0.1</v>
      </c>
      <c r="D51" s="190">
        <v>-0.1</v>
      </c>
      <c r="E51" s="190">
        <v>0.9</v>
      </c>
      <c r="F51" s="190">
        <v>0</v>
      </c>
      <c r="G51" s="190">
        <v>0</v>
      </c>
      <c r="H51" s="190">
        <v>0</v>
      </c>
      <c r="I51" s="190">
        <v>0</v>
      </c>
      <c r="J51" s="190">
        <v>0</v>
      </c>
    </row>
    <row r="52" spans="1:10" ht="12" customHeight="1">
      <c r="A52" s="186" t="s">
        <v>265</v>
      </c>
      <c r="B52" s="190">
        <v>0.2</v>
      </c>
      <c r="C52" s="190">
        <v>-1.9</v>
      </c>
      <c r="D52" s="190">
        <v>0.1</v>
      </c>
      <c r="E52" s="190">
        <v>0.4</v>
      </c>
      <c r="F52" s="190">
        <v>-0.3</v>
      </c>
      <c r="G52" s="190">
        <v>-0.3</v>
      </c>
      <c r="H52" s="190">
        <v>-0.3</v>
      </c>
      <c r="I52" s="190">
        <v>-0.3</v>
      </c>
      <c r="J52" s="190">
        <v>-0.3</v>
      </c>
    </row>
    <row r="53" spans="1:10" ht="12" customHeight="1">
      <c r="A53" s="203" t="s">
        <v>266</v>
      </c>
      <c r="B53" s="190">
        <v>-0.3</v>
      </c>
      <c r="C53" s="190">
        <v>-2</v>
      </c>
      <c r="D53" s="190">
        <v>0</v>
      </c>
      <c r="E53" s="190">
        <v>-1.2</v>
      </c>
      <c r="F53" s="190">
        <v>-0.3</v>
      </c>
      <c r="G53" s="190">
        <v>-0.3</v>
      </c>
      <c r="H53" s="190">
        <v>-0.3</v>
      </c>
      <c r="I53" s="190">
        <v>-0.3</v>
      </c>
      <c r="J53" s="190">
        <v>-0.3</v>
      </c>
    </row>
    <row r="54" spans="1:10" ht="12" customHeight="1">
      <c r="A54" s="203" t="s">
        <v>199</v>
      </c>
      <c r="B54" s="190">
        <v>0.5</v>
      </c>
      <c r="C54" s="190">
        <v>0.1</v>
      </c>
      <c r="D54" s="190">
        <v>0.1</v>
      </c>
      <c r="E54" s="190">
        <v>1.6</v>
      </c>
      <c r="F54" s="190">
        <v>0</v>
      </c>
      <c r="G54" s="190">
        <v>0</v>
      </c>
      <c r="H54" s="190">
        <v>0</v>
      </c>
      <c r="I54" s="190">
        <v>0</v>
      </c>
      <c r="J54" s="190">
        <v>0</v>
      </c>
    </row>
    <row r="55" spans="1:10" ht="12" customHeight="1">
      <c r="A55" s="194" t="s">
        <v>267</v>
      </c>
      <c r="B55" s="193">
        <v>3.3</v>
      </c>
      <c r="C55" s="193">
        <v>1.2</v>
      </c>
      <c r="D55" s="193">
        <v>2.5</v>
      </c>
      <c r="E55" s="193">
        <v>1.4</v>
      </c>
      <c r="F55" s="193">
        <v>0.6</v>
      </c>
      <c r="G55" s="193">
        <v>0.3</v>
      </c>
      <c r="H55" s="193">
        <v>0</v>
      </c>
      <c r="I55" s="193">
        <v>-0.3</v>
      </c>
      <c r="J55" s="193">
        <v>-0.3</v>
      </c>
    </row>
    <row r="56" spans="1:10" ht="12" customHeight="1">
      <c r="A56" s="202" t="s">
        <v>268</v>
      </c>
      <c r="B56" s="186"/>
      <c r="C56" s="186"/>
      <c r="D56" s="186"/>
      <c r="E56" s="186"/>
      <c r="F56" s="186"/>
      <c r="G56" s="186"/>
      <c r="H56" s="186"/>
      <c r="I56" s="186"/>
      <c r="J56" s="186"/>
    </row>
    <row r="57" spans="1:10" ht="12" customHeight="1">
      <c r="A57" s="186" t="s">
        <v>229</v>
      </c>
      <c r="B57" s="190">
        <v>-0.5</v>
      </c>
      <c r="C57" s="190">
        <v>0.4</v>
      </c>
      <c r="D57" s="190">
        <v>0</v>
      </c>
      <c r="E57" s="190">
        <v>0.2</v>
      </c>
      <c r="F57" s="190">
        <v>-0.5</v>
      </c>
      <c r="G57" s="190">
        <v>0.6</v>
      </c>
      <c r="H57" s="190">
        <v>0.7</v>
      </c>
      <c r="I57" s="190">
        <v>0.7</v>
      </c>
      <c r="J57" s="190">
        <v>0.7</v>
      </c>
    </row>
    <row r="58" spans="1:10" ht="12" customHeight="1">
      <c r="A58" s="186" t="s">
        <v>269</v>
      </c>
      <c r="B58" s="190">
        <v>0</v>
      </c>
      <c r="C58" s="190">
        <v>0</v>
      </c>
      <c r="D58" s="190">
        <v>0</v>
      </c>
      <c r="E58" s="190">
        <v>0</v>
      </c>
      <c r="F58" s="190">
        <v>0</v>
      </c>
      <c r="G58" s="190">
        <v>-7.5</v>
      </c>
      <c r="H58" s="190">
        <v>0</v>
      </c>
      <c r="I58" s="190">
        <v>0</v>
      </c>
      <c r="J58" s="190">
        <v>0</v>
      </c>
    </row>
    <row r="59" spans="1:10" ht="12" customHeight="1">
      <c r="A59" s="186" t="s">
        <v>165</v>
      </c>
      <c r="B59" s="190">
        <v>0</v>
      </c>
      <c r="C59" s="190">
        <v>0</v>
      </c>
      <c r="D59" s="190">
        <v>0.8</v>
      </c>
      <c r="E59" s="190">
        <v>0</v>
      </c>
      <c r="F59" s="190">
        <v>0</v>
      </c>
      <c r="G59" s="190">
        <v>0</v>
      </c>
      <c r="H59" s="190">
        <v>0</v>
      </c>
      <c r="I59" s="190">
        <v>0</v>
      </c>
      <c r="J59" s="190">
        <v>0</v>
      </c>
    </row>
    <row r="60" spans="1:10" ht="12" customHeight="1">
      <c r="A60" s="200" t="s">
        <v>270</v>
      </c>
      <c r="B60" s="201">
        <v>-0.5</v>
      </c>
      <c r="C60" s="201">
        <v>0.4</v>
      </c>
      <c r="D60" s="201">
        <v>0.8</v>
      </c>
      <c r="E60" s="201">
        <v>0.2</v>
      </c>
      <c r="F60" s="201">
        <v>-0.5</v>
      </c>
      <c r="G60" s="201">
        <v>-6.9</v>
      </c>
      <c r="H60" s="201">
        <v>0.7</v>
      </c>
      <c r="I60" s="201">
        <v>0.7</v>
      </c>
      <c r="J60" s="201">
        <v>0.7</v>
      </c>
    </row>
    <row r="61" spans="1:10" ht="12" customHeight="1">
      <c r="A61" s="194" t="s">
        <v>271</v>
      </c>
      <c r="B61" s="193">
        <v>-8.8000000000000007</v>
      </c>
      <c r="C61" s="193">
        <v>-13.7</v>
      </c>
      <c r="D61" s="193">
        <v>-88.5</v>
      </c>
      <c r="E61" s="193">
        <v>-50.2</v>
      </c>
      <c r="F61" s="193">
        <v>-9.1999999999999993</v>
      </c>
      <c r="G61" s="193">
        <v>-22</v>
      </c>
      <c r="H61" s="193">
        <v>-14.9</v>
      </c>
      <c r="I61" s="193">
        <v>-16.100000000000001</v>
      </c>
      <c r="J61" s="193">
        <v>-17.7</v>
      </c>
    </row>
    <row r="62" spans="1:10" ht="12" customHeight="1">
      <c r="A62" s="204" t="s">
        <v>51</v>
      </c>
      <c r="B62" s="186"/>
      <c r="C62" s="186"/>
      <c r="D62" s="186"/>
      <c r="E62" s="186"/>
      <c r="G62" s="205"/>
      <c r="H62" s="205"/>
      <c r="I62" s="205"/>
      <c r="J62" s="205"/>
    </row>
    <row r="63" spans="1:10" ht="12" customHeight="1">
      <c r="A63" s="191" t="s">
        <v>272</v>
      </c>
      <c r="B63" s="186"/>
      <c r="C63" s="186"/>
      <c r="D63" s="186"/>
      <c r="E63" s="186"/>
      <c r="G63" s="205"/>
      <c r="H63" s="205"/>
      <c r="I63" s="205"/>
      <c r="J63" s="205"/>
    </row>
    <row r="64" spans="1:10" ht="12" customHeight="1">
      <c r="A64" s="206" t="s">
        <v>233</v>
      </c>
      <c r="B64" s="190">
        <v>-2</v>
      </c>
      <c r="C64" s="190">
        <v>-0.4</v>
      </c>
      <c r="D64" s="190">
        <v>-0.9</v>
      </c>
      <c r="E64" s="190">
        <v>0.2</v>
      </c>
      <c r="F64" s="190">
        <v>0</v>
      </c>
      <c r="G64" s="190">
        <v>0</v>
      </c>
      <c r="H64" s="190">
        <v>0</v>
      </c>
      <c r="I64" s="190">
        <v>0</v>
      </c>
      <c r="J64" s="190">
        <v>0</v>
      </c>
    </row>
    <row r="65" spans="1:10" ht="12" customHeight="1">
      <c r="A65" s="206" t="s">
        <v>234</v>
      </c>
      <c r="B65" s="190">
        <v>0.2</v>
      </c>
      <c r="C65" s="190">
        <v>0</v>
      </c>
      <c r="D65" s="190">
        <v>-0.1</v>
      </c>
      <c r="E65" s="190">
        <v>1</v>
      </c>
      <c r="F65" s="190">
        <v>0</v>
      </c>
      <c r="G65" s="190">
        <v>0</v>
      </c>
      <c r="H65" s="190">
        <v>0</v>
      </c>
      <c r="I65" s="190">
        <v>0</v>
      </c>
      <c r="J65" s="190">
        <v>0</v>
      </c>
    </row>
    <row r="66" spans="1:10" ht="12" customHeight="1"/>
    <row r="67" spans="1:10" ht="12" customHeight="1">
      <c r="A67" s="185" t="s">
        <v>235</v>
      </c>
    </row>
    <row r="68" spans="1:10" ht="12" customHeight="1">
      <c r="A68" s="269" t="s">
        <v>273</v>
      </c>
      <c r="B68" s="269"/>
      <c r="C68" s="269"/>
      <c r="D68" s="269"/>
      <c r="E68" s="269"/>
    </row>
    <row r="69" spans="1:10" ht="12" customHeight="1"/>
    <row r="71" spans="1:10">
      <c r="A71" s="207"/>
      <c r="B71" s="208"/>
      <c r="C71" s="208"/>
      <c r="D71" s="208"/>
      <c r="E71" s="208"/>
      <c r="F71" s="208"/>
      <c r="G71" s="208"/>
      <c r="H71" s="208"/>
      <c r="I71" s="208"/>
      <c r="J71" s="208"/>
    </row>
    <row r="72" spans="1:10">
      <c r="B72" s="208"/>
      <c r="C72" s="208"/>
      <c r="D72" s="208"/>
      <c r="E72" s="208"/>
      <c r="F72" s="208"/>
      <c r="G72" s="208"/>
      <c r="H72" s="208"/>
      <c r="I72" s="208"/>
      <c r="J72" s="208"/>
    </row>
    <row r="73" spans="1:10">
      <c r="B73" s="208"/>
      <c r="C73" s="208"/>
      <c r="D73" s="208"/>
      <c r="E73" s="208"/>
      <c r="F73" s="208"/>
      <c r="G73" s="208"/>
      <c r="H73" s="208"/>
      <c r="I73" s="208"/>
      <c r="J73" s="208"/>
    </row>
    <row r="74" spans="1:10">
      <c r="B74" s="208"/>
      <c r="C74" s="208"/>
      <c r="D74" s="208"/>
      <c r="E74" s="208"/>
      <c r="F74" s="208"/>
      <c r="G74" s="208"/>
      <c r="H74" s="208"/>
      <c r="I74" s="208"/>
      <c r="J74" s="208"/>
    </row>
    <row r="75" spans="1:10">
      <c r="B75" s="208"/>
      <c r="C75" s="208"/>
      <c r="D75" s="208"/>
      <c r="E75" s="208"/>
      <c r="F75" s="208"/>
      <c r="G75" s="208"/>
      <c r="H75" s="208"/>
      <c r="I75" s="208"/>
      <c r="J75" s="208"/>
    </row>
    <row r="76" spans="1:10">
      <c r="B76" s="208"/>
      <c r="C76" s="208"/>
      <c r="D76" s="208"/>
      <c r="E76" s="208"/>
      <c r="F76" s="208"/>
      <c r="G76" s="208"/>
      <c r="H76" s="208"/>
      <c r="I76" s="208"/>
      <c r="J76" s="208"/>
    </row>
    <row r="77" spans="1:10">
      <c r="B77" s="208"/>
      <c r="C77" s="208"/>
      <c r="D77" s="208"/>
      <c r="E77" s="208"/>
      <c r="F77" s="208"/>
      <c r="G77" s="208"/>
      <c r="H77" s="208"/>
      <c r="I77" s="208"/>
      <c r="J77" s="208"/>
    </row>
    <row r="78" spans="1:10">
      <c r="B78" s="209"/>
      <c r="C78" s="209"/>
      <c r="D78" s="209"/>
      <c r="E78" s="209"/>
      <c r="F78" s="209"/>
      <c r="G78" s="209"/>
      <c r="H78" s="209"/>
      <c r="I78" s="209"/>
      <c r="J78" s="209"/>
    </row>
    <row r="79" spans="1:10">
      <c r="B79" s="208"/>
      <c r="C79" s="208"/>
      <c r="D79" s="208"/>
      <c r="E79" s="208"/>
      <c r="F79" s="208"/>
      <c r="G79" s="208"/>
      <c r="H79" s="208"/>
      <c r="I79" s="208"/>
      <c r="J79" s="208"/>
    </row>
    <row r="80" spans="1:10">
      <c r="B80" s="208"/>
      <c r="C80" s="208"/>
      <c r="D80" s="208"/>
      <c r="E80" s="208"/>
      <c r="F80" s="208"/>
      <c r="G80" s="208"/>
      <c r="H80" s="208"/>
      <c r="I80" s="208"/>
      <c r="J80" s="208"/>
    </row>
    <row r="81" spans="2:10">
      <c r="B81" s="208"/>
      <c r="C81" s="208"/>
      <c r="D81" s="208"/>
      <c r="E81" s="208"/>
      <c r="F81" s="208"/>
      <c r="G81" s="208"/>
      <c r="H81" s="208"/>
      <c r="I81" s="208"/>
      <c r="J81" s="208"/>
    </row>
    <row r="82" spans="2:10">
      <c r="B82" s="208"/>
      <c r="C82" s="208"/>
      <c r="D82" s="208"/>
      <c r="E82" s="208"/>
      <c r="F82" s="208"/>
      <c r="G82" s="208"/>
      <c r="H82" s="208"/>
      <c r="I82" s="208"/>
      <c r="J82" s="208"/>
    </row>
    <row r="83" spans="2:10">
      <c r="B83" s="208"/>
      <c r="C83" s="208"/>
      <c r="D83" s="208"/>
      <c r="E83" s="208"/>
      <c r="F83" s="208"/>
      <c r="G83" s="208"/>
      <c r="H83" s="208"/>
      <c r="I83" s="208"/>
      <c r="J83" s="208"/>
    </row>
  </sheetData>
  <mergeCells count="2">
    <mergeCell ref="A1:J1"/>
    <mergeCell ref="A68:E68"/>
  </mergeCells>
  <pageMargins left="0.98425196850393704" right="0.98425196850393704" top="0.98425196850393704" bottom="0.98425196850393704" header="0.51181102362204722" footer="0.51181102362204722"/>
  <pageSetup paperSize="9" scale="72"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J36"/>
  <sheetViews>
    <sheetView showGridLines="0" zoomScaleNormal="100" workbookViewId="0">
      <selection activeCell="J28" sqref="J28"/>
    </sheetView>
  </sheetViews>
  <sheetFormatPr defaultRowHeight="11.25"/>
  <cols>
    <col min="1" max="1" width="36.33203125" style="185" customWidth="1"/>
    <col min="2" max="10" width="10.1640625" style="185" customWidth="1"/>
    <col min="11" max="16384" width="9.33203125" style="185"/>
  </cols>
  <sheetData>
    <row r="1" spans="1:10" ht="16.5" customHeight="1" thickBot="1">
      <c r="A1" s="270" t="s">
        <v>274</v>
      </c>
      <c r="B1" s="270"/>
      <c r="C1" s="270"/>
      <c r="D1" s="270"/>
      <c r="E1" s="270"/>
      <c r="F1" s="270"/>
      <c r="G1" s="270"/>
      <c r="H1" s="270"/>
      <c r="I1" s="270"/>
      <c r="J1" s="270"/>
    </row>
    <row r="2" spans="1:10">
      <c r="A2" s="218"/>
      <c r="B2" s="219"/>
      <c r="C2" s="219"/>
      <c r="E2" s="220"/>
      <c r="F2" s="220"/>
      <c r="G2" s="220"/>
      <c r="H2" s="220"/>
      <c r="I2" s="220"/>
      <c r="J2" s="221" t="s">
        <v>1</v>
      </c>
    </row>
    <row r="3" spans="1:10" ht="11.25" customHeight="1">
      <c r="A3" s="222"/>
      <c r="B3" s="271" t="s">
        <v>2</v>
      </c>
      <c r="C3" s="271"/>
      <c r="D3" s="271"/>
      <c r="E3" s="271"/>
      <c r="F3" s="271"/>
      <c r="G3" s="223"/>
      <c r="H3" s="223"/>
      <c r="I3" s="223"/>
      <c r="J3" s="224"/>
    </row>
    <row r="4" spans="1:10">
      <c r="A4" s="222"/>
      <c r="B4" s="225" t="s">
        <v>3</v>
      </c>
      <c r="C4" s="225" t="s">
        <v>4</v>
      </c>
      <c r="D4" s="225" t="s">
        <v>5</v>
      </c>
      <c r="E4" s="225" t="s">
        <v>6</v>
      </c>
      <c r="F4" s="225" t="s">
        <v>7</v>
      </c>
      <c r="G4" s="226" t="s">
        <v>8</v>
      </c>
      <c r="H4" s="226" t="s">
        <v>9</v>
      </c>
      <c r="I4" s="226" t="s">
        <v>10</v>
      </c>
      <c r="J4" s="227" t="s">
        <v>11</v>
      </c>
    </row>
    <row r="5" spans="1:10">
      <c r="A5" s="222"/>
      <c r="B5" s="226" t="s">
        <v>12</v>
      </c>
      <c r="C5" s="226" t="s">
        <v>12</v>
      </c>
      <c r="D5" s="226" t="s">
        <v>12</v>
      </c>
      <c r="E5" s="226" t="s">
        <v>12</v>
      </c>
      <c r="F5" s="212" t="s">
        <v>12</v>
      </c>
      <c r="G5" s="228" t="s">
        <v>13</v>
      </c>
      <c r="H5" s="228" t="s">
        <v>13</v>
      </c>
      <c r="I5" s="228" t="s">
        <v>13</v>
      </c>
      <c r="J5" s="229" t="s">
        <v>13</v>
      </c>
    </row>
    <row r="6" spans="1:10">
      <c r="A6" s="230" t="s">
        <v>275</v>
      </c>
      <c r="B6" s="231"/>
      <c r="C6" s="231"/>
      <c r="D6" s="231"/>
      <c r="E6" s="186"/>
      <c r="F6" s="186"/>
      <c r="G6" s="186"/>
      <c r="H6" s="186"/>
      <c r="I6" s="186"/>
      <c r="J6" s="232"/>
    </row>
    <row r="7" spans="1:10" ht="12">
      <c r="A7" s="233" t="s">
        <v>276</v>
      </c>
      <c r="B7" s="234">
        <v>218260</v>
      </c>
      <c r="C7" s="234">
        <v>233486</v>
      </c>
      <c r="D7" s="234">
        <v>246802</v>
      </c>
      <c r="E7" s="235">
        <v>267095</v>
      </c>
      <c r="F7" s="235">
        <v>266131</v>
      </c>
      <c r="G7" s="235">
        <v>268178</v>
      </c>
      <c r="H7" s="235">
        <v>258813</v>
      </c>
      <c r="I7" s="235">
        <v>260931</v>
      </c>
      <c r="J7" s="236">
        <v>262105</v>
      </c>
    </row>
    <row r="8" spans="1:10" ht="12">
      <c r="A8" s="237" t="s">
        <v>277</v>
      </c>
      <c r="B8" s="234">
        <v>187187</v>
      </c>
      <c r="C8" s="234">
        <v>202431</v>
      </c>
      <c r="D8" s="234">
        <v>338826</v>
      </c>
      <c r="E8" s="235">
        <v>238545</v>
      </c>
      <c r="F8" s="235">
        <v>146379</v>
      </c>
      <c r="G8" s="235">
        <v>245260</v>
      </c>
      <c r="H8" s="235">
        <v>255741</v>
      </c>
      <c r="I8" s="235">
        <v>249205</v>
      </c>
      <c r="J8" s="236">
        <v>257188</v>
      </c>
    </row>
    <row r="9" spans="1:10">
      <c r="A9" s="237" t="s">
        <v>278</v>
      </c>
      <c r="B9" s="234">
        <v>452</v>
      </c>
      <c r="C9" s="234">
        <v>520</v>
      </c>
      <c r="D9" s="234">
        <v>607</v>
      </c>
      <c r="E9" s="235">
        <v>547</v>
      </c>
      <c r="F9" s="235">
        <v>538</v>
      </c>
      <c r="G9" s="235">
        <v>606</v>
      </c>
      <c r="H9" s="235">
        <v>612</v>
      </c>
      <c r="I9" s="235">
        <v>639</v>
      </c>
      <c r="J9" s="236">
        <v>669</v>
      </c>
    </row>
    <row r="10" spans="1:10">
      <c r="A10" s="237" t="s">
        <v>31</v>
      </c>
      <c r="B10" s="234">
        <v>4652</v>
      </c>
      <c r="C10" s="234">
        <v>5392</v>
      </c>
      <c r="D10" s="234">
        <v>3060</v>
      </c>
      <c r="E10" s="235">
        <v>6419</v>
      </c>
      <c r="F10" s="235">
        <v>8414</v>
      </c>
      <c r="G10" s="235">
        <v>8990</v>
      </c>
      <c r="H10" s="235">
        <v>8430</v>
      </c>
      <c r="I10" s="235">
        <v>9059</v>
      </c>
      <c r="J10" s="236">
        <v>9617</v>
      </c>
    </row>
    <row r="11" spans="1:10">
      <c r="A11" s="237" t="s">
        <v>279</v>
      </c>
      <c r="B11" s="234">
        <v>27581</v>
      </c>
      <c r="C11" s="234">
        <v>29961</v>
      </c>
      <c r="D11" s="234">
        <v>30507</v>
      </c>
      <c r="E11" s="235">
        <v>30864</v>
      </c>
      <c r="F11" s="235">
        <v>43682</v>
      </c>
      <c r="G11" s="235">
        <v>48635</v>
      </c>
      <c r="H11" s="235">
        <v>50857</v>
      </c>
      <c r="I11" s="235">
        <v>56628</v>
      </c>
      <c r="J11" s="236">
        <v>62361</v>
      </c>
    </row>
    <row r="12" spans="1:10" ht="12">
      <c r="A12" s="237" t="s">
        <v>280</v>
      </c>
      <c r="B12" s="234">
        <v>-40352</v>
      </c>
      <c r="C12" s="234">
        <v>-51280</v>
      </c>
      <c r="D12" s="234">
        <v>-164926</v>
      </c>
      <c r="E12" s="235">
        <v>-55921</v>
      </c>
      <c r="F12" s="235">
        <v>39282</v>
      </c>
      <c r="G12" s="235">
        <v>-53500</v>
      </c>
      <c r="H12" s="235">
        <v>-43900</v>
      </c>
      <c r="I12" s="235">
        <v>-34300</v>
      </c>
      <c r="J12" s="236">
        <v>-36600</v>
      </c>
    </row>
    <row r="13" spans="1:10" ht="22.5">
      <c r="A13" s="238" t="s">
        <v>281</v>
      </c>
      <c r="B13" s="239">
        <v>397780</v>
      </c>
      <c r="C13" s="239">
        <v>420510</v>
      </c>
      <c r="D13" s="239">
        <v>454876</v>
      </c>
      <c r="E13" s="240">
        <v>487548</v>
      </c>
      <c r="F13" s="240">
        <v>504426</v>
      </c>
      <c r="G13" s="240">
        <v>518200</v>
      </c>
      <c r="H13" s="240">
        <v>530600</v>
      </c>
      <c r="I13" s="240">
        <v>542100</v>
      </c>
      <c r="J13" s="241">
        <v>555400</v>
      </c>
    </row>
    <row r="14" spans="1:10">
      <c r="A14" s="242" t="s">
        <v>282</v>
      </c>
      <c r="B14" s="243"/>
      <c r="C14" s="243"/>
      <c r="D14" s="243"/>
      <c r="E14" s="235"/>
      <c r="F14" s="235"/>
      <c r="G14" s="235"/>
      <c r="H14" s="235"/>
      <c r="I14" s="235"/>
      <c r="J14" s="236"/>
    </row>
    <row r="15" spans="1:10" ht="12">
      <c r="A15" s="233" t="s">
        <v>283</v>
      </c>
      <c r="B15" s="234">
        <v>92571</v>
      </c>
      <c r="C15" s="234">
        <v>98678</v>
      </c>
      <c r="D15" s="234">
        <v>102188</v>
      </c>
      <c r="E15" s="235">
        <v>108689</v>
      </c>
      <c r="F15" s="235">
        <v>109149</v>
      </c>
      <c r="G15" s="235">
        <v>99303</v>
      </c>
      <c r="H15" s="235">
        <v>102930</v>
      </c>
      <c r="I15" s="235">
        <v>101025</v>
      </c>
      <c r="J15" s="236">
        <v>100005</v>
      </c>
    </row>
    <row r="16" spans="1:10" ht="23.25">
      <c r="A16" s="237" t="s">
        <v>284</v>
      </c>
      <c r="B16" s="234">
        <v>20832</v>
      </c>
      <c r="C16" s="234">
        <v>22093</v>
      </c>
      <c r="D16" s="234">
        <v>23115</v>
      </c>
      <c r="E16" s="235">
        <v>25961</v>
      </c>
      <c r="F16" s="235">
        <v>29143</v>
      </c>
      <c r="G16" s="235">
        <v>29507</v>
      </c>
      <c r="H16" s="235">
        <v>29995</v>
      </c>
      <c r="I16" s="235">
        <v>28856</v>
      </c>
      <c r="J16" s="236">
        <v>29164</v>
      </c>
    </row>
    <row r="17" spans="1:10">
      <c r="A17" s="237" t="s">
        <v>285</v>
      </c>
      <c r="B17" s="234">
        <v>1884</v>
      </c>
      <c r="C17" s="234">
        <v>1860</v>
      </c>
      <c r="D17" s="234">
        <v>1963</v>
      </c>
      <c r="E17" s="235">
        <v>2165</v>
      </c>
      <c r="F17" s="235">
        <v>2068</v>
      </c>
      <c r="G17" s="235">
        <v>2171</v>
      </c>
      <c r="H17" s="235">
        <v>2171</v>
      </c>
      <c r="I17" s="235">
        <v>2171</v>
      </c>
      <c r="J17" s="236">
        <v>2171</v>
      </c>
    </row>
    <row r="18" spans="1:10">
      <c r="A18" s="237" t="s">
        <v>286</v>
      </c>
      <c r="B18" s="234">
        <v>24224</v>
      </c>
      <c r="C18" s="234">
        <v>26090</v>
      </c>
      <c r="D18" s="234">
        <v>31719</v>
      </c>
      <c r="E18" s="235">
        <v>29212</v>
      </c>
      <c r="F18" s="235">
        <v>28926</v>
      </c>
      <c r="G18" s="235">
        <v>37645</v>
      </c>
      <c r="H18" s="235">
        <v>31390</v>
      </c>
      <c r="I18" s="235">
        <v>32371</v>
      </c>
      <c r="J18" s="236">
        <v>33093</v>
      </c>
    </row>
    <row r="19" spans="1:10">
      <c r="A19" s="237" t="s">
        <v>287</v>
      </c>
      <c r="B19" s="234">
        <v>6669</v>
      </c>
      <c r="C19" s="234">
        <v>6451</v>
      </c>
      <c r="D19" s="234">
        <v>7650</v>
      </c>
      <c r="E19" s="235">
        <v>7030</v>
      </c>
      <c r="F19" s="235">
        <v>9721</v>
      </c>
      <c r="G19" s="235">
        <v>13600</v>
      </c>
      <c r="H19" s="235">
        <v>13200</v>
      </c>
      <c r="I19" s="235">
        <v>13600</v>
      </c>
      <c r="J19" s="236">
        <v>13500</v>
      </c>
    </row>
    <row r="20" spans="1:10">
      <c r="A20" s="238" t="s">
        <v>288</v>
      </c>
      <c r="B20" s="239">
        <v>146180</v>
      </c>
      <c r="C20" s="239">
        <v>155172</v>
      </c>
      <c r="D20" s="239">
        <v>166636</v>
      </c>
      <c r="E20" s="240">
        <v>173056</v>
      </c>
      <c r="F20" s="240">
        <v>179007</v>
      </c>
      <c r="G20" s="240">
        <v>182200</v>
      </c>
      <c r="H20" s="240">
        <v>179700</v>
      </c>
      <c r="I20" s="240">
        <v>178000</v>
      </c>
      <c r="J20" s="241">
        <v>177900</v>
      </c>
    </row>
    <row r="21" spans="1:10">
      <c r="A21" s="242" t="s">
        <v>289</v>
      </c>
      <c r="B21" s="243"/>
      <c r="C21" s="243"/>
      <c r="D21" s="243"/>
      <c r="E21" s="235"/>
      <c r="F21" s="235"/>
      <c r="G21" s="235"/>
      <c r="H21" s="235"/>
      <c r="I21" s="235"/>
      <c r="J21" s="236"/>
    </row>
    <row r="22" spans="1:10" ht="12">
      <c r="A22" s="233" t="s">
        <v>276</v>
      </c>
      <c r="B22" s="234">
        <v>1054</v>
      </c>
      <c r="C22" s="234">
        <v>835</v>
      </c>
      <c r="D22" s="234">
        <v>274</v>
      </c>
      <c r="E22" s="235">
        <v>517</v>
      </c>
      <c r="F22" s="235">
        <v>-111</v>
      </c>
      <c r="G22" s="235">
        <v>42</v>
      </c>
      <c r="H22" s="235">
        <v>-57</v>
      </c>
      <c r="I22" s="235">
        <v>-96</v>
      </c>
      <c r="J22" s="236">
        <v>-78</v>
      </c>
    </row>
    <row r="23" spans="1:10" ht="12">
      <c r="A23" s="237" t="s">
        <v>290</v>
      </c>
      <c r="B23" s="234">
        <v>-1368</v>
      </c>
      <c r="C23" s="234">
        <v>-1033</v>
      </c>
      <c r="D23" s="234">
        <v>-1471</v>
      </c>
      <c r="E23" s="235">
        <v>-100</v>
      </c>
      <c r="F23" s="235">
        <v>-452</v>
      </c>
      <c r="G23" s="235">
        <v>533</v>
      </c>
      <c r="H23" s="235">
        <v>596</v>
      </c>
      <c r="I23" s="235">
        <v>595</v>
      </c>
      <c r="J23" s="236">
        <v>594</v>
      </c>
    </row>
    <row r="24" spans="1:10" ht="22.5">
      <c r="A24" s="237" t="s">
        <v>44</v>
      </c>
      <c r="B24" s="234">
        <v>4728</v>
      </c>
      <c r="C24" s="234">
        <v>5505</v>
      </c>
      <c r="D24" s="234">
        <v>7189</v>
      </c>
      <c r="E24" s="235">
        <v>7735</v>
      </c>
      <c r="F24" s="235">
        <v>8541</v>
      </c>
      <c r="G24" s="235">
        <v>8266</v>
      </c>
      <c r="H24" s="235">
        <v>8304</v>
      </c>
      <c r="I24" s="235">
        <v>8326</v>
      </c>
      <c r="J24" s="236">
        <v>8646</v>
      </c>
    </row>
    <row r="25" spans="1:10">
      <c r="A25" s="237" t="s">
        <v>287</v>
      </c>
      <c r="B25" s="234">
        <v>1672</v>
      </c>
      <c r="C25" s="234">
        <v>1581</v>
      </c>
      <c r="D25" s="234">
        <v>2096</v>
      </c>
      <c r="E25" s="235">
        <v>681</v>
      </c>
      <c r="F25" s="235">
        <v>254</v>
      </c>
      <c r="G25" s="235">
        <v>1100</v>
      </c>
      <c r="H25" s="235">
        <v>1100</v>
      </c>
      <c r="I25" s="235">
        <v>1100</v>
      </c>
      <c r="J25" s="236">
        <v>1200</v>
      </c>
    </row>
    <row r="26" spans="1:10">
      <c r="A26" s="244" t="s">
        <v>291</v>
      </c>
      <c r="B26" s="245">
        <v>6085</v>
      </c>
      <c r="C26" s="245">
        <v>6887</v>
      </c>
      <c r="D26" s="245">
        <v>8087</v>
      </c>
      <c r="E26" s="246">
        <v>8832</v>
      </c>
      <c r="F26" s="246">
        <v>8233</v>
      </c>
      <c r="G26" s="246">
        <v>9940</v>
      </c>
      <c r="H26" s="246">
        <v>9967</v>
      </c>
      <c r="I26" s="246">
        <v>9972</v>
      </c>
      <c r="J26" s="247">
        <v>10316</v>
      </c>
    </row>
    <row r="27" spans="1:10" ht="12" thickBot="1">
      <c r="A27" s="248" t="s">
        <v>292</v>
      </c>
      <c r="B27" s="249">
        <v>550045</v>
      </c>
      <c r="C27" s="249">
        <v>582569</v>
      </c>
      <c r="D27" s="249">
        <v>629599</v>
      </c>
      <c r="E27" s="250">
        <v>669436</v>
      </c>
      <c r="F27" s="250">
        <v>691666</v>
      </c>
      <c r="G27" s="250">
        <v>710400</v>
      </c>
      <c r="H27" s="250">
        <v>720200</v>
      </c>
      <c r="I27" s="250">
        <v>730100</v>
      </c>
      <c r="J27" s="251">
        <v>743600</v>
      </c>
    </row>
    <row r="28" spans="1:10">
      <c r="A28" s="185" t="s">
        <v>293</v>
      </c>
    </row>
    <row r="29" spans="1:10">
      <c r="A29" s="185" t="s">
        <v>294</v>
      </c>
    </row>
    <row r="33" spans="2:10">
      <c r="B33" s="252"/>
      <c r="C33" s="252"/>
      <c r="D33" s="252"/>
      <c r="E33" s="252"/>
      <c r="F33" s="252"/>
      <c r="G33" s="252"/>
      <c r="H33" s="252"/>
      <c r="I33" s="252"/>
      <c r="J33" s="252"/>
    </row>
    <row r="34" spans="2:10">
      <c r="B34" s="252"/>
      <c r="C34" s="252"/>
      <c r="D34" s="252"/>
      <c r="E34" s="252"/>
      <c r="F34" s="252"/>
      <c r="G34" s="252"/>
      <c r="H34" s="252"/>
      <c r="I34" s="252"/>
      <c r="J34" s="252"/>
    </row>
    <row r="35" spans="2:10">
      <c r="B35" s="252"/>
      <c r="C35" s="252"/>
      <c r="D35" s="252"/>
      <c r="E35" s="252"/>
      <c r="F35" s="252"/>
      <c r="G35" s="252"/>
      <c r="H35" s="252"/>
      <c r="I35" s="252"/>
      <c r="J35" s="252"/>
    </row>
    <row r="36" spans="2:10">
      <c r="B36" s="252"/>
      <c r="C36" s="252"/>
      <c r="D36" s="252"/>
      <c r="E36" s="252"/>
      <c r="F36" s="252"/>
      <c r="G36" s="252"/>
      <c r="H36" s="252"/>
      <c r="I36" s="252"/>
      <c r="J36" s="252"/>
    </row>
  </sheetData>
  <mergeCells count="2">
    <mergeCell ref="A1:J1"/>
    <mergeCell ref="B3:F3"/>
  </mergeCells>
  <pageMargins left="0.98425196850393704" right="0.98425196850393704" top="0.98425196850393704" bottom="0.98425196850393704" header="0.51181102362204722" footer="0.51181102362204722"/>
  <pageSetup paperSize="9" scale="74" orientation="portrait" r:id="rId1"/>
</worksheet>
</file>

<file path=xl/worksheets/sheet14.xml><?xml version="1.0" encoding="utf-8"?>
<worksheet xmlns="http://schemas.openxmlformats.org/spreadsheetml/2006/main" xmlns:r="http://schemas.openxmlformats.org/officeDocument/2006/relationships">
  <sheetPr>
    <pageSetUpPr autoPageBreaks="0"/>
  </sheetPr>
  <dimension ref="A1:HZ64"/>
  <sheetViews>
    <sheetView showGridLines="0" topLeftCell="A19" zoomScaleNormal="100" zoomScaleSheetLayoutView="85" workbookViewId="0">
      <selection activeCell="L57" sqref="L57"/>
    </sheetView>
  </sheetViews>
  <sheetFormatPr defaultColWidth="10.1640625" defaultRowHeight="11.25"/>
  <cols>
    <col min="1" max="1" width="49.6640625" style="86" customWidth="1"/>
    <col min="2" max="5" width="13.33203125" style="86" customWidth="1"/>
    <col min="6" max="6" width="11.1640625" style="84" bestFit="1" customWidth="1"/>
    <col min="7" max="16384" width="10.1640625" style="84"/>
  </cols>
  <sheetData>
    <row r="1" spans="1:234" s="58" customFormat="1" ht="16.5">
      <c r="A1" s="57" t="s">
        <v>139</v>
      </c>
      <c r="B1" s="57"/>
      <c r="C1" s="57"/>
      <c r="D1" s="57"/>
      <c r="E1" s="57"/>
    </row>
    <row r="2" spans="1:234" s="2" customFormat="1" ht="12" thickBot="1">
      <c r="A2" s="3"/>
      <c r="B2" s="3"/>
      <c r="C2" s="3"/>
      <c r="D2" s="3"/>
      <c r="E2" s="3"/>
      <c r="F2" s="3"/>
      <c r="G2" s="3"/>
      <c r="H2" s="3"/>
      <c r="I2" s="3"/>
      <c r="J2" s="4" t="s">
        <v>1</v>
      </c>
    </row>
    <row r="3" spans="1:234"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row>
    <row r="5" spans="1:234"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row>
    <row r="6" spans="1:234" s="62" customFormat="1" ht="12">
      <c r="A6" s="59" t="s">
        <v>140</v>
      </c>
      <c r="B6" s="60"/>
      <c r="C6" s="60"/>
      <c r="D6" s="60"/>
      <c r="E6" s="60"/>
      <c r="F6" s="60"/>
      <c r="G6" s="60"/>
      <c r="H6" s="60"/>
      <c r="I6" s="60"/>
      <c r="J6" s="61"/>
    </row>
    <row r="7" spans="1:234" s="66" customFormat="1">
      <c r="A7" s="63" t="s">
        <v>103</v>
      </c>
      <c r="B7" s="64">
        <v>41883</v>
      </c>
      <c r="C7" s="64">
        <v>44690</v>
      </c>
      <c r="D7" s="64">
        <v>46622</v>
      </c>
      <c r="E7" s="64">
        <v>49378</v>
      </c>
      <c r="F7" s="64">
        <v>51410</v>
      </c>
      <c r="G7" s="64">
        <v>51287</v>
      </c>
      <c r="H7" s="64">
        <v>52371</v>
      </c>
      <c r="I7" s="64">
        <v>52913</v>
      </c>
      <c r="J7" s="65">
        <v>53865</v>
      </c>
    </row>
    <row r="8" spans="1:234" s="66" customFormat="1">
      <c r="A8" s="63" t="s">
        <v>104</v>
      </c>
      <c r="B8" s="64">
        <v>75791</v>
      </c>
      <c r="C8" s="64">
        <v>81735</v>
      </c>
      <c r="D8" s="64">
        <v>87928</v>
      </c>
      <c r="E8" s="64">
        <v>94529</v>
      </c>
      <c r="F8" s="64">
        <v>97701</v>
      </c>
      <c r="G8" s="64">
        <v>101512</v>
      </c>
      <c r="H8" s="64">
        <v>103985</v>
      </c>
      <c r="I8" s="64">
        <v>106930</v>
      </c>
      <c r="J8" s="65">
        <v>109787</v>
      </c>
    </row>
    <row r="9" spans="1:234" s="66" customFormat="1">
      <c r="A9" s="63" t="s">
        <v>141</v>
      </c>
      <c r="B9" s="64">
        <v>1744</v>
      </c>
      <c r="C9" s="64">
        <v>1782</v>
      </c>
      <c r="D9" s="64">
        <v>1295</v>
      </c>
      <c r="E9" s="64">
        <v>1395</v>
      </c>
      <c r="F9" s="64">
        <v>1522</v>
      </c>
      <c r="G9" s="64">
        <v>0</v>
      </c>
      <c r="H9" s="64">
        <v>0</v>
      </c>
      <c r="I9" s="64">
        <v>0</v>
      </c>
      <c r="J9" s="65">
        <v>0</v>
      </c>
    </row>
    <row r="10" spans="1:234" s="66" customFormat="1">
      <c r="A10" s="63" t="s">
        <v>80</v>
      </c>
      <c r="B10" s="64">
        <v>6008</v>
      </c>
      <c r="C10" s="64">
        <v>6100</v>
      </c>
      <c r="D10" s="64">
        <v>5408</v>
      </c>
      <c r="E10" s="64">
        <v>5709</v>
      </c>
      <c r="F10" s="64">
        <v>5170</v>
      </c>
      <c r="G10" s="64">
        <v>5295</v>
      </c>
      <c r="H10" s="64">
        <v>5028</v>
      </c>
      <c r="I10" s="64">
        <v>4966</v>
      </c>
      <c r="J10" s="65">
        <v>4431</v>
      </c>
    </row>
    <row r="11" spans="1:234" s="66" customFormat="1">
      <c r="A11" s="67" t="s">
        <v>81</v>
      </c>
      <c r="B11" s="64">
        <v>3324</v>
      </c>
      <c r="C11" s="64">
        <v>3926</v>
      </c>
      <c r="D11" s="64">
        <v>4058</v>
      </c>
      <c r="E11" s="64">
        <v>4275</v>
      </c>
      <c r="F11" s="64">
        <v>3632</v>
      </c>
      <c r="G11" s="64">
        <v>2014</v>
      </c>
      <c r="H11" s="64">
        <v>1784</v>
      </c>
      <c r="I11" s="64">
        <v>1630</v>
      </c>
      <c r="J11" s="65">
        <v>1243</v>
      </c>
    </row>
    <row r="12" spans="1:234" s="66" customFormat="1">
      <c r="A12" s="63" t="s">
        <v>105</v>
      </c>
      <c r="B12" s="64">
        <v>22540</v>
      </c>
      <c r="C12" s="64">
        <v>22750</v>
      </c>
      <c r="D12" s="64">
        <v>24650</v>
      </c>
      <c r="E12" s="64">
        <v>25515</v>
      </c>
      <c r="F12" s="64">
        <v>25956</v>
      </c>
      <c r="G12" s="64">
        <v>26000</v>
      </c>
      <c r="H12" s="64">
        <v>23974</v>
      </c>
      <c r="I12" s="64">
        <v>24198</v>
      </c>
      <c r="J12" s="65">
        <v>22850</v>
      </c>
    </row>
    <row r="13" spans="1:234" s="66" customFormat="1">
      <c r="A13" s="63" t="s">
        <v>82</v>
      </c>
      <c r="B13" s="64">
        <v>14479</v>
      </c>
      <c r="C13" s="64">
        <v>15675</v>
      </c>
      <c r="D13" s="64">
        <v>16368</v>
      </c>
      <c r="E13" s="64">
        <v>17354</v>
      </c>
      <c r="F13" s="64">
        <v>17063</v>
      </c>
      <c r="G13" s="64">
        <v>16555</v>
      </c>
      <c r="H13" s="64">
        <v>15661</v>
      </c>
      <c r="I13" s="64">
        <v>14696</v>
      </c>
      <c r="J13" s="65">
        <v>13668</v>
      </c>
    </row>
    <row r="14" spans="1:234" s="66" customFormat="1">
      <c r="A14" s="63" t="s">
        <v>83</v>
      </c>
      <c r="B14" s="64">
        <v>8499</v>
      </c>
      <c r="C14" s="64">
        <v>8706</v>
      </c>
      <c r="D14" s="64">
        <v>9013</v>
      </c>
      <c r="E14" s="64">
        <v>9340</v>
      </c>
      <c r="F14" s="64">
        <v>8865</v>
      </c>
      <c r="G14" s="64">
        <v>8987</v>
      </c>
      <c r="H14" s="64">
        <v>8580</v>
      </c>
      <c r="I14" s="64">
        <v>8137</v>
      </c>
      <c r="J14" s="65">
        <v>7864</v>
      </c>
    </row>
    <row r="15" spans="1:234" s="66" customFormat="1">
      <c r="A15" s="63" t="s">
        <v>84</v>
      </c>
      <c r="B15" s="64">
        <v>7830</v>
      </c>
      <c r="C15" s="64">
        <v>8469</v>
      </c>
      <c r="D15" s="64">
        <v>8624</v>
      </c>
      <c r="E15" s="64">
        <v>8501</v>
      </c>
      <c r="F15" s="64">
        <v>8561</v>
      </c>
      <c r="G15" s="64">
        <v>8157</v>
      </c>
      <c r="H15" s="64">
        <v>7752</v>
      </c>
      <c r="I15" s="64">
        <v>7386</v>
      </c>
      <c r="J15" s="65">
        <v>7063</v>
      </c>
    </row>
    <row r="16" spans="1:234" s="66" customFormat="1">
      <c r="A16" s="63" t="s">
        <v>85</v>
      </c>
      <c r="B16" s="64">
        <v>687</v>
      </c>
      <c r="C16" s="64">
        <v>705</v>
      </c>
      <c r="D16" s="64">
        <v>712</v>
      </c>
      <c r="E16" s="64">
        <v>697</v>
      </c>
      <c r="F16" s="64">
        <v>658</v>
      </c>
      <c r="G16" s="64">
        <v>644</v>
      </c>
      <c r="H16" s="64">
        <v>614</v>
      </c>
      <c r="I16" s="64">
        <v>590</v>
      </c>
      <c r="J16" s="65">
        <v>552</v>
      </c>
    </row>
    <row r="17" spans="1:10" s="66" customFormat="1">
      <c r="A17" s="63" t="s">
        <v>86</v>
      </c>
      <c r="B17" s="64">
        <v>23520</v>
      </c>
      <c r="C17" s="64">
        <v>24613</v>
      </c>
      <c r="D17" s="64">
        <v>25403</v>
      </c>
      <c r="E17" s="64">
        <v>27596</v>
      </c>
      <c r="F17" s="64">
        <v>27966</v>
      </c>
      <c r="G17" s="64">
        <v>27413</v>
      </c>
      <c r="H17" s="64">
        <v>25266</v>
      </c>
      <c r="I17" s="64">
        <v>24957</v>
      </c>
      <c r="J17" s="65">
        <v>24746</v>
      </c>
    </row>
    <row r="18" spans="1:10" s="66" customFormat="1">
      <c r="A18" s="63" t="s">
        <v>87</v>
      </c>
      <c r="B18" s="64">
        <v>1689</v>
      </c>
      <c r="C18" s="64">
        <v>1735</v>
      </c>
      <c r="D18" s="64">
        <v>1946</v>
      </c>
      <c r="E18" s="64">
        <v>2022</v>
      </c>
      <c r="F18" s="64">
        <v>2097</v>
      </c>
      <c r="G18" s="64">
        <v>2022</v>
      </c>
      <c r="H18" s="64">
        <v>1463</v>
      </c>
      <c r="I18" s="64">
        <v>1429</v>
      </c>
      <c r="J18" s="65">
        <v>1167</v>
      </c>
    </row>
    <row r="19" spans="1:10" s="66" customFormat="1">
      <c r="A19" s="63" t="s">
        <v>88</v>
      </c>
      <c r="B19" s="64">
        <v>4098</v>
      </c>
      <c r="C19" s="64">
        <v>4448</v>
      </c>
      <c r="D19" s="64">
        <v>4742</v>
      </c>
      <c r="E19" s="64">
        <v>5234</v>
      </c>
      <c r="F19" s="64">
        <v>5915</v>
      </c>
      <c r="G19" s="64">
        <v>6465</v>
      </c>
      <c r="H19" s="64">
        <v>7195</v>
      </c>
      <c r="I19" s="64">
        <v>9394</v>
      </c>
      <c r="J19" s="65">
        <v>9412</v>
      </c>
    </row>
    <row r="20" spans="1:10" s="66" customFormat="1">
      <c r="A20" s="67" t="s">
        <v>89</v>
      </c>
      <c r="B20" s="64">
        <v>911</v>
      </c>
      <c r="C20" s="64">
        <v>672</v>
      </c>
      <c r="D20" s="64">
        <v>288</v>
      </c>
      <c r="E20" s="64">
        <v>1216</v>
      </c>
      <c r="F20" s="64">
        <v>1148</v>
      </c>
      <c r="G20" s="64">
        <v>1503</v>
      </c>
      <c r="H20" s="64">
        <v>1398</v>
      </c>
      <c r="I20" s="64">
        <v>1341</v>
      </c>
      <c r="J20" s="65">
        <v>1036</v>
      </c>
    </row>
    <row r="21" spans="1:10" s="66" customFormat="1">
      <c r="A21" s="63" t="s">
        <v>90</v>
      </c>
      <c r="B21" s="64">
        <v>2260</v>
      </c>
      <c r="C21" s="64">
        <v>2356</v>
      </c>
      <c r="D21" s="64">
        <v>2219</v>
      </c>
      <c r="E21" s="64">
        <v>2261</v>
      </c>
      <c r="F21" s="64">
        <v>2166</v>
      </c>
      <c r="G21" s="64">
        <v>2110</v>
      </c>
      <c r="H21" s="64">
        <v>2056</v>
      </c>
      <c r="I21" s="64">
        <v>1913</v>
      </c>
      <c r="J21" s="65">
        <v>1792</v>
      </c>
    </row>
    <row r="22" spans="1:10" s="66" customFormat="1">
      <c r="A22" s="63" t="s">
        <v>91</v>
      </c>
      <c r="B22" s="64">
        <v>1356</v>
      </c>
      <c r="C22" s="64">
        <v>1396</v>
      </c>
      <c r="D22" s="64">
        <v>1435</v>
      </c>
      <c r="E22" s="64">
        <v>1391</v>
      </c>
      <c r="F22" s="64">
        <v>1420</v>
      </c>
      <c r="G22" s="64">
        <v>1448</v>
      </c>
      <c r="H22" s="64">
        <v>2002</v>
      </c>
      <c r="I22" s="64">
        <v>1226</v>
      </c>
      <c r="J22" s="65">
        <v>1131</v>
      </c>
    </row>
    <row r="23" spans="1:10" s="66" customFormat="1">
      <c r="A23" s="63" t="s">
        <v>92</v>
      </c>
      <c r="B23" s="64">
        <v>7552</v>
      </c>
      <c r="C23" s="64">
        <v>7786</v>
      </c>
      <c r="D23" s="64">
        <v>7688</v>
      </c>
      <c r="E23" s="64">
        <v>8547</v>
      </c>
      <c r="F23" s="64">
        <v>8684</v>
      </c>
      <c r="G23" s="64">
        <v>7561</v>
      </c>
      <c r="H23" s="64">
        <v>7377</v>
      </c>
      <c r="I23" s="64">
        <v>7421</v>
      </c>
      <c r="J23" s="65">
        <v>7605</v>
      </c>
    </row>
    <row r="24" spans="1:10" s="66" customFormat="1">
      <c r="A24" s="63" t="s">
        <v>93</v>
      </c>
      <c r="B24" s="64">
        <v>21475</v>
      </c>
      <c r="C24" s="64">
        <v>22905</v>
      </c>
      <c r="D24" s="64">
        <v>23552</v>
      </c>
      <c r="E24" s="64">
        <v>24486</v>
      </c>
      <c r="F24" s="64">
        <v>25224</v>
      </c>
      <c r="G24" s="64">
        <v>24849</v>
      </c>
      <c r="H24" s="64">
        <v>25152</v>
      </c>
      <c r="I24" s="64">
        <v>25344</v>
      </c>
      <c r="J24" s="65">
        <v>25451</v>
      </c>
    </row>
    <row r="25" spans="1:10" s="66" customFormat="1">
      <c r="A25" s="63" t="s">
        <v>94</v>
      </c>
      <c r="B25" s="64">
        <v>11366</v>
      </c>
      <c r="C25" s="64">
        <v>11955</v>
      </c>
      <c r="D25" s="64">
        <v>12420</v>
      </c>
      <c r="E25" s="64">
        <v>13074</v>
      </c>
      <c r="F25" s="64">
        <v>13386</v>
      </c>
      <c r="G25" s="64">
        <v>13355</v>
      </c>
      <c r="H25" s="64">
        <v>13367</v>
      </c>
      <c r="I25" s="64">
        <v>13510</v>
      </c>
      <c r="J25" s="65">
        <v>13545</v>
      </c>
    </row>
    <row r="26" spans="1:10" s="66" customFormat="1">
      <c r="A26" s="63" t="s">
        <v>95</v>
      </c>
      <c r="B26" s="64">
        <v>8181</v>
      </c>
      <c r="C26" s="64">
        <v>8635</v>
      </c>
      <c r="D26" s="64">
        <v>8952</v>
      </c>
      <c r="E26" s="64">
        <v>9335</v>
      </c>
      <c r="F26" s="64">
        <v>9637</v>
      </c>
      <c r="G26" s="64">
        <v>9455</v>
      </c>
      <c r="H26" s="64">
        <v>9452</v>
      </c>
      <c r="I26" s="64">
        <v>9511</v>
      </c>
      <c r="J26" s="65">
        <v>9552</v>
      </c>
    </row>
    <row r="27" spans="1:10" s="66" customFormat="1">
      <c r="A27" s="63" t="s">
        <v>96</v>
      </c>
      <c r="B27" s="64">
        <v>4276</v>
      </c>
      <c r="C27" s="64">
        <v>4095</v>
      </c>
      <c r="D27" s="64">
        <v>4132</v>
      </c>
      <c r="E27" s="64">
        <v>4048</v>
      </c>
      <c r="F27" s="64">
        <v>3758</v>
      </c>
      <c r="G27" s="64">
        <v>3775</v>
      </c>
      <c r="H27" s="64">
        <v>3657</v>
      </c>
      <c r="I27" s="64">
        <v>3612</v>
      </c>
      <c r="J27" s="65">
        <v>3436</v>
      </c>
    </row>
    <row r="28" spans="1:10" s="66" customFormat="1">
      <c r="A28" s="63" t="s">
        <v>97</v>
      </c>
      <c r="B28" s="68">
        <v>1495</v>
      </c>
      <c r="C28" s="68">
        <v>1590</v>
      </c>
      <c r="D28" s="68">
        <v>1764</v>
      </c>
      <c r="E28" s="68">
        <v>1955</v>
      </c>
      <c r="F28" s="64">
        <v>2002</v>
      </c>
      <c r="G28" s="68">
        <v>2077</v>
      </c>
      <c r="H28" s="68">
        <v>2014</v>
      </c>
      <c r="I28" s="68">
        <v>1942</v>
      </c>
      <c r="J28" s="69">
        <v>2135</v>
      </c>
    </row>
    <row r="29" spans="1:10" s="66" customFormat="1">
      <c r="A29" s="63" t="s">
        <v>142</v>
      </c>
      <c r="B29" s="68">
        <v>1440</v>
      </c>
      <c r="C29" s="68">
        <v>1467</v>
      </c>
      <c r="D29" s="68">
        <v>1537</v>
      </c>
      <c r="E29" s="68">
        <v>1479</v>
      </c>
      <c r="F29" s="64">
        <v>1224</v>
      </c>
      <c r="G29" s="68">
        <v>1727</v>
      </c>
      <c r="H29" s="68">
        <v>1427</v>
      </c>
      <c r="I29" s="68">
        <v>1371</v>
      </c>
      <c r="J29" s="69">
        <v>1329</v>
      </c>
    </row>
    <row r="30" spans="1:10" s="66" customFormat="1">
      <c r="A30" s="63" t="s">
        <v>99</v>
      </c>
      <c r="B30" s="68" t="s">
        <v>130</v>
      </c>
      <c r="C30" s="68" t="s">
        <v>130</v>
      </c>
      <c r="D30" s="68" t="s">
        <v>130</v>
      </c>
      <c r="E30" s="68" t="s">
        <v>130</v>
      </c>
      <c r="F30" s="68" t="s">
        <v>130</v>
      </c>
      <c r="G30" s="68">
        <v>2000</v>
      </c>
      <c r="H30" s="68">
        <v>2500</v>
      </c>
      <c r="I30" s="68">
        <v>2600</v>
      </c>
      <c r="J30" s="69">
        <v>2500</v>
      </c>
    </row>
    <row r="31" spans="1:10" s="66" customFormat="1">
      <c r="A31" s="63" t="s">
        <v>100</v>
      </c>
      <c r="B31" s="68" t="s">
        <v>130</v>
      </c>
      <c r="C31" s="68" t="s">
        <v>130</v>
      </c>
      <c r="D31" s="68" t="s">
        <v>130</v>
      </c>
      <c r="E31" s="68" t="s">
        <v>130</v>
      </c>
      <c r="F31" s="68" t="s">
        <v>130</v>
      </c>
      <c r="G31" s="68">
        <v>100</v>
      </c>
      <c r="H31" s="68">
        <v>3100</v>
      </c>
      <c r="I31" s="68">
        <v>3000</v>
      </c>
      <c r="J31" s="69">
        <v>2800</v>
      </c>
    </row>
    <row r="32" spans="1:10" s="66" customFormat="1">
      <c r="A32" s="63" t="s">
        <v>101</v>
      </c>
      <c r="B32" s="68" t="s">
        <v>130</v>
      </c>
      <c r="C32" s="68" t="s">
        <v>130</v>
      </c>
      <c r="D32" s="68" t="s">
        <v>130</v>
      </c>
      <c r="E32" s="68" t="s">
        <v>130</v>
      </c>
      <c r="F32" s="68" t="s">
        <v>130</v>
      </c>
      <c r="G32" s="68" t="s">
        <v>130</v>
      </c>
      <c r="H32" s="68" t="s">
        <v>130</v>
      </c>
      <c r="I32" s="68">
        <v>1000</v>
      </c>
      <c r="J32" s="69" t="s">
        <v>130</v>
      </c>
    </row>
    <row r="33" spans="1:10" s="73" customFormat="1" ht="12">
      <c r="A33" s="70" t="s">
        <v>143</v>
      </c>
      <c r="B33" s="71">
        <v>272403</v>
      </c>
      <c r="C33" s="71">
        <v>288192</v>
      </c>
      <c r="D33" s="71">
        <v>300754</v>
      </c>
      <c r="E33" s="71">
        <v>319337</v>
      </c>
      <c r="F33" s="71">
        <v>325165</v>
      </c>
      <c r="G33" s="71">
        <v>326300</v>
      </c>
      <c r="H33" s="71">
        <v>327100</v>
      </c>
      <c r="I33" s="71">
        <v>331000</v>
      </c>
      <c r="J33" s="72">
        <v>328900</v>
      </c>
    </row>
    <row r="34" spans="1:10">
      <c r="A34" s="59" t="s">
        <v>39</v>
      </c>
      <c r="B34" s="60"/>
      <c r="C34" s="60"/>
      <c r="D34" s="60"/>
      <c r="E34" s="60"/>
      <c r="F34" s="60"/>
      <c r="G34" s="60"/>
      <c r="H34" s="60"/>
      <c r="I34" s="60"/>
      <c r="J34" s="61"/>
    </row>
    <row r="35" spans="1:10">
      <c r="A35" s="63" t="s">
        <v>103</v>
      </c>
      <c r="B35" s="64">
        <v>4056</v>
      </c>
      <c r="C35" s="64">
        <v>5226</v>
      </c>
      <c r="D35" s="64">
        <v>5524</v>
      </c>
      <c r="E35" s="64">
        <v>7442</v>
      </c>
      <c r="F35" s="64">
        <v>7124</v>
      </c>
      <c r="G35" s="64">
        <v>5059</v>
      </c>
      <c r="H35" s="64">
        <v>4213</v>
      </c>
      <c r="I35" s="64">
        <v>3266</v>
      </c>
      <c r="J35" s="65">
        <v>3378</v>
      </c>
    </row>
    <row r="36" spans="1:10">
      <c r="A36" s="63" t="s">
        <v>104</v>
      </c>
      <c r="B36" s="64">
        <v>2996</v>
      </c>
      <c r="C36" s="64">
        <v>3967</v>
      </c>
      <c r="D36" s="64">
        <v>4369</v>
      </c>
      <c r="E36" s="64">
        <v>5183</v>
      </c>
      <c r="F36" s="64">
        <v>4200</v>
      </c>
      <c r="G36" s="64">
        <v>4429</v>
      </c>
      <c r="H36" s="64">
        <v>4429</v>
      </c>
      <c r="I36" s="64">
        <v>4437</v>
      </c>
      <c r="J36" s="65">
        <v>4648</v>
      </c>
    </row>
    <row r="37" spans="1:10">
      <c r="A37" s="63" t="s">
        <v>80</v>
      </c>
      <c r="B37" s="64">
        <v>7093</v>
      </c>
      <c r="C37" s="64">
        <v>6739</v>
      </c>
      <c r="D37" s="64">
        <v>7252</v>
      </c>
      <c r="E37" s="64">
        <v>8253</v>
      </c>
      <c r="F37" s="64">
        <v>7386</v>
      </c>
      <c r="G37" s="64">
        <v>7731</v>
      </c>
      <c r="H37" s="64">
        <v>8082</v>
      </c>
      <c r="I37" s="64">
        <v>7480</v>
      </c>
      <c r="J37" s="65">
        <v>7517</v>
      </c>
    </row>
    <row r="38" spans="1:10">
      <c r="A38" s="67" t="s">
        <v>81</v>
      </c>
      <c r="B38" s="64">
        <v>5602</v>
      </c>
      <c r="C38" s="64">
        <v>6234</v>
      </c>
      <c r="D38" s="64">
        <v>7109</v>
      </c>
      <c r="E38" s="64">
        <v>8935</v>
      </c>
      <c r="F38" s="64">
        <v>6420</v>
      </c>
      <c r="G38" s="64">
        <v>3463</v>
      </c>
      <c r="H38" s="64">
        <v>2293</v>
      </c>
      <c r="I38" s="64">
        <v>1814</v>
      </c>
      <c r="J38" s="65">
        <v>1961</v>
      </c>
    </row>
    <row r="39" spans="1:10">
      <c r="A39" s="63" t="s">
        <v>105</v>
      </c>
      <c r="B39" s="64">
        <v>223</v>
      </c>
      <c r="C39" s="64">
        <v>32</v>
      </c>
      <c r="D39" s="64">
        <v>122</v>
      </c>
      <c r="E39" s="64">
        <v>260</v>
      </c>
      <c r="F39" s="64">
        <v>-67</v>
      </c>
      <c r="G39" s="64">
        <v>0</v>
      </c>
      <c r="H39" s="64">
        <v>0</v>
      </c>
      <c r="I39" s="64">
        <v>0</v>
      </c>
      <c r="J39" s="65">
        <v>0</v>
      </c>
    </row>
    <row r="40" spans="1:10">
      <c r="A40" s="63" t="s">
        <v>82</v>
      </c>
      <c r="B40" s="64">
        <v>1936</v>
      </c>
      <c r="C40" s="64">
        <v>2106</v>
      </c>
      <c r="D40" s="64">
        <v>2129</v>
      </c>
      <c r="E40" s="64">
        <v>3023</v>
      </c>
      <c r="F40" s="64">
        <v>2071</v>
      </c>
      <c r="G40" s="64">
        <v>1178</v>
      </c>
      <c r="H40" s="64">
        <v>973</v>
      </c>
      <c r="I40" s="64">
        <v>747</v>
      </c>
      <c r="J40" s="65">
        <v>970</v>
      </c>
    </row>
    <row r="41" spans="1:10">
      <c r="A41" s="63" t="s">
        <v>83</v>
      </c>
      <c r="B41" s="64">
        <v>600</v>
      </c>
      <c r="C41" s="64">
        <v>744</v>
      </c>
      <c r="D41" s="64">
        <v>836</v>
      </c>
      <c r="E41" s="64">
        <v>999</v>
      </c>
      <c r="F41" s="64">
        <v>740</v>
      </c>
      <c r="G41" s="64">
        <v>503</v>
      </c>
      <c r="H41" s="64">
        <v>501</v>
      </c>
      <c r="I41" s="64">
        <v>366</v>
      </c>
      <c r="J41" s="65">
        <v>466</v>
      </c>
    </row>
    <row r="42" spans="1:10">
      <c r="A42" s="63" t="s">
        <v>84</v>
      </c>
      <c r="B42" s="64">
        <v>535</v>
      </c>
      <c r="C42" s="64">
        <v>749</v>
      </c>
      <c r="D42" s="64">
        <v>899</v>
      </c>
      <c r="E42" s="64">
        <v>848</v>
      </c>
      <c r="F42" s="64">
        <v>539</v>
      </c>
      <c r="G42" s="64">
        <v>429</v>
      </c>
      <c r="H42" s="64">
        <v>311</v>
      </c>
      <c r="I42" s="64">
        <v>279</v>
      </c>
      <c r="J42" s="65">
        <v>301</v>
      </c>
    </row>
    <row r="43" spans="1:10">
      <c r="A43" s="63" t="s">
        <v>85</v>
      </c>
      <c r="B43" s="64">
        <v>11</v>
      </c>
      <c r="C43" s="64">
        <v>11</v>
      </c>
      <c r="D43" s="64">
        <v>9</v>
      </c>
      <c r="E43" s="64">
        <v>12</v>
      </c>
      <c r="F43" s="64">
        <v>8</v>
      </c>
      <c r="G43" s="64">
        <v>6</v>
      </c>
      <c r="H43" s="64">
        <v>6</v>
      </c>
      <c r="I43" s="64">
        <v>6</v>
      </c>
      <c r="J43" s="65">
        <v>7</v>
      </c>
    </row>
    <row r="44" spans="1:10">
      <c r="A44" s="63" t="s">
        <v>86</v>
      </c>
      <c r="B44" s="64">
        <v>7193</v>
      </c>
      <c r="C44" s="64">
        <v>8608</v>
      </c>
      <c r="D44" s="64">
        <v>8980</v>
      </c>
      <c r="E44" s="64">
        <v>9210</v>
      </c>
      <c r="F44" s="64">
        <v>9436</v>
      </c>
      <c r="G44" s="64">
        <v>10031</v>
      </c>
      <c r="H44" s="64">
        <v>9136</v>
      </c>
      <c r="I44" s="64">
        <v>9191</v>
      </c>
      <c r="J44" s="65">
        <v>8749</v>
      </c>
    </row>
    <row r="45" spans="1:10">
      <c r="A45" s="63" t="s">
        <v>87</v>
      </c>
      <c r="B45" s="64">
        <v>161</v>
      </c>
      <c r="C45" s="64">
        <v>228</v>
      </c>
      <c r="D45" s="64">
        <v>227</v>
      </c>
      <c r="E45" s="64">
        <v>201</v>
      </c>
      <c r="F45" s="64">
        <v>156</v>
      </c>
      <c r="G45" s="64">
        <v>107</v>
      </c>
      <c r="H45" s="64">
        <v>102</v>
      </c>
      <c r="I45" s="64">
        <v>102</v>
      </c>
      <c r="J45" s="65">
        <v>98</v>
      </c>
    </row>
    <row r="46" spans="1:10">
      <c r="A46" s="63" t="s">
        <v>88</v>
      </c>
      <c r="B46" s="64">
        <v>765</v>
      </c>
      <c r="C46" s="64">
        <v>738</v>
      </c>
      <c r="D46" s="64">
        <v>875</v>
      </c>
      <c r="E46" s="64">
        <v>1353</v>
      </c>
      <c r="F46" s="64">
        <v>1558</v>
      </c>
      <c r="G46" s="64">
        <v>1394</v>
      </c>
      <c r="H46" s="64">
        <v>1635</v>
      </c>
      <c r="I46" s="64">
        <v>1924</v>
      </c>
      <c r="J46" s="65">
        <v>2044</v>
      </c>
    </row>
    <row r="47" spans="1:10">
      <c r="A47" s="67" t="s">
        <v>89</v>
      </c>
      <c r="B47" s="64">
        <v>1463</v>
      </c>
      <c r="C47" s="64">
        <v>1485</v>
      </c>
      <c r="D47" s="64">
        <v>1666</v>
      </c>
      <c r="E47" s="64">
        <v>1806</v>
      </c>
      <c r="F47" s="64">
        <v>2013</v>
      </c>
      <c r="G47" s="64">
        <v>1506</v>
      </c>
      <c r="H47" s="64">
        <v>2013</v>
      </c>
      <c r="I47" s="64">
        <v>2208</v>
      </c>
      <c r="J47" s="65">
        <v>2711</v>
      </c>
    </row>
    <row r="48" spans="1:10">
      <c r="A48" s="63" t="s">
        <v>90</v>
      </c>
      <c r="B48" s="64">
        <v>583</v>
      </c>
      <c r="C48" s="64">
        <v>557</v>
      </c>
      <c r="D48" s="64">
        <v>610</v>
      </c>
      <c r="E48" s="64">
        <v>693</v>
      </c>
      <c r="F48" s="64">
        <v>570</v>
      </c>
      <c r="G48" s="64">
        <v>373</v>
      </c>
      <c r="H48" s="64">
        <v>381</v>
      </c>
      <c r="I48" s="64">
        <v>379</v>
      </c>
      <c r="J48" s="65">
        <v>411</v>
      </c>
    </row>
    <row r="49" spans="1:15">
      <c r="A49" s="63" t="s">
        <v>91</v>
      </c>
      <c r="B49" s="64">
        <v>287</v>
      </c>
      <c r="C49" s="64">
        <v>537</v>
      </c>
      <c r="D49" s="64">
        <v>823</v>
      </c>
      <c r="E49" s="64">
        <v>519</v>
      </c>
      <c r="F49" s="64">
        <v>578</v>
      </c>
      <c r="G49" s="64">
        <v>1375</v>
      </c>
      <c r="H49" s="64">
        <v>565</v>
      </c>
      <c r="I49" s="64">
        <v>175</v>
      </c>
      <c r="J49" s="65">
        <v>69</v>
      </c>
    </row>
    <row r="50" spans="1:15">
      <c r="A50" s="63" t="s">
        <v>92</v>
      </c>
      <c r="B50" s="64">
        <v>201</v>
      </c>
      <c r="C50" s="64">
        <v>72</v>
      </c>
      <c r="D50" s="64">
        <v>85</v>
      </c>
      <c r="E50" s="64">
        <v>272</v>
      </c>
      <c r="F50" s="64">
        <v>322</v>
      </c>
      <c r="G50" s="64">
        <v>245</v>
      </c>
      <c r="H50" s="64">
        <v>324</v>
      </c>
      <c r="I50" s="64">
        <v>385</v>
      </c>
      <c r="J50" s="65">
        <v>242</v>
      </c>
    </row>
    <row r="51" spans="1:15">
      <c r="A51" s="63" t="s">
        <v>93</v>
      </c>
      <c r="B51" s="64">
        <v>3030</v>
      </c>
      <c r="C51" s="64">
        <v>3563</v>
      </c>
      <c r="D51" s="64">
        <v>3333</v>
      </c>
      <c r="E51" s="64">
        <v>3927</v>
      </c>
      <c r="F51" s="64">
        <v>3287</v>
      </c>
      <c r="G51" s="64">
        <v>2540</v>
      </c>
      <c r="H51" s="64">
        <v>2475</v>
      </c>
      <c r="I51" s="64">
        <v>2237</v>
      </c>
      <c r="J51" s="65">
        <v>2318</v>
      </c>
    </row>
    <row r="52" spans="1:15">
      <c r="A52" s="63" t="s">
        <v>94</v>
      </c>
      <c r="B52" s="64">
        <v>1318</v>
      </c>
      <c r="C52" s="64">
        <v>1462</v>
      </c>
      <c r="D52" s="64">
        <v>1627</v>
      </c>
      <c r="E52" s="64">
        <v>1930</v>
      </c>
      <c r="F52" s="64">
        <v>1751</v>
      </c>
      <c r="G52" s="64">
        <v>1288</v>
      </c>
      <c r="H52" s="64">
        <v>1189</v>
      </c>
      <c r="I52" s="64">
        <v>1065</v>
      </c>
      <c r="J52" s="65">
        <v>1106</v>
      </c>
    </row>
    <row r="53" spans="1:15">
      <c r="A53" s="63" t="s">
        <v>95</v>
      </c>
      <c r="B53" s="64">
        <v>826</v>
      </c>
      <c r="C53" s="64">
        <v>1110</v>
      </c>
      <c r="D53" s="64">
        <v>1309</v>
      </c>
      <c r="E53" s="64">
        <v>1283</v>
      </c>
      <c r="F53" s="64">
        <v>1194</v>
      </c>
      <c r="G53" s="64">
        <v>915</v>
      </c>
      <c r="H53" s="64">
        <v>859</v>
      </c>
      <c r="I53" s="64">
        <v>781</v>
      </c>
      <c r="J53" s="65">
        <v>804</v>
      </c>
    </row>
    <row r="54" spans="1:15">
      <c r="A54" s="63" t="s">
        <v>96</v>
      </c>
      <c r="B54" s="64">
        <v>299</v>
      </c>
      <c r="C54" s="64">
        <v>240</v>
      </c>
      <c r="D54" s="64">
        <v>281</v>
      </c>
      <c r="E54" s="64">
        <v>285</v>
      </c>
      <c r="F54" s="64">
        <v>211</v>
      </c>
      <c r="G54" s="64">
        <v>339</v>
      </c>
      <c r="H54" s="64">
        <v>170</v>
      </c>
      <c r="I54" s="64">
        <v>136</v>
      </c>
      <c r="J54" s="65">
        <v>134</v>
      </c>
    </row>
    <row r="55" spans="1:15">
      <c r="A55" s="63" t="s">
        <v>97</v>
      </c>
      <c r="B55" s="68">
        <v>243</v>
      </c>
      <c r="C55" s="68">
        <v>319</v>
      </c>
      <c r="D55" s="68">
        <v>396</v>
      </c>
      <c r="E55" s="68">
        <v>454</v>
      </c>
      <c r="F55" s="64">
        <v>433</v>
      </c>
      <c r="G55" s="68">
        <v>400</v>
      </c>
      <c r="H55" s="68">
        <v>379</v>
      </c>
      <c r="I55" s="68">
        <v>387</v>
      </c>
      <c r="J55" s="69">
        <v>357</v>
      </c>
    </row>
    <row r="56" spans="1:15">
      <c r="A56" s="63" t="s">
        <v>142</v>
      </c>
      <c r="B56" s="68">
        <v>63</v>
      </c>
      <c r="C56" s="68">
        <v>80</v>
      </c>
      <c r="D56" s="68">
        <v>49</v>
      </c>
      <c r="E56" s="68">
        <v>78</v>
      </c>
      <c r="F56" s="64">
        <v>75</v>
      </c>
      <c r="G56" s="68">
        <v>62</v>
      </c>
      <c r="H56" s="68">
        <v>75</v>
      </c>
      <c r="I56" s="68">
        <v>77</v>
      </c>
      <c r="J56" s="69">
        <v>82</v>
      </c>
    </row>
    <row r="57" spans="1:15">
      <c r="A57" s="141" t="s">
        <v>99</v>
      </c>
      <c r="B57" s="68" t="s">
        <v>130</v>
      </c>
      <c r="C57" s="68" t="s">
        <v>130</v>
      </c>
      <c r="D57" s="68" t="s">
        <v>130</v>
      </c>
      <c r="E57" s="68" t="s">
        <v>130</v>
      </c>
      <c r="F57" s="68" t="s">
        <v>130</v>
      </c>
      <c r="G57" s="68">
        <v>900</v>
      </c>
      <c r="H57" s="68">
        <v>1000</v>
      </c>
      <c r="I57" s="68">
        <v>1000</v>
      </c>
      <c r="J57" s="69">
        <v>1100</v>
      </c>
    </row>
    <row r="58" spans="1:15">
      <c r="A58" s="141" t="s">
        <v>100</v>
      </c>
      <c r="B58" s="68" t="s">
        <v>130</v>
      </c>
      <c r="C58" s="68" t="s">
        <v>130</v>
      </c>
      <c r="D58" s="68" t="s">
        <v>130</v>
      </c>
      <c r="E58" s="68" t="s">
        <v>130</v>
      </c>
      <c r="F58" s="68" t="s">
        <v>130</v>
      </c>
      <c r="G58" s="68">
        <v>200</v>
      </c>
      <c r="H58" s="68">
        <v>800</v>
      </c>
      <c r="I58" s="68">
        <v>800</v>
      </c>
      <c r="J58" s="69">
        <v>800</v>
      </c>
    </row>
    <row r="59" spans="1:15">
      <c r="A59" s="141" t="s">
        <v>101</v>
      </c>
      <c r="B59" s="68" t="s">
        <v>130</v>
      </c>
      <c r="C59" s="68" t="s">
        <v>130</v>
      </c>
      <c r="D59" s="68" t="s">
        <v>130</v>
      </c>
      <c r="E59" s="68" t="s">
        <v>130</v>
      </c>
      <c r="F59" s="68" t="s">
        <v>130</v>
      </c>
      <c r="G59" s="68" t="s">
        <v>130</v>
      </c>
      <c r="H59" s="68">
        <v>800</v>
      </c>
      <c r="I59" s="68" t="s">
        <v>130</v>
      </c>
      <c r="J59" s="69" t="s">
        <v>130</v>
      </c>
    </row>
    <row r="60" spans="1:15">
      <c r="A60" s="77" t="s">
        <v>40</v>
      </c>
      <c r="B60" s="177">
        <v>39482</v>
      </c>
      <c r="C60" s="177">
        <v>44806</v>
      </c>
      <c r="D60" s="177">
        <v>48510</v>
      </c>
      <c r="E60" s="177">
        <v>56963</v>
      </c>
      <c r="F60" s="177">
        <v>50005</v>
      </c>
      <c r="G60" s="177">
        <v>44500</v>
      </c>
      <c r="H60" s="177">
        <v>42600</v>
      </c>
      <c r="I60" s="177">
        <v>39200</v>
      </c>
      <c r="J60" s="178">
        <v>40300</v>
      </c>
    </row>
    <row r="61" spans="1:15" ht="12.75" thickBot="1">
      <c r="A61" s="80" t="s">
        <v>316</v>
      </c>
      <c r="B61" s="102">
        <v>311885</v>
      </c>
      <c r="C61" s="102">
        <v>332999</v>
      </c>
      <c r="D61" s="102">
        <v>349264</v>
      </c>
      <c r="E61" s="102">
        <v>376300</v>
      </c>
      <c r="F61" s="102">
        <v>375170</v>
      </c>
      <c r="G61" s="102">
        <v>370800</v>
      </c>
      <c r="H61" s="102">
        <v>369700</v>
      </c>
      <c r="I61" s="102">
        <v>370200</v>
      </c>
      <c r="J61" s="103">
        <v>369200</v>
      </c>
      <c r="L61" s="73"/>
      <c r="M61" s="73"/>
      <c r="N61" s="73"/>
      <c r="O61" s="73"/>
    </row>
    <row r="62" spans="1:15">
      <c r="A62" s="179" t="s">
        <v>144</v>
      </c>
      <c r="B62" s="179"/>
      <c r="C62" s="179"/>
      <c r="D62" s="179"/>
      <c r="E62" s="179"/>
    </row>
    <row r="63" spans="1:15">
      <c r="A63" s="180" t="s">
        <v>145</v>
      </c>
      <c r="B63" s="180"/>
      <c r="C63" s="180"/>
      <c r="D63" s="180"/>
      <c r="E63" s="180"/>
    </row>
    <row r="64" spans="1:15">
      <c r="A64" s="181" t="s">
        <v>315</v>
      </c>
      <c r="B64" s="181"/>
      <c r="C64" s="181"/>
      <c r="D64" s="181"/>
      <c r="E64" s="181"/>
    </row>
  </sheetData>
  <mergeCells count="1">
    <mergeCell ref="B3:F3"/>
  </mergeCells>
  <pageMargins left="0.98425196850393704" right="0.98425196850393704" top="0.98425196850393704" bottom="0.98425196850393704" header="0.51181102362204722" footer="0.51181102362204722"/>
  <pageSetup paperSize="9" scale="67"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autoPageBreaks="0"/>
  </sheetPr>
  <dimension ref="A1:HY39"/>
  <sheetViews>
    <sheetView showGridLines="0" zoomScaleNormal="100" zoomScaleSheetLayoutView="115" workbookViewId="0">
      <selection activeCell="J32" sqref="J32"/>
    </sheetView>
  </sheetViews>
  <sheetFormatPr defaultColWidth="10.1640625" defaultRowHeight="11.25"/>
  <cols>
    <col min="1" max="1" width="47.6640625" style="109" customWidth="1"/>
    <col min="2" max="6" width="12.83203125" style="109" customWidth="1"/>
    <col min="7" max="16384" width="10.1640625" style="107"/>
  </cols>
  <sheetData>
    <row r="1" spans="1:233" s="88" customFormat="1" ht="16.5">
      <c r="A1" s="87" t="s">
        <v>146</v>
      </c>
      <c r="B1" s="87"/>
      <c r="C1" s="87"/>
      <c r="D1" s="87"/>
      <c r="E1" s="87"/>
      <c r="F1" s="87"/>
    </row>
    <row r="2" spans="1:233" s="2" customFormat="1" ht="12" thickBot="1">
      <c r="A2" s="3"/>
      <c r="B2" s="3"/>
      <c r="C2" s="3"/>
      <c r="D2" s="3"/>
      <c r="E2" s="3"/>
      <c r="F2" s="3"/>
      <c r="G2" s="3"/>
      <c r="H2" s="3"/>
      <c r="I2" s="3"/>
      <c r="J2" s="4" t="s">
        <v>1</v>
      </c>
    </row>
    <row r="3" spans="1:233"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row>
    <row r="4" spans="1:233"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row>
    <row r="5" spans="1:233"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row>
    <row r="6" spans="1:233" s="96" customFormat="1">
      <c r="A6" s="94" t="s">
        <v>147</v>
      </c>
      <c r="B6" s="169"/>
      <c r="C6" s="169"/>
      <c r="D6" s="169"/>
      <c r="E6" s="169"/>
      <c r="F6" s="169"/>
      <c r="G6" s="169"/>
      <c r="H6" s="169"/>
      <c r="I6" s="169"/>
      <c r="J6" s="170"/>
    </row>
    <row r="7" spans="1:233" s="99" customFormat="1">
      <c r="A7" s="98" t="s">
        <v>103</v>
      </c>
      <c r="B7" s="64">
        <v>45939</v>
      </c>
      <c r="C7" s="64">
        <v>49916</v>
      </c>
      <c r="D7" s="64">
        <v>52146</v>
      </c>
      <c r="E7" s="64">
        <v>56820</v>
      </c>
      <c r="F7" s="64">
        <v>58534</v>
      </c>
      <c r="G7" s="64">
        <v>56346</v>
      </c>
      <c r="H7" s="64">
        <v>56584</v>
      </c>
      <c r="I7" s="64">
        <v>56179</v>
      </c>
      <c r="J7" s="65">
        <v>57243</v>
      </c>
    </row>
    <row r="8" spans="1:233" s="99" customFormat="1">
      <c r="A8" s="98" t="s">
        <v>104</v>
      </c>
      <c r="B8" s="64">
        <v>78787</v>
      </c>
      <c r="C8" s="64">
        <v>85702</v>
      </c>
      <c r="D8" s="64">
        <v>92297</v>
      </c>
      <c r="E8" s="64">
        <v>99712</v>
      </c>
      <c r="F8" s="64">
        <v>101901</v>
      </c>
      <c r="G8" s="64">
        <v>105941</v>
      </c>
      <c r="H8" s="64">
        <v>108414</v>
      </c>
      <c r="I8" s="64">
        <v>111367</v>
      </c>
      <c r="J8" s="65">
        <v>114435</v>
      </c>
    </row>
    <row r="9" spans="1:233" s="99" customFormat="1">
      <c r="A9" s="98" t="s">
        <v>141</v>
      </c>
      <c r="B9" s="64">
        <v>1744</v>
      </c>
      <c r="C9" s="64">
        <v>1782</v>
      </c>
      <c r="D9" s="64">
        <v>1295</v>
      </c>
      <c r="E9" s="64">
        <v>1395</v>
      </c>
      <c r="F9" s="64">
        <v>1522</v>
      </c>
      <c r="G9" s="64">
        <v>0</v>
      </c>
      <c r="H9" s="64">
        <v>0</v>
      </c>
      <c r="I9" s="64">
        <v>0</v>
      </c>
      <c r="J9" s="65">
        <v>0</v>
      </c>
    </row>
    <row r="10" spans="1:233" s="99" customFormat="1">
      <c r="A10" s="98" t="s">
        <v>80</v>
      </c>
      <c r="B10" s="64">
        <v>13101</v>
      </c>
      <c r="C10" s="64">
        <v>12839</v>
      </c>
      <c r="D10" s="64">
        <v>12660</v>
      </c>
      <c r="E10" s="64">
        <v>13962</v>
      </c>
      <c r="F10" s="64">
        <v>12556</v>
      </c>
      <c r="G10" s="64">
        <v>13026</v>
      </c>
      <c r="H10" s="64">
        <v>13110</v>
      </c>
      <c r="I10" s="64">
        <v>12446</v>
      </c>
      <c r="J10" s="65">
        <v>11948</v>
      </c>
    </row>
    <row r="11" spans="1:233" s="99" customFormat="1">
      <c r="A11" s="100" t="s">
        <v>81</v>
      </c>
      <c r="B11" s="64">
        <v>8926</v>
      </c>
      <c r="C11" s="64">
        <v>10160</v>
      </c>
      <c r="D11" s="64">
        <v>11167</v>
      </c>
      <c r="E11" s="64">
        <v>13210</v>
      </c>
      <c r="F11" s="64">
        <v>10052</v>
      </c>
      <c r="G11" s="64">
        <v>5477</v>
      </c>
      <c r="H11" s="64">
        <v>4077</v>
      </c>
      <c r="I11" s="64">
        <v>3444</v>
      </c>
      <c r="J11" s="65">
        <v>3204</v>
      </c>
    </row>
    <row r="12" spans="1:233" s="99" customFormat="1">
      <c r="A12" s="98" t="s">
        <v>105</v>
      </c>
      <c r="B12" s="64">
        <v>22763</v>
      </c>
      <c r="C12" s="64">
        <v>22782</v>
      </c>
      <c r="D12" s="64">
        <v>24772</v>
      </c>
      <c r="E12" s="64">
        <v>25775</v>
      </c>
      <c r="F12" s="64">
        <v>25889</v>
      </c>
      <c r="G12" s="64">
        <v>26000</v>
      </c>
      <c r="H12" s="64">
        <v>23974</v>
      </c>
      <c r="I12" s="64">
        <v>24198</v>
      </c>
      <c r="J12" s="65">
        <v>22850</v>
      </c>
    </row>
    <row r="13" spans="1:233" s="99" customFormat="1">
      <c r="A13" s="98" t="s">
        <v>82</v>
      </c>
      <c r="B13" s="64">
        <v>16415</v>
      </c>
      <c r="C13" s="64">
        <v>17781</v>
      </c>
      <c r="D13" s="64">
        <v>18497</v>
      </c>
      <c r="E13" s="64">
        <v>20377</v>
      </c>
      <c r="F13" s="64">
        <v>19134</v>
      </c>
      <c r="G13" s="64">
        <v>17733</v>
      </c>
      <c r="H13" s="64">
        <v>16634</v>
      </c>
      <c r="I13" s="64">
        <v>15443</v>
      </c>
      <c r="J13" s="65">
        <v>14638</v>
      </c>
    </row>
    <row r="14" spans="1:233" s="99" customFormat="1">
      <c r="A14" s="98" t="s">
        <v>83</v>
      </c>
      <c r="B14" s="64">
        <v>9099</v>
      </c>
      <c r="C14" s="64">
        <v>9450</v>
      </c>
      <c r="D14" s="64">
        <v>9849</v>
      </c>
      <c r="E14" s="64">
        <v>10339</v>
      </c>
      <c r="F14" s="64">
        <v>9605</v>
      </c>
      <c r="G14" s="64">
        <v>9490</v>
      </c>
      <c r="H14" s="64">
        <v>9081</v>
      </c>
      <c r="I14" s="64">
        <v>8503</v>
      </c>
      <c r="J14" s="65">
        <v>8330</v>
      </c>
    </row>
    <row r="15" spans="1:233" s="99" customFormat="1">
      <c r="A15" s="98" t="s">
        <v>84</v>
      </c>
      <c r="B15" s="64">
        <v>8365</v>
      </c>
      <c r="C15" s="64">
        <v>9218</v>
      </c>
      <c r="D15" s="64">
        <v>9523</v>
      </c>
      <c r="E15" s="64">
        <v>9349</v>
      </c>
      <c r="F15" s="64">
        <v>9100</v>
      </c>
      <c r="G15" s="64">
        <v>8586</v>
      </c>
      <c r="H15" s="64">
        <v>8063</v>
      </c>
      <c r="I15" s="64">
        <v>7665</v>
      </c>
      <c r="J15" s="65">
        <v>7364</v>
      </c>
    </row>
    <row r="16" spans="1:233" s="99" customFormat="1">
      <c r="A16" s="98" t="s">
        <v>85</v>
      </c>
      <c r="B16" s="64">
        <v>698</v>
      </c>
      <c r="C16" s="64">
        <v>716</v>
      </c>
      <c r="D16" s="64">
        <v>721</v>
      </c>
      <c r="E16" s="64">
        <v>709</v>
      </c>
      <c r="F16" s="64">
        <v>666</v>
      </c>
      <c r="G16" s="64">
        <v>650</v>
      </c>
      <c r="H16" s="64">
        <v>620</v>
      </c>
      <c r="I16" s="64">
        <v>596</v>
      </c>
      <c r="J16" s="65">
        <v>559</v>
      </c>
    </row>
    <row r="17" spans="1:10" s="99" customFormat="1">
      <c r="A17" s="98" t="s">
        <v>86</v>
      </c>
      <c r="B17" s="64">
        <v>30713</v>
      </c>
      <c r="C17" s="64">
        <v>33221</v>
      </c>
      <c r="D17" s="64">
        <v>34383</v>
      </c>
      <c r="E17" s="64">
        <v>36806</v>
      </c>
      <c r="F17" s="64">
        <v>37402</v>
      </c>
      <c r="G17" s="64">
        <v>37444</v>
      </c>
      <c r="H17" s="64">
        <v>34402</v>
      </c>
      <c r="I17" s="64">
        <v>34148</v>
      </c>
      <c r="J17" s="65">
        <v>33495</v>
      </c>
    </row>
    <row r="18" spans="1:10" s="99" customFormat="1">
      <c r="A18" s="98" t="s">
        <v>87</v>
      </c>
      <c r="B18" s="64">
        <v>1850</v>
      </c>
      <c r="C18" s="64">
        <v>1963</v>
      </c>
      <c r="D18" s="64">
        <v>2173</v>
      </c>
      <c r="E18" s="64">
        <v>2223</v>
      </c>
      <c r="F18" s="64">
        <v>2253</v>
      </c>
      <c r="G18" s="64">
        <v>2129</v>
      </c>
      <c r="H18" s="64">
        <v>1565</v>
      </c>
      <c r="I18" s="64">
        <v>1531</v>
      </c>
      <c r="J18" s="65">
        <v>1265</v>
      </c>
    </row>
    <row r="19" spans="1:10" s="99" customFormat="1">
      <c r="A19" s="98" t="s">
        <v>88</v>
      </c>
      <c r="B19" s="64">
        <v>4863</v>
      </c>
      <c r="C19" s="64">
        <v>5186</v>
      </c>
      <c r="D19" s="64">
        <v>5617</v>
      </c>
      <c r="E19" s="64">
        <v>6587</v>
      </c>
      <c r="F19" s="64">
        <v>7473</v>
      </c>
      <c r="G19" s="64">
        <v>7859</v>
      </c>
      <c r="H19" s="64">
        <v>8830</v>
      </c>
      <c r="I19" s="64">
        <v>11318</v>
      </c>
      <c r="J19" s="65">
        <v>11456</v>
      </c>
    </row>
    <row r="20" spans="1:10" s="99" customFormat="1">
      <c r="A20" s="100" t="s">
        <v>89</v>
      </c>
      <c r="B20" s="64">
        <v>2374</v>
      </c>
      <c r="C20" s="64">
        <v>2157</v>
      </c>
      <c r="D20" s="64">
        <v>1954</v>
      </c>
      <c r="E20" s="64">
        <v>3022</v>
      </c>
      <c r="F20" s="64">
        <v>3161</v>
      </c>
      <c r="G20" s="64">
        <v>3009</v>
      </c>
      <c r="H20" s="64">
        <v>3411</v>
      </c>
      <c r="I20" s="64">
        <v>3549</v>
      </c>
      <c r="J20" s="65">
        <v>3747</v>
      </c>
    </row>
    <row r="21" spans="1:10" s="99" customFormat="1">
      <c r="A21" s="98" t="s">
        <v>90</v>
      </c>
      <c r="B21" s="64">
        <v>2843</v>
      </c>
      <c r="C21" s="64">
        <v>2913</v>
      </c>
      <c r="D21" s="64">
        <v>2829</v>
      </c>
      <c r="E21" s="64">
        <v>2954</v>
      </c>
      <c r="F21" s="64">
        <v>2736</v>
      </c>
      <c r="G21" s="64">
        <v>2483</v>
      </c>
      <c r="H21" s="64">
        <v>2437</v>
      </c>
      <c r="I21" s="64">
        <v>2292</v>
      </c>
      <c r="J21" s="65">
        <v>2203</v>
      </c>
    </row>
    <row r="22" spans="1:10" s="99" customFormat="1">
      <c r="A22" s="98" t="s">
        <v>91</v>
      </c>
      <c r="B22" s="64">
        <v>1643</v>
      </c>
      <c r="C22" s="64">
        <v>1933</v>
      </c>
      <c r="D22" s="64">
        <v>2258</v>
      </c>
      <c r="E22" s="64">
        <v>1910</v>
      </c>
      <c r="F22" s="64">
        <v>1998</v>
      </c>
      <c r="G22" s="64">
        <v>2823</v>
      </c>
      <c r="H22" s="64">
        <v>2567</v>
      </c>
      <c r="I22" s="64">
        <v>1401</v>
      </c>
      <c r="J22" s="65">
        <v>1200</v>
      </c>
    </row>
    <row r="23" spans="1:10" s="99" customFormat="1">
      <c r="A23" s="98" t="s">
        <v>92</v>
      </c>
      <c r="B23" s="64">
        <v>7753</v>
      </c>
      <c r="C23" s="64">
        <v>7858</v>
      </c>
      <c r="D23" s="64">
        <v>7773</v>
      </c>
      <c r="E23" s="64">
        <v>8819</v>
      </c>
      <c r="F23" s="64">
        <v>9006</v>
      </c>
      <c r="G23" s="64">
        <v>7806</v>
      </c>
      <c r="H23" s="64">
        <v>7701</v>
      </c>
      <c r="I23" s="64">
        <v>7806</v>
      </c>
      <c r="J23" s="65">
        <v>7847</v>
      </c>
    </row>
    <row r="24" spans="1:10" s="99" customFormat="1">
      <c r="A24" s="98" t="s">
        <v>93</v>
      </c>
      <c r="B24" s="64">
        <v>24505</v>
      </c>
      <c r="C24" s="64">
        <v>26468</v>
      </c>
      <c r="D24" s="64">
        <v>26885</v>
      </c>
      <c r="E24" s="64">
        <v>28413</v>
      </c>
      <c r="F24" s="64">
        <v>28511</v>
      </c>
      <c r="G24" s="64">
        <v>27389</v>
      </c>
      <c r="H24" s="64">
        <v>27627</v>
      </c>
      <c r="I24" s="64">
        <v>27581</v>
      </c>
      <c r="J24" s="65">
        <v>27769</v>
      </c>
    </row>
    <row r="25" spans="1:10" s="99" customFormat="1">
      <c r="A25" s="98" t="s">
        <v>94</v>
      </c>
      <c r="B25" s="64">
        <v>12684</v>
      </c>
      <c r="C25" s="64">
        <v>13417</v>
      </c>
      <c r="D25" s="64">
        <v>14047</v>
      </c>
      <c r="E25" s="64">
        <v>15004</v>
      </c>
      <c r="F25" s="64">
        <v>15137</v>
      </c>
      <c r="G25" s="64">
        <v>14643</v>
      </c>
      <c r="H25" s="64">
        <v>14556</v>
      </c>
      <c r="I25" s="64">
        <v>14575</v>
      </c>
      <c r="J25" s="65">
        <v>14651</v>
      </c>
    </row>
    <row r="26" spans="1:10" s="99" customFormat="1">
      <c r="A26" s="98" t="s">
        <v>95</v>
      </c>
      <c r="B26" s="64">
        <v>9007</v>
      </c>
      <c r="C26" s="64">
        <v>9745</v>
      </c>
      <c r="D26" s="64">
        <v>10261</v>
      </c>
      <c r="E26" s="64">
        <v>10618</v>
      </c>
      <c r="F26" s="64">
        <v>10831</v>
      </c>
      <c r="G26" s="64">
        <v>10370</v>
      </c>
      <c r="H26" s="64">
        <v>10311</v>
      </c>
      <c r="I26" s="64">
        <v>10292</v>
      </c>
      <c r="J26" s="65">
        <v>10356</v>
      </c>
    </row>
    <row r="27" spans="1:10" s="99" customFormat="1">
      <c r="A27" s="98" t="s">
        <v>96</v>
      </c>
      <c r="B27" s="64">
        <v>4575</v>
      </c>
      <c r="C27" s="64">
        <v>4335</v>
      </c>
      <c r="D27" s="64">
        <v>4413</v>
      </c>
      <c r="E27" s="64">
        <v>4333</v>
      </c>
      <c r="F27" s="64">
        <v>3969</v>
      </c>
      <c r="G27" s="64">
        <v>4114</v>
      </c>
      <c r="H27" s="64">
        <v>3827</v>
      </c>
      <c r="I27" s="64">
        <v>3748</v>
      </c>
      <c r="J27" s="65">
        <v>3570</v>
      </c>
    </row>
    <row r="28" spans="1:10" s="99" customFormat="1">
      <c r="A28" s="98" t="s">
        <v>97</v>
      </c>
      <c r="B28" s="68">
        <v>1738</v>
      </c>
      <c r="C28" s="68">
        <v>1909</v>
      </c>
      <c r="D28" s="68">
        <v>2160</v>
      </c>
      <c r="E28" s="68">
        <v>2409</v>
      </c>
      <c r="F28" s="64">
        <v>2435</v>
      </c>
      <c r="G28" s="68">
        <v>2477</v>
      </c>
      <c r="H28" s="68">
        <v>2393</v>
      </c>
      <c r="I28" s="68">
        <v>2329</v>
      </c>
      <c r="J28" s="69">
        <v>2492</v>
      </c>
    </row>
    <row r="29" spans="1:10" s="99" customFormat="1">
      <c r="A29" s="98" t="s">
        <v>142</v>
      </c>
      <c r="B29" s="68">
        <v>1503</v>
      </c>
      <c r="C29" s="68">
        <v>1547</v>
      </c>
      <c r="D29" s="68">
        <v>1586</v>
      </c>
      <c r="E29" s="68">
        <v>1557</v>
      </c>
      <c r="F29" s="64">
        <v>1299</v>
      </c>
      <c r="G29" s="68">
        <v>1789</v>
      </c>
      <c r="H29" s="68">
        <v>1502</v>
      </c>
      <c r="I29" s="68">
        <v>1448</v>
      </c>
      <c r="J29" s="69">
        <v>1411</v>
      </c>
    </row>
    <row r="30" spans="1:10" s="99" customFormat="1">
      <c r="A30" s="63" t="s">
        <v>99</v>
      </c>
      <c r="B30" s="68" t="s">
        <v>130</v>
      </c>
      <c r="C30" s="68" t="s">
        <v>130</v>
      </c>
      <c r="D30" s="68" t="s">
        <v>130</v>
      </c>
      <c r="E30" s="68" t="s">
        <v>130</v>
      </c>
      <c r="F30" s="68" t="s">
        <v>130</v>
      </c>
      <c r="G30" s="68">
        <v>2871.248</v>
      </c>
      <c r="H30" s="68">
        <v>3455.218971717562</v>
      </c>
      <c r="I30" s="68">
        <v>3570.6926890681461</v>
      </c>
      <c r="J30" s="69">
        <v>3613.415771583605</v>
      </c>
    </row>
    <row r="31" spans="1:10" s="99" customFormat="1">
      <c r="A31" s="63" t="s">
        <v>100</v>
      </c>
      <c r="B31" s="68" t="s">
        <v>130</v>
      </c>
      <c r="C31" s="68" t="s">
        <v>130</v>
      </c>
      <c r="D31" s="68" t="s">
        <v>130</v>
      </c>
      <c r="E31" s="68" t="s">
        <v>130</v>
      </c>
      <c r="F31" s="68" t="s">
        <v>130</v>
      </c>
      <c r="G31" s="68">
        <v>351.95199999999988</v>
      </c>
      <c r="H31" s="68">
        <v>3819</v>
      </c>
      <c r="I31" s="68">
        <v>3818</v>
      </c>
      <c r="J31" s="69">
        <v>3549</v>
      </c>
    </row>
    <row r="32" spans="1:10" s="99" customFormat="1">
      <c r="A32" s="63" t="s">
        <v>101</v>
      </c>
      <c r="B32" s="68" t="s">
        <v>130</v>
      </c>
      <c r="C32" s="68" t="s">
        <v>130</v>
      </c>
      <c r="D32" s="68" t="s">
        <v>130</v>
      </c>
      <c r="E32" s="68" t="s">
        <v>130</v>
      </c>
      <c r="F32" s="68" t="s">
        <v>130</v>
      </c>
      <c r="G32" s="68" t="s">
        <v>130</v>
      </c>
      <c r="H32" s="68">
        <v>775</v>
      </c>
      <c r="I32" s="68">
        <v>1000</v>
      </c>
      <c r="J32" s="69" t="s">
        <v>130</v>
      </c>
    </row>
    <row r="33" spans="1:15" s="104" customFormat="1" ht="12.75" thickBot="1">
      <c r="A33" s="101" t="s">
        <v>148</v>
      </c>
      <c r="B33" s="102">
        <v>311885</v>
      </c>
      <c r="C33" s="102">
        <v>332999</v>
      </c>
      <c r="D33" s="102">
        <v>349264</v>
      </c>
      <c r="E33" s="102">
        <v>376300</v>
      </c>
      <c r="F33" s="102">
        <v>375170</v>
      </c>
      <c r="G33" s="102">
        <v>370800</v>
      </c>
      <c r="H33" s="102">
        <v>369700</v>
      </c>
      <c r="I33" s="102">
        <v>370200</v>
      </c>
      <c r="J33" s="103">
        <v>369200</v>
      </c>
      <c r="L33" s="184"/>
      <c r="M33" s="184"/>
      <c r="N33" s="184"/>
      <c r="O33" s="184"/>
    </row>
    <row r="34" spans="1:15">
      <c r="A34" s="182" t="s">
        <v>144</v>
      </c>
      <c r="B34" s="182"/>
      <c r="C34" s="182"/>
      <c r="D34" s="182"/>
      <c r="E34" s="182"/>
      <c r="F34" s="179"/>
      <c r="G34" s="179"/>
      <c r="H34" s="179"/>
      <c r="I34" s="179"/>
      <c r="J34" s="179"/>
    </row>
    <row r="35" spans="1:15">
      <c r="A35" s="183" t="s">
        <v>149</v>
      </c>
      <c r="B35" s="183"/>
      <c r="C35" s="183"/>
      <c r="D35" s="183"/>
      <c r="E35" s="183"/>
      <c r="F35" s="183"/>
    </row>
    <row r="37" spans="1:15">
      <c r="B37" s="86"/>
      <c r="C37" s="86"/>
      <c r="D37" s="86"/>
      <c r="E37" s="86"/>
      <c r="F37" s="86"/>
      <c r="G37" s="86"/>
      <c r="H37" s="86"/>
      <c r="I37" s="86"/>
      <c r="J37" s="86"/>
    </row>
    <row r="38" spans="1:15">
      <c r="B38" s="86"/>
      <c r="C38" s="86"/>
      <c r="D38" s="86"/>
      <c r="E38" s="86"/>
      <c r="F38" s="86"/>
      <c r="G38" s="86"/>
      <c r="H38" s="86"/>
      <c r="I38" s="86"/>
      <c r="J38" s="86"/>
    </row>
    <row r="39" spans="1:15">
      <c r="B39" s="86"/>
      <c r="C39" s="86"/>
      <c r="D39" s="86"/>
      <c r="E39" s="86"/>
      <c r="F39" s="86"/>
      <c r="G39" s="86"/>
      <c r="H39" s="86"/>
      <c r="I39" s="86"/>
      <c r="J39" s="86"/>
    </row>
  </sheetData>
  <mergeCells count="1">
    <mergeCell ref="B3:F3"/>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IK81"/>
  <sheetViews>
    <sheetView showGridLines="0" topLeftCell="A19" zoomScaleNormal="100" zoomScaleSheetLayoutView="85" workbookViewId="0">
      <selection activeCell="A54" sqref="A54:J54"/>
    </sheetView>
  </sheetViews>
  <sheetFormatPr defaultRowHeight="11.25"/>
  <cols>
    <col min="1" max="1" width="36.33203125" style="21" customWidth="1"/>
    <col min="2" max="5" width="12.83203125" style="21" customWidth="1"/>
    <col min="6" max="10" width="12.83203125" style="20" customWidth="1"/>
    <col min="11" max="16384" width="9.33203125" style="20"/>
  </cols>
  <sheetData>
    <row r="1" spans="1:245" s="2" customFormat="1" ht="16.5">
      <c r="A1" s="1" t="s">
        <v>60</v>
      </c>
      <c r="B1" s="1"/>
      <c r="C1" s="1"/>
      <c r="D1" s="1"/>
      <c r="E1" s="1"/>
      <c r="F1" s="1"/>
      <c r="G1" s="1"/>
      <c r="H1" s="1"/>
      <c r="I1" s="1"/>
      <c r="J1" s="1"/>
    </row>
    <row r="2" spans="1:245" s="2" customFormat="1" ht="12" thickBot="1">
      <c r="A2" s="3"/>
      <c r="B2" s="3"/>
      <c r="C2" s="3"/>
      <c r="D2" s="3"/>
      <c r="E2" s="3"/>
      <c r="F2" s="3"/>
      <c r="G2" s="3"/>
      <c r="H2" s="3"/>
      <c r="I2" s="3"/>
      <c r="J2" s="4" t="s">
        <v>1</v>
      </c>
      <c r="X2" s="2">
        <v>100</v>
      </c>
    </row>
    <row r="3" spans="1:245"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row>
    <row r="4" spans="1:245"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10" t="s">
        <v>3</v>
      </c>
      <c r="Y4" s="10" t="s">
        <v>4</v>
      </c>
      <c r="Z4" s="10" t="s">
        <v>5</v>
      </c>
      <c r="AA4" s="11" t="s">
        <v>6</v>
      </c>
      <c r="AB4" s="11" t="s">
        <v>7</v>
      </c>
      <c r="AC4" s="11" t="s">
        <v>8</v>
      </c>
      <c r="AD4" s="11" t="s">
        <v>9</v>
      </c>
      <c r="AE4" s="11" t="s">
        <v>10</v>
      </c>
      <c r="AF4" s="12" t="s">
        <v>11</v>
      </c>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row>
    <row r="5" spans="1:245"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10" t="s">
        <v>12</v>
      </c>
      <c r="Y5" s="10" t="s">
        <v>12</v>
      </c>
      <c r="Z5" s="10" t="s">
        <v>12</v>
      </c>
      <c r="AA5" s="10" t="s">
        <v>12</v>
      </c>
      <c r="AB5" s="10" t="s">
        <v>12</v>
      </c>
      <c r="AC5" s="10" t="s">
        <v>13</v>
      </c>
      <c r="AD5" s="10" t="s">
        <v>13</v>
      </c>
      <c r="AE5" s="10" t="s">
        <v>13</v>
      </c>
      <c r="AF5" s="13" t="s">
        <v>13</v>
      </c>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row>
    <row r="6" spans="1:245" s="2" customFormat="1">
      <c r="A6" s="14" t="s">
        <v>14</v>
      </c>
      <c r="B6" s="15"/>
      <c r="C6" s="15"/>
      <c r="D6" s="15"/>
      <c r="E6" s="15"/>
      <c r="F6" s="15"/>
      <c r="G6" s="15"/>
      <c r="H6" s="15"/>
      <c r="I6" s="15"/>
      <c r="J6" s="16"/>
    </row>
    <row r="7" spans="1:245" s="21" customFormat="1">
      <c r="A7" s="17" t="s">
        <v>15</v>
      </c>
      <c r="B7" s="18"/>
      <c r="C7" s="18"/>
      <c r="D7" s="18"/>
      <c r="E7" s="18"/>
      <c r="F7" s="18"/>
      <c r="G7" s="18"/>
      <c r="H7" s="18"/>
      <c r="I7" s="18"/>
      <c r="J7" s="19"/>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row>
    <row r="8" spans="1:245" s="21" customFormat="1" ht="12">
      <c r="A8" s="22" t="s">
        <v>61</v>
      </c>
      <c r="B8" s="23">
        <f>('1.1'!B8)/(([2]GDP!$D$72)/100)</f>
        <v>301327.44946296059</v>
      </c>
      <c r="C8" s="23">
        <f>('1.1'!C8)/(([2]GDP!$E$72)/100)</f>
        <v>309912.81507587532</v>
      </c>
      <c r="D8" s="23">
        <f>('1.1'!D8)/(([2]GDP!$F$72)/100)</f>
        <v>314714.15763038292</v>
      </c>
      <c r="E8" s="24">
        <f>('1.1'!E8)/(([2]GDP!$G$72)/100)</f>
        <v>328806.82741915371</v>
      </c>
      <c r="F8" s="24">
        <f>('1.1'!F8)/(([2]GDP!$H$72)/100)</f>
        <v>325165</v>
      </c>
      <c r="G8" s="24">
        <v>317000</v>
      </c>
      <c r="H8" s="24">
        <v>310000</v>
      </c>
      <c r="I8" s="24">
        <v>305500</v>
      </c>
      <c r="J8" s="25">
        <v>295700</v>
      </c>
      <c r="K8" s="20"/>
      <c r="L8" s="20"/>
      <c r="M8" s="20"/>
      <c r="N8" s="20"/>
      <c r="O8" s="20"/>
      <c r="P8" s="20"/>
      <c r="Q8" s="20"/>
      <c r="R8" s="20"/>
      <c r="S8" s="20"/>
      <c r="T8" s="20"/>
      <c r="U8" s="20"/>
      <c r="V8" s="20"/>
      <c r="W8" s="20"/>
      <c r="X8" s="55">
        <f>([2]GDP!$D$72)/100</f>
        <v>0.90400990844175977</v>
      </c>
      <c r="Y8" s="55">
        <f>([2]GDP!$E$72)/100</f>
        <v>0.92991314324786001</v>
      </c>
      <c r="Z8" s="55">
        <f>([2]GDP!$F$72)/100</f>
        <v>0.95564178702510594</v>
      </c>
      <c r="AA8" s="55">
        <f>([2]GDP!$G$72)/100</f>
        <v>0.97119941975206658</v>
      </c>
      <c r="AB8" s="55">
        <f>([2]GDP!$H$72)/100</f>
        <v>1</v>
      </c>
      <c r="AC8" s="55">
        <f>([2]GDP!$I$72)/100</f>
        <v>1.0293859103805958</v>
      </c>
      <c r="AD8" s="55">
        <f>([2]GDP!$J$72)/100</f>
        <v>1.0550218463848724</v>
      </c>
      <c r="AE8" s="55">
        <f>([2]GDP!$K$72)/100</f>
        <v>1.0834176027446527</v>
      </c>
      <c r="AF8" s="55">
        <f>([2]GDP!$L$72)/100</f>
        <v>1.1123830845750147</v>
      </c>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row>
    <row r="9" spans="1:245" s="21" customFormat="1" ht="12">
      <c r="A9" s="22" t="s">
        <v>62</v>
      </c>
      <c r="B9" s="23">
        <f>('1.1'!B9)/(([2]GDP!$D$72)/100)</f>
        <v>12306.281044171454</v>
      </c>
      <c r="C9" s="23">
        <f>('1.1'!C9)/(([2]GDP!$E$72)/100)</f>
        <v>12996.912763043489</v>
      </c>
      <c r="D9" s="23">
        <f>('1.1'!D9)/(([2]GDP!$F$72)/100)</f>
        <v>13523.895852474343</v>
      </c>
      <c r="E9" s="24">
        <f>('1.1'!E9)/(([2]GDP!$G$72)/100)</f>
        <v>14891.8952234261</v>
      </c>
      <c r="F9" s="24">
        <f>('1.1'!F9)/(([2]GDP!$H$72)/100)</f>
        <v>20848</v>
      </c>
      <c r="G9" s="24">
        <v>15600</v>
      </c>
      <c r="H9" s="24">
        <v>16600</v>
      </c>
      <c r="I9" s="24">
        <v>16700</v>
      </c>
      <c r="J9" s="25">
        <v>17300</v>
      </c>
      <c r="K9" s="20"/>
      <c r="L9" s="20"/>
      <c r="M9" s="20"/>
      <c r="N9" s="20"/>
      <c r="O9" s="20"/>
      <c r="P9" s="20"/>
      <c r="Q9" s="20"/>
      <c r="R9" s="20"/>
      <c r="S9" s="20"/>
      <c r="T9" s="20"/>
      <c r="U9" s="20"/>
      <c r="V9" s="20"/>
      <c r="W9" s="20"/>
      <c r="X9" s="55">
        <f>([2]GDP!$D$72)/100</f>
        <v>0.90400990844175977</v>
      </c>
      <c r="Y9" s="55">
        <f>([2]GDP!$E$72)/100</f>
        <v>0.92991314324786001</v>
      </c>
      <c r="Z9" s="55">
        <f>([2]GDP!$F$72)/100</f>
        <v>0.95564178702510594</v>
      </c>
      <c r="AA9" s="55">
        <f>([2]GDP!$G$72)/100</f>
        <v>0.97119941975206658</v>
      </c>
      <c r="AB9" s="55">
        <f>([2]GDP!$H$72)/100</f>
        <v>1</v>
      </c>
      <c r="AC9" s="55">
        <f>([2]GDP!$I$72)/100</f>
        <v>1.0293859103805958</v>
      </c>
      <c r="AD9" s="55">
        <f>([2]GDP!$J$72)/100</f>
        <v>1.0550218463848724</v>
      </c>
      <c r="AE9" s="55">
        <f>([2]GDP!$K$72)/100</f>
        <v>1.0834176027446527</v>
      </c>
      <c r="AF9" s="55">
        <f>([2]GDP!$L$72)/100</f>
        <v>1.1123830845750147</v>
      </c>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s="27" customFormat="1">
      <c r="A10" s="26" t="s">
        <v>18</v>
      </c>
      <c r="B10" s="11">
        <f>('1.1'!B10)/(([2]GDP!$D$72)/100)</f>
        <v>313633.73050713207</v>
      </c>
      <c r="C10" s="11">
        <f>('1.1'!C10)/(([2]GDP!$E$72)/100)</f>
        <v>322910.80320816941</v>
      </c>
      <c r="D10" s="11">
        <f>('1.1'!D10)/(([2]GDP!$F$72)/100)</f>
        <v>328238.05348285724</v>
      </c>
      <c r="E10" s="11">
        <f>('1.1'!E10)/(([2]GDP!$G$72)/100)</f>
        <v>343699.75229723123</v>
      </c>
      <c r="F10" s="11">
        <f>('1.1'!F10)/(([2]GDP!$H$72)/100)</f>
        <v>346013</v>
      </c>
      <c r="G10" s="11">
        <v>332500</v>
      </c>
      <c r="H10" s="11">
        <v>326600</v>
      </c>
      <c r="I10" s="11">
        <v>322200</v>
      </c>
      <c r="J10" s="12">
        <v>313000</v>
      </c>
      <c r="L10" s="20"/>
      <c r="M10" s="20"/>
      <c r="N10" s="20"/>
      <c r="O10" s="20"/>
      <c r="P10" s="20"/>
      <c r="Q10" s="20"/>
      <c r="X10" s="55">
        <f>([2]GDP!$D$72)/100</f>
        <v>0.90400990844175977</v>
      </c>
      <c r="Y10" s="55">
        <f>([2]GDP!$E$72)/100</f>
        <v>0.92991314324786001</v>
      </c>
      <c r="Z10" s="55">
        <f>([2]GDP!$F$72)/100</f>
        <v>0.95564178702510594</v>
      </c>
      <c r="AA10" s="55">
        <f>([2]GDP!$G$72)/100</f>
        <v>0.97119941975206658</v>
      </c>
      <c r="AB10" s="55">
        <f>([2]GDP!$H$72)/100</f>
        <v>1</v>
      </c>
      <c r="AC10" s="55">
        <f>([2]GDP!$I$72)/100</f>
        <v>1.0293859103805958</v>
      </c>
      <c r="AD10" s="55">
        <f>([2]GDP!$J$72)/100</f>
        <v>1.0550218463848724</v>
      </c>
      <c r="AE10" s="55">
        <f>([2]GDP!$K$72)/100</f>
        <v>1.0834176027446527</v>
      </c>
      <c r="AF10" s="55">
        <f>([2]GDP!$L$72)/100</f>
        <v>1.1123830845750147</v>
      </c>
    </row>
    <row r="11" spans="1:245">
      <c r="A11" s="17" t="s">
        <v>19</v>
      </c>
      <c r="B11" s="18"/>
      <c r="C11" s="18"/>
      <c r="D11" s="18"/>
      <c r="E11" s="28"/>
      <c r="F11" s="28"/>
      <c r="G11" s="28"/>
      <c r="H11" s="28"/>
      <c r="I11" s="28"/>
      <c r="J11" s="29"/>
      <c r="X11" s="55">
        <f>([2]GDP!$D$72)/100</f>
        <v>0.90400990844175977</v>
      </c>
      <c r="Y11" s="55">
        <f>([2]GDP!$E$72)/100</f>
        <v>0.92991314324786001</v>
      </c>
      <c r="Z11" s="55">
        <f>([2]GDP!$F$72)/100</f>
        <v>0.95564178702510594</v>
      </c>
      <c r="AA11" s="55">
        <f>([2]GDP!$G$72)/100</f>
        <v>0.97119941975206658</v>
      </c>
      <c r="AB11" s="55">
        <f>([2]GDP!$H$72)/100</f>
        <v>1</v>
      </c>
      <c r="AC11" s="55">
        <f>([2]GDP!$I$72)/100</f>
        <v>1.0293859103805958</v>
      </c>
      <c r="AD11" s="55">
        <f>([2]GDP!$J$72)/100</f>
        <v>1.0550218463848724</v>
      </c>
      <c r="AE11" s="55">
        <f>([2]GDP!$K$72)/100</f>
        <v>1.0834176027446527</v>
      </c>
      <c r="AF11" s="55">
        <f>([2]GDP!$L$72)/100</f>
        <v>1.1123830845750147</v>
      </c>
    </row>
    <row r="12" spans="1:245">
      <c r="A12" s="22" t="s">
        <v>20</v>
      </c>
      <c r="B12" s="23">
        <f>('1.1'!B12)/(([2]GDP!$D$72)/100)</f>
        <v>147634.44377512403</v>
      </c>
      <c r="C12" s="23">
        <f>('1.1'!C12)/(([2]GDP!$E$72)/100)</f>
        <v>151061.420112177</v>
      </c>
      <c r="D12" s="23">
        <f>('1.1'!D12)/(([2]GDP!$F$72)/100)</f>
        <v>158213.04808223911</v>
      </c>
      <c r="E12" s="24">
        <f>('1.1'!E12)/(([2]GDP!$G$72)/100)</f>
        <v>169364.80464742371</v>
      </c>
      <c r="F12" s="24">
        <f>('1.1'!F12)/(([2]GDP!$H$72)/100)</f>
        <v>170403</v>
      </c>
      <c r="G12" s="24">
        <f>('1.1'!G12)/(([2]GDP!$I$72)/100)</f>
        <v>170416.16582369999</v>
      </c>
      <c r="H12" s="24">
        <f>('1.1'!H12)/(([2]GDP!$J$72)/100)</f>
        <v>170613.52863619808</v>
      </c>
      <c r="I12" s="24">
        <f>('1.1'!I12)/(([2]GDP!$K$72)/100)</f>
        <v>165775.41249561025</v>
      </c>
      <c r="J12" s="25">
        <f>('1.1'!J12)/(([2]GDP!$L$72)/100)</f>
        <v>165473.56980920277</v>
      </c>
      <c r="X12" s="55">
        <f>([2]GDP!$D$72)/100</f>
        <v>0.90400990844175977</v>
      </c>
      <c r="Y12" s="55">
        <f>([2]GDP!$E$72)/100</f>
        <v>0.92991314324786001</v>
      </c>
      <c r="Z12" s="55">
        <f>([2]GDP!$F$72)/100</f>
        <v>0.95564178702510594</v>
      </c>
      <c r="AA12" s="55">
        <f>([2]GDP!$G$72)/100</f>
        <v>0.97119941975206658</v>
      </c>
      <c r="AB12" s="55">
        <f>([2]GDP!$H$72)/100</f>
        <v>1</v>
      </c>
      <c r="AC12" s="55">
        <f>([2]GDP!$I$72)/100</f>
        <v>1.0293859103805958</v>
      </c>
      <c r="AD12" s="55">
        <f>([2]GDP!$J$72)/100</f>
        <v>1.0550218463848724</v>
      </c>
      <c r="AE12" s="55">
        <f>([2]GDP!$K$72)/100</f>
        <v>1.0834176027446527</v>
      </c>
      <c r="AF12" s="55">
        <f>([2]GDP!$L$72)/100</f>
        <v>1.1123830845750147</v>
      </c>
    </row>
    <row r="13" spans="1:245" ht="12">
      <c r="A13" s="30" t="s">
        <v>63</v>
      </c>
      <c r="B13" s="23">
        <f>('1.1'!B13)/(([2]GDP!$D$72)/100)</f>
        <v>20794.019871311011</v>
      </c>
      <c r="C13" s="23">
        <f>('1.1'!C13)/(([2]GDP!$E$72)/100)</f>
        <v>21660.087446071648</v>
      </c>
      <c r="D13" s="23">
        <f>('1.1'!D13)/(([2]GDP!$F$72)/100)</f>
        <v>25292.950065781286</v>
      </c>
      <c r="E13" s="24">
        <f>('1.1'!E13)/(([2]GDP!$G$72)/100)</f>
        <v>28487.455240719763</v>
      </c>
      <c r="F13" s="24">
        <f>('1.1'!F13)/(([2]GDP!$H$72)/100)</f>
        <v>28925</v>
      </c>
      <c r="G13" s="24">
        <f>('1.1'!G13)/(([2]GDP!$I$72)/100)</f>
        <v>29240.492507684696</v>
      </c>
      <c r="H13" s="24">
        <f>('1.1'!H13)/(([2]GDP!$J$72)/100)</f>
        <v>29744.130993617648</v>
      </c>
      <c r="I13" s="24">
        <f>('1.1'!I13)/(([2]GDP!$K$72)/100)</f>
        <v>29266.643738917686</v>
      </c>
      <c r="J13" s="25">
        <f>('1.1'!J13)/(([2]GDP!$L$72)/100)</f>
        <v>28624.22796744062</v>
      </c>
      <c r="X13" s="55">
        <f>([2]GDP!$D$72)/100</f>
        <v>0.90400990844175977</v>
      </c>
      <c r="Y13" s="55">
        <f>([2]GDP!$E$72)/100</f>
        <v>0.92991314324786001</v>
      </c>
      <c r="Z13" s="55">
        <f>([2]GDP!$F$72)/100</f>
        <v>0.95564178702510594</v>
      </c>
      <c r="AA13" s="55">
        <f>([2]GDP!$G$72)/100</f>
        <v>0.97119941975206658</v>
      </c>
      <c r="AB13" s="55">
        <f>([2]GDP!$H$72)/100</f>
        <v>1</v>
      </c>
      <c r="AC13" s="55">
        <f>([2]GDP!$I$72)/100</f>
        <v>1.0293859103805958</v>
      </c>
      <c r="AD13" s="55">
        <f>([2]GDP!$J$72)/100</f>
        <v>1.0550218463848724</v>
      </c>
      <c r="AE13" s="55">
        <f>([2]GDP!$K$72)/100</f>
        <v>1.0834176027446527</v>
      </c>
      <c r="AF13" s="55">
        <f>([2]GDP!$L$72)/100</f>
        <v>1.1123830845750147</v>
      </c>
    </row>
    <row r="14" spans="1:245" ht="12">
      <c r="A14" s="30" t="s">
        <v>64</v>
      </c>
      <c r="B14" s="23">
        <f>('1.1'!B14)/(([2]GDP!$D$72)/100)</f>
        <v>3598.4118864440215</v>
      </c>
      <c r="C14" s="23">
        <f>('1.1'!C14)/(([2]GDP!$E$72)/100)</f>
        <v>5726.3412595736045</v>
      </c>
      <c r="D14" s="23">
        <f>('1.1'!D14)/(([2]GDP!$F$72)/100)</f>
        <v>5668.4419554977958</v>
      </c>
      <c r="E14" s="24">
        <f>('1.1'!E14)/(([2]GDP!$G$72)/100)</f>
        <v>1575.3716166661088</v>
      </c>
      <c r="F14" s="24">
        <f>('1.1'!F14)/(([2]GDP!$H$72)/100)</f>
        <v>-74880</v>
      </c>
      <c r="G14" s="24">
        <f>('1.1'!G14)/(([2]GDP!$I$72)/100)</f>
        <v>5084.5848454102388</v>
      </c>
      <c r="H14" s="24">
        <f>('1.1'!H14)/(([2]GDP!$J$72)/100)</f>
        <v>5714.5736087446085</v>
      </c>
      <c r="I14" s="24">
        <f>('1.1'!I14)/(([2]GDP!$K$72)/100)</f>
        <v>1492.4992873510712</v>
      </c>
      <c r="J14" s="25">
        <f>('1.1'!J14)/(([2]GDP!$L$72)/100)</f>
        <v>1660.3992146335499</v>
      </c>
      <c r="X14" s="55">
        <f>([2]GDP!$D$72)/100</f>
        <v>0.90400990844175977</v>
      </c>
      <c r="Y14" s="55">
        <f>([2]GDP!$E$72)/100</f>
        <v>0.92991314324786001</v>
      </c>
      <c r="Z14" s="55">
        <f>([2]GDP!$F$72)/100</f>
        <v>0.95564178702510594</v>
      </c>
      <c r="AA14" s="55">
        <f>([2]GDP!$G$72)/100</f>
        <v>0.97119941975206658</v>
      </c>
      <c r="AB14" s="55">
        <f>([2]GDP!$H$72)/100</f>
        <v>1</v>
      </c>
      <c r="AC14" s="55">
        <f>([2]GDP!$I$72)/100</f>
        <v>1.0293859103805958</v>
      </c>
      <c r="AD14" s="55">
        <f>([2]GDP!$J$72)/100</f>
        <v>1.0550218463848724</v>
      </c>
      <c r="AE14" s="55">
        <f>([2]GDP!$K$72)/100</f>
        <v>1.0834176027446527</v>
      </c>
      <c r="AF14" s="55">
        <f>([2]GDP!$L$72)/100</f>
        <v>1.1123830845750147</v>
      </c>
    </row>
    <row r="15" spans="1:245">
      <c r="A15" s="22" t="s">
        <v>23</v>
      </c>
      <c r="B15" s="23">
        <f>('1.1'!B15)/(([2]GDP!$D$72)/100)</f>
        <v>925.8748075480006</v>
      </c>
      <c r="C15" s="23">
        <f>('1.1'!C15)/(([2]GDP!$E$72)/100)</f>
        <v>948.47567905050118</v>
      </c>
      <c r="D15" s="23">
        <f>('1.1'!D15)/(([2]GDP!$F$72)/100)</f>
        <v>1057.9277860454629</v>
      </c>
      <c r="E15" s="24">
        <f>('1.1'!E15)/(([2]GDP!$G$72)/100)</f>
        <v>1030.6843060671731</v>
      </c>
      <c r="F15" s="24">
        <f>('1.1'!F15)/(([2]GDP!$H$72)/100)</f>
        <v>1090</v>
      </c>
      <c r="G15" s="24">
        <f>('1.1'!G15)/(([2]GDP!$I$72)/100)</f>
        <v>836.42100724077488</v>
      </c>
      <c r="H15" s="24">
        <f>('1.1'!H15)/(([2]GDP!$J$72)/100)</f>
        <v>757.33028916685055</v>
      </c>
      <c r="I15" s="24">
        <f>('1.1'!I15)/(([2]GDP!$K$72)/100)</f>
        <v>794.70741274537556</v>
      </c>
      <c r="J15" s="25">
        <f>('1.1'!J15)/(([2]GDP!$L$72)/100)</f>
        <v>774.01392734135698</v>
      </c>
      <c r="X15" s="55">
        <f>([2]GDP!$D$72)/100</f>
        <v>0.90400990844175977</v>
      </c>
      <c r="Y15" s="55">
        <f>([2]GDP!$E$72)/100</f>
        <v>0.92991314324786001</v>
      </c>
      <c r="Z15" s="55">
        <f>([2]GDP!$F$72)/100</f>
        <v>0.95564178702510594</v>
      </c>
      <c r="AA15" s="55">
        <f>([2]GDP!$G$72)/100</f>
        <v>0.97119941975206658</v>
      </c>
      <c r="AB15" s="55">
        <f>([2]GDP!$H$72)/100</f>
        <v>1</v>
      </c>
      <c r="AC15" s="55">
        <f>([2]GDP!$I$72)/100</f>
        <v>1.0293859103805958</v>
      </c>
      <c r="AD15" s="55">
        <f>([2]GDP!$J$72)/100</f>
        <v>1.0550218463848724</v>
      </c>
      <c r="AE15" s="55">
        <f>([2]GDP!$K$72)/100</f>
        <v>1.0834176027446527</v>
      </c>
      <c r="AF15" s="55">
        <f>([2]GDP!$L$72)/100</f>
        <v>1.1123830845750147</v>
      </c>
    </row>
    <row r="16" spans="1:245">
      <c r="A16" s="22" t="s">
        <v>24</v>
      </c>
      <c r="B16" s="23">
        <f>('1.1'!B16)/(([2]GDP!$D$72)/100)</f>
        <v>3586.2438782205713</v>
      </c>
      <c r="C16" s="23">
        <f>('1.1'!C16)/(([2]GDP!$E$72)/100)</f>
        <v>3688.5165296408381</v>
      </c>
      <c r="D16" s="23">
        <f>('1.1'!D16)/(([2]GDP!$F$72)/100)</f>
        <v>3469.9194248533677</v>
      </c>
      <c r="E16" s="24">
        <f>('1.1'!E16)/(([2]GDP!$G$72)/100)</f>
        <v>3566.7237125041838</v>
      </c>
      <c r="F16" s="24">
        <f>('1.1'!F16)/(([2]GDP!$H$72)/100)</f>
        <v>3303</v>
      </c>
      <c r="G16" s="24">
        <f>('1.1'!G16)/(([2]GDP!$I$72)/100)</f>
        <v>3412.7142838987716</v>
      </c>
      <c r="H16" s="24">
        <f>('1.1'!H16)/(([2]GDP!$J$72)/100)</f>
        <v>3251.1175116924874</v>
      </c>
      <c r="I16" s="24">
        <f>('1.1'!I16)/(([2]GDP!$K$72)/100)</f>
        <v>3306.2043582507958</v>
      </c>
      <c r="J16" s="25">
        <f>('1.1'!J16)/(([2]GDP!$L$72)/100)</f>
        <v>3082.5711461713277</v>
      </c>
      <c r="X16" s="55">
        <f>([2]GDP!$D$72)/100</f>
        <v>0.90400990844175977</v>
      </c>
      <c r="Y16" s="55">
        <f>([2]GDP!$E$72)/100</f>
        <v>0.92991314324786001</v>
      </c>
      <c r="Z16" s="55">
        <f>([2]GDP!$F$72)/100</f>
        <v>0.95564178702510594</v>
      </c>
      <c r="AA16" s="55">
        <f>([2]GDP!$G$72)/100</f>
        <v>0.97119941975206658</v>
      </c>
      <c r="AB16" s="55">
        <f>([2]GDP!$H$72)/100</f>
        <v>1</v>
      </c>
      <c r="AC16" s="55">
        <f>([2]GDP!$I$72)/100</f>
        <v>1.0293859103805958</v>
      </c>
      <c r="AD16" s="55">
        <f>([2]GDP!$J$72)/100</f>
        <v>1.0550218463848724</v>
      </c>
      <c r="AE16" s="55">
        <f>([2]GDP!$K$72)/100</f>
        <v>1.0834176027446527</v>
      </c>
      <c r="AF16" s="55">
        <f>([2]GDP!$L$72)/100</f>
        <v>1.1123830845750147</v>
      </c>
    </row>
    <row r="17" spans="1:32">
      <c r="A17" s="22" t="s">
        <v>25</v>
      </c>
      <c r="B17" s="23">
        <f>('1.1'!B17)/(([2]GDP!$D$72)/100)</f>
        <v>-504.41924999030857</v>
      </c>
      <c r="C17" s="23">
        <f>('1.1'!C17)/(([2]GDP!$E$72)/100)</f>
        <v>-910.83775527865589</v>
      </c>
      <c r="D17" s="23">
        <f>('1.1'!D17)/(([2]GDP!$F$72)/100)</f>
        <v>-1021.3031841546704</v>
      </c>
      <c r="E17" s="24">
        <f>('1.1'!E17)/(([2]GDP!$G$72)/100)</f>
        <v>-263.5915907624339</v>
      </c>
      <c r="F17" s="24">
        <f>('1.1'!F17)/(([2]GDP!$H$72)/100)</f>
        <v>-301</v>
      </c>
      <c r="G17" s="24">
        <f>('1.1'!G17)/(([2]GDP!$I$72)/100)</f>
        <v>-1717.5288511053311</v>
      </c>
      <c r="H17" s="24">
        <f>('1.1'!H17)/(([2]GDP!$J$72)/100)</f>
        <v>-1606.6018024252962</v>
      </c>
      <c r="I17" s="24">
        <f>('1.1'!I17)/(([2]GDP!$K$72)/100)</f>
        <v>-1717.7125378851845</v>
      </c>
      <c r="J17" s="25">
        <f>('1.1'!J17)/(([2]GDP!$L$72)/100)</f>
        <v>-2238.4374902206491</v>
      </c>
      <c r="X17" s="55">
        <f>([2]GDP!$D$72)/100</f>
        <v>0.90400990844175977</v>
      </c>
      <c r="Y17" s="55">
        <f>([2]GDP!$E$72)/100</f>
        <v>0.92991314324786001</v>
      </c>
      <c r="Z17" s="55">
        <f>([2]GDP!$F$72)/100</f>
        <v>0.95564178702510594</v>
      </c>
      <c r="AA17" s="55">
        <f>([2]GDP!$G$72)/100</f>
        <v>0.97119941975206658</v>
      </c>
      <c r="AB17" s="55">
        <f>([2]GDP!$H$72)/100</f>
        <v>1</v>
      </c>
      <c r="AC17" s="55">
        <f>([2]GDP!$I$72)/100</f>
        <v>1.0293859103805958</v>
      </c>
      <c r="AD17" s="55">
        <f>([2]GDP!$J$72)/100</f>
        <v>1.0550218463848724</v>
      </c>
      <c r="AE17" s="55">
        <f>([2]GDP!$K$72)/100</f>
        <v>1.0834176027446527</v>
      </c>
      <c r="AF17" s="55">
        <f>([2]GDP!$L$72)/100</f>
        <v>1.1123830845750147</v>
      </c>
    </row>
    <row r="18" spans="1:32">
      <c r="A18" s="22" t="s">
        <v>26</v>
      </c>
      <c r="B18" s="23">
        <f>('1.1'!B18)/(([2]GDP!$D$72)/100)</f>
        <v>45125.611587948792</v>
      </c>
      <c r="C18" s="23">
        <f>('1.1'!C18)/(([2]GDP!$E$72)/100)</f>
        <v>50659.570027653128</v>
      </c>
      <c r="D18" s="23">
        <f>('1.1'!D18)/(([2]GDP!$F$72)/100)</f>
        <v>44590.976010638282</v>
      </c>
      <c r="E18" s="24">
        <f>('1.1'!E18)/(([2]GDP!$G$72)/100)</f>
        <v>45416.007364646226</v>
      </c>
      <c r="F18" s="24">
        <f>('1.1'!F18)/(([2]GDP!$H$72)/100)</f>
        <v>56343</v>
      </c>
      <c r="G18" s="24">
        <f>('1.1'!G18)/(([2]GDP!$I$72)/100)</f>
        <v>50922.593238738889</v>
      </c>
      <c r="H18" s="24">
        <f>('1.1'!H18)/(([2]GDP!$J$72)/100)</f>
        <v>51781.866116989004</v>
      </c>
      <c r="I18" s="24">
        <f>('1.1'!I18)/(([2]GDP!$K$72)/100)</f>
        <v>45279.862423983606</v>
      </c>
      <c r="J18" s="25">
        <f>('1.1'!J18)/(([2]GDP!$L$72)/100)</f>
        <v>46011.127560029425</v>
      </c>
      <c r="X18" s="55">
        <f>([2]GDP!$D$72)/100</f>
        <v>0.90400990844175977</v>
      </c>
      <c r="Y18" s="55">
        <f>([2]GDP!$E$72)/100</f>
        <v>0.92991314324786001</v>
      </c>
      <c r="Z18" s="55">
        <f>([2]GDP!$F$72)/100</f>
        <v>0.95564178702510594</v>
      </c>
      <c r="AA18" s="55">
        <f>([2]GDP!$G$72)/100</f>
        <v>0.97119941975206658</v>
      </c>
      <c r="AB18" s="55">
        <f>([2]GDP!$H$72)/100</f>
        <v>1</v>
      </c>
      <c r="AC18" s="55">
        <f>([2]GDP!$I$72)/100</f>
        <v>1.0293859103805958</v>
      </c>
      <c r="AD18" s="55">
        <f>([2]GDP!$J$72)/100</f>
        <v>1.0550218463848724</v>
      </c>
      <c r="AE18" s="55">
        <f>([2]GDP!$K$72)/100</f>
        <v>1.0834176027446527</v>
      </c>
      <c r="AF18" s="55">
        <f>([2]GDP!$L$72)/100</f>
        <v>1.1123830845750147</v>
      </c>
    </row>
    <row r="19" spans="1:32">
      <c r="A19" s="22" t="s">
        <v>27</v>
      </c>
      <c r="B19" s="23">
        <f>('1.1'!B19)/(([2]GDP!$D$72)/100)</f>
        <v>0</v>
      </c>
      <c r="C19" s="23">
        <f>('1.1'!C19)/(([2]GDP!$E$72)/100)</f>
        <v>0</v>
      </c>
      <c r="D19" s="23">
        <f>('1.1'!D19)/(([2]GDP!$F$72)/100)</f>
        <v>43479.680947551955</v>
      </c>
      <c r="E19" s="24">
        <f>('1.1'!E19)/(([2]GDP!$G$72)/100)</f>
        <v>-28410.23114186358</v>
      </c>
      <c r="F19" s="24">
        <f>('1.1'!F19)/(([2]GDP!$H$72)/100)</f>
        <v>-14581</v>
      </c>
      <c r="G19" s="24">
        <f>('1.1'!G19)/(([2]GDP!$I$72)/100)</f>
        <v>-1981.7640589676896</v>
      </c>
      <c r="H19" s="24">
        <f>('1.1'!H19)/(([2]GDP!$J$72)/100)</f>
        <v>0</v>
      </c>
      <c r="I19" s="24">
        <f>('1.1'!I19)/(([2]GDP!$K$72)/100)</f>
        <v>0</v>
      </c>
      <c r="J19" s="25">
        <f>('1.1'!J19)/(([2]GDP!$L$72)/100)</f>
        <v>0</v>
      </c>
      <c r="X19" s="55">
        <f>([2]GDP!$D$72)/100</f>
        <v>0.90400990844175977</v>
      </c>
      <c r="Y19" s="55">
        <f>([2]GDP!$E$72)/100</f>
        <v>0.92991314324786001</v>
      </c>
      <c r="Z19" s="55">
        <f>([2]GDP!$F$72)/100</f>
        <v>0.95564178702510594</v>
      </c>
      <c r="AA19" s="55">
        <f>([2]GDP!$G$72)/100</f>
        <v>0.97119941975206658</v>
      </c>
      <c r="AB19" s="55">
        <f>([2]GDP!$H$72)/100</f>
        <v>1</v>
      </c>
      <c r="AC19" s="55">
        <f>([2]GDP!$I$72)/100</f>
        <v>1.0293859103805958</v>
      </c>
      <c r="AD19" s="55">
        <f>([2]GDP!$J$72)/100</f>
        <v>1.0550218463848724</v>
      </c>
      <c r="AE19" s="55">
        <f>([2]GDP!$K$72)/100</f>
        <v>1.0834176027446527</v>
      </c>
      <c r="AF19" s="55">
        <f>([2]GDP!$L$72)/100</f>
        <v>1.1123830845750147</v>
      </c>
    </row>
    <row r="20" spans="1:32">
      <c r="A20" s="22" t="s">
        <v>28</v>
      </c>
      <c r="B20" s="23">
        <f>('1.1'!B20)/(([2]GDP!$D$72)/100)</f>
        <v>2645.9886973175835</v>
      </c>
      <c r="C20" s="23">
        <f>('1.1'!C20)/(([2]GDP!$E$72)/100)</f>
        <v>1076.4446198747751</v>
      </c>
      <c r="D20" s="23">
        <f>('1.1'!D20)/(([2]GDP!$F$72)/100)</f>
        <v>1477.5410819942567</v>
      </c>
      <c r="E20" s="24">
        <f>('1.1'!E20)/(([2]GDP!$G$72)/100)</f>
        <v>2369.2353529076577</v>
      </c>
      <c r="F20" s="24">
        <f>('1.1'!F20)/(([2]GDP!$H$72)/100)</f>
        <v>844</v>
      </c>
      <c r="G20" s="24">
        <f>('1.1'!G20)/(([2]GDP!$I$72)/100)</f>
        <v>1713.8849310145526</v>
      </c>
      <c r="H20" s="24">
        <f>('1.1'!H20)/(([2]GDP!$J$72)/100)</f>
        <v>2280.7982680599243</v>
      </c>
      <c r="I20" s="24">
        <f>('1.1'!I20)/(([2]GDP!$K$72)/100)</f>
        <v>2516.1147401464946</v>
      </c>
      <c r="J20" s="25">
        <f>('1.1'!J20)/(([2]GDP!$L$72)/100)</f>
        <v>2555.6780208376917</v>
      </c>
      <c r="X20" s="55">
        <f>([2]GDP!$D$72)/100</f>
        <v>0.90400990844175977</v>
      </c>
      <c r="Y20" s="55">
        <f>([2]GDP!$E$72)/100</f>
        <v>0.92991314324786001</v>
      </c>
      <c r="Z20" s="55">
        <f>([2]GDP!$F$72)/100</f>
        <v>0.95564178702510594</v>
      </c>
      <c r="AA20" s="55">
        <f>([2]GDP!$G$72)/100</f>
        <v>0.97119941975206658</v>
      </c>
      <c r="AB20" s="55">
        <f>([2]GDP!$H$72)/100</f>
        <v>1</v>
      </c>
      <c r="AC20" s="55">
        <f>([2]GDP!$I$72)/100</f>
        <v>1.0293859103805958</v>
      </c>
      <c r="AD20" s="55">
        <f>([2]GDP!$J$72)/100</f>
        <v>1.0550218463848724</v>
      </c>
      <c r="AE20" s="55">
        <f>([2]GDP!$K$72)/100</f>
        <v>1.0834176027446527</v>
      </c>
      <c r="AF20" s="55">
        <f>([2]GDP!$L$72)/100</f>
        <v>1.1123830845750147</v>
      </c>
    </row>
    <row r="21" spans="1:32" s="27" customFormat="1">
      <c r="A21" s="26" t="s">
        <v>29</v>
      </c>
      <c r="B21" s="11">
        <f>('1.1'!B21)/(([2]GDP!$D$72)/100)</f>
        <v>223807.28143648946</v>
      </c>
      <c r="C21" s="11">
        <f>('1.1'!C21)/(([2]GDP!$E$72)/100)</f>
        <v>233910.01791876284</v>
      </c>
      <c r="D21" s="11">
        <f>('1.1'!D21)/(([2]GDP!$F$72)/100)</f>
        <v>282229.18217044685</v>
      </c>
      <c r="E21" s="11">
        <f>('1.1'!E21)/(([2]GDP!$G$72)/100)</f>
        <v>223137.48916296021</v>
      </c>
      <c r="F21" s="11">
        <f>('1.1'!F21)/(([2]GDP!$H$72)/100)</f>
        <v>171145</v>
      </c>
      <c r="G21" s="11">
        <f>('1.1'!G21)/(([2]GDP!$I$72)/100)</f>
        <v>257926.59227464482</v>
      </c>
      <c r="H21" s="11">
        <f>('1.1'!H21)/(([2]GDP!$J$72)/100)</f>
        <v>262537.69146971434</v>
      </c>
      <c r="I21" s="11">
        <f>('1.1'!I21)/(([2]GDP!$K$72)/100)</f>
        <v>246712.80891399496</v>
      </c>
      <c r="J21" s="12">
        <f>('1.1'!J21)/(([2]GDP!$L$72)/100)</f>
        <v>245942.25118455649</v>
      </c>
      <c r="X21" s="55">
        <f>([2]GDP!$D$72)/100</f>
        <v>0.90400990844175977</v>
      </c>
      <c r="Y21" s="55">
        <f>([2]GDP!$E$72)/100</f>
        <v>0.92991314324786001</v>
      </c>
      <c r="Z21" s="55">
        <f>([2]GDP!$F$72)/100</f>
        <v>0.95564178702510594</v>
      </c>
      <c r="AA21" s="55">
        <f>([2]GDP!$G$72)/100</f>
        <v>0.97119941975206658</v>
      </c>
      <c r="AB21" s="55">
        <f>([2]GDP!$H$72)/100</f>
        <v>1</v>
      </c>
      <c r="AC21" s="55">
        <f>([2]GDP!$I$72)/100</f>
        <v>1.0293859103805958</v>
      </c>
      <c r="AD21" s="55">
        <f>([2]GDP!$J$72)/100</f>
        <v>1.0550218463848724</v>
      </c>
      <c r="AE21" s="55">
        <f>([2]GDP!$K$72)/100</f>
        <v>1.0834176027446527</v>
      </c>
      <c r="AF21" s="55">
        <f>([2]GDP!$L$72)/100</f>
        <v>1.1123830845750147</v>
      </c>
    </row>
    <row r="22" spans="1:32">
      <c r="A22" s="17" t="s">
        <v>30</v>
      </c>
      <c r="B22" s="31"/>
      <c r="C22" s="31"/>
      <c r="D22" s="31"/>
      <c r="E22" s="32"/>
      <c r="F22" s="32"/>
      <c r="G22" s="32"/>
      <c r="H22" s="32"/>
      <c r="I22" s="32"/>
      <c r="J22" s="33"/>
      <c r="X22" s="55">
        <f>([2]GDP!$D$72)/100</f>
        <v>0.90400990844175977</v>
      </c>
      <c r="Y22" s="55">
        <f>([2]GDP!$E$72)/100</f>
        <v>0.92991314324786001</v>
      </c>
      <c r="Z22" s="55">
        <f>([2]GDP!$F$72)/100</f>
        <v>0.95564178702510594</v>
      </c>
      <c r="AA22" s="55">
        <f>([2]GDP!$G$72)/100</f>
        <v>0.97119941975206658</v>
      </c>
      <c r="AB22" s="55">
        <f>([2]GDP!$H$72)/100</f>
        <v>1</v>
      </c>
      <c r="AC22" s="55">
        <f>([2]GDP!$I$72)/100</f>
        <v>1.0293859103805958</v>
      </c>
      <c r="AD22" s="55">
        <f>([2]GDP!$J$72)/100</f>
        <v>1.0550218463848724</v>
      </c>
      <c r="AE22" s="55">
        <f>([2]GDP!$K$72)/100</f>
        <v>1.0834176027446527</v>
      </c>
      <c r="AF22" s="55">
        <f>([2]GDP!$L$72)/100</f>
        <v>1.1123830845750147</v>
      </c>
    </row>
    <row r="23" spans="1:32">
      <c r="A23" s="34" t="s">
        <v>31</v>
      </c>
      <c r="B23" s="23">
        <f>('1.1'!B23)/(([2]GDP!$D$72)/100)</f>
        <v>5145.9612959537626</v>
      </c>
      <c r="C23" s="23">
        <f>('1.1'!C23)/(([2]GDP!$E$72)/100)</f>
        <v>5798.3909993654224</v>
      </c>
      <c r="D23" s="23">
        <f>('1.1'!D23)/(([2]GDP!$F$72)/100)</f>
        <v>3202.0366224521426</v>
      </c>
      <c r="E23" s="24">
        <f>('1.1'!E23)/(([2]GDP!$G$72)/100)</f>
        <v>6609.3532074377472</v>
      </c>
      <c r="F23" s="24">
        <f>('1.1'!F23)/(([2]GDP!$H$72)/100)</f>
        <v>8414</v>
      </c>
      <c r="G23" s="24">
        <f>('1.1'!G23)/(([2]GDP!$I$72)/100)</f>
        <v>8733.3622010389863</v>
      </c>
      <c r="H23" s="24">
        <f>('1.1'!H23)/(([2]GDP!$J$72)/100)</f>
        <v>7990.3558669293498</v>
      </c>
      <c r="I23" s="24">
        <f>('1.1'!I23)/(([2]GDP!$K$72)/100)</f>
        <v>8361.5034286415284</v>
      </c>
      <c r="J23" s="25">
        <f>('1.1'!J23)/(([2]GDP!$L$72)/100)</f>
        <v>8645.4029491775036</v>
      </c>
      <c r="X23" s="55">
        <f>([2]GDP!$D$72)/100</f>
        <v>0.90400990844175977</v>
      </c>
      <c r="Y23" s="55">
        <f>([2]GDP!$E$72)/100</f>
        <v>0.92991314324786001</v>
      </c>
      <c r="Z23" s="55">
        <f>([2]GDP!$F$72)/100</f>
        <v>0.95564178702510594</v>
      </c>
      <c r="AA23" s="55">
        <f>([2]GDP!$G$72)/100</f>
        <v>0.97119941975206658</v>
      </c>
      <c r="AB23" s="55">
        <f>([2]GDP!$H$72)/100</f>
        <v>1</v>
      </c>
      <c r="AC23" s="55">
        <f>([2]GDP!$I$72)/100</f>
        <v>1.0293859103805958</v>
      </c>
      <c r="AD23" s="55">
        <f>([2]GDP!$J$72)/100</f>
        <v>1.0550218463848724</v>
      </c>
      <c r="AE23" s="55">
        <f>([2]GDP!$K$72)/100</f>
        <v>1.0834176027446527</v>
      </c>
      <c r="AF23" s="55">
        <f>([2]GDP!$L$72)/100</f>
        <v>1.1123830845750147</v>
      </c>
    </row>
    <row r="24" spans="1:32">
      <c r="A24" s="34" t="s">
        <v>32</v>
      </c>
      <c r="B24" s="23">
        <f>('1.1'!B24)/(([2]GDP!$D$72)/100)</f>
        <v>25937.768802133236</v>
      </c>
      <c r="C24" s="23">
        <f>('1.1'!C24)/(([2]GDP!$E$72)/100)</f>
        <v>26174.487560191836</v>
      </c>
      <c r="D24" s="23">
        <f>('1.1'!D24)/(([2]GDP!$F$72)/100)</f>
        <v>28217.686131060287</v>
      </c>
      <c r="E24" s="24">
        <f>('1.1'!E24)/(([2]GDP!$G$72)/100)</f>
        <v>26321.061854141008</v>
      </c>
      <c r="F24" s="24">
        <f>('1.1'!F24)/(([2]GDP!$H$72)/100)</f>
        <v>24841</v>
      </c>
      <c r="G24" s="24">
        <f>('1.1'!G24)/(([2]GDP!$I$72)/100)</f>
        <v>26443.921298607591</v>
      </c>
      <c r="H24" s="24">
        <f>('1.1'!H24)/(([2]GDP!$J$72)/100)</f>
        <v>27362.466567795545</v>
      </c>
      <c r="I24" s="24">
        <f>('1.1'!I24)/(([2]GDP!$K$72)/100)</f>
        <v>27909.828973977543</v>
      </c>
      <c r="J24" s="25">
        <f>('1.1'!J24)/(([2]GDP!$L$72)/100)</f>
        <v>28267.240338352647</v>
      </c>
      <c r="X24" s="55">
        <f>([2]GDP!$D$72)/100</f>
        <v>0.90400990844175977</v>
      </c>
      <c r="Y24" s="55">
        <f>([2]GDP!$E$72)/100</f>
        <v>0.92991314324786001</v>
      </c>
      <c r="Z24" s="55">
        <f>([2]GDP!$F$72)/100</f>
        <v>0.95564178702510594</v>
      </c>
      <c r="AA24" s="55">
        <f>([2]GDP!$G$72)/100</f>
        <v>0.97119941975206658</v>
      </c>
      <c r="AB24" s="55">
        <f>([2]GDP!$H$72)/100</f>
        <v>1</v>
      </c>
      <c r="AC24" s="55">
        <f>([2]GDP!$I$72)/100</f>
        <v>1.0293859103805958</v>
      </c>
      <c r="AD24" s="55">
        <f>([2]GDP!$J$72)/100</f>
        <v>1.0550218463848724</v>
      </c>
      <c r="AE24" s="55">
        <f>([2]GDP!$K$72)/100</f>
        <v>1.0834176027446527</v>
      </c>
      <c r="AF24" s="55">
        <f>([2]GDP!$L$72)/100</f>
        <v>1.1123830845750147</v>
      </c>
    </row>
    <row r="25" spans="1:32">
      <c r="A25" s="22" t="s">
        <v>33</v>
      </c>
      <c r="B25" s="23">
        <f>('1.1'!B25)/(([2]GDP!$D$72)/100)</f>
        <v>30509.621346453292</v>
      </c>
      <c r="C25" s="23">
        <f>('1.1'!C25)/(([2]GDP!$E$72)/100)</f>
        <v>32219.138117950188</v>
      </c>
      <c r="D25" s="23">
        <f>('1.1'!D25)/(([2]GDP!$F$72)/100)</f>
        <v>31923.049425211604</v>
      </c>
      <c r="E25" s="24">
        <f>('1.1'!E25)/(([2]GDP!$G$72)/100)</f>
        <v>31779.261161295937</v>
      </c>
      <c r="F25" s="24">
        <f>('1.1'!F25)/(([2]GDP!$H$72)/100)</f>
        <v>43682</v>
      </c>
      <c r="G25" s="24">
        <f>('1.1'!G25)/(([2]GDP!$I$72)/100)</f>
        <v>47246.615199947839</v>
      </c>
      <c r="H25" s="24">
        <f>('1.1'!H25)/(([2]GDP!$J$72)/100)</f>
        <v>48204.689006456218</v>
      </c>
      <c r="I25" s="24">
        <f>('1.1'!I25)/(([2]GDP!$K$72)/100)</f>
        <v>52267.934226417099</v>
      </c>
      <c r="J25" s="25">
        <f>('1.1'!J25)/(([2]GDP!$L$72)/100)</f>
        <v>56060.723023152575</v>
      </c>
      <c r="X25" s="55">
        <f>([2]GDP!$D$72)/100</f>
        <v>0.90400990844175977</v>
      </c>
      <c r="Y25" s="55">
        <f>([2]GDP!$E$72)/100</f>
        <v>0.92991314324786001</v>
      </c>
      <c r="Z25" s="55">
        <f>([2]GDP!$F$72)/100</f>
        <v>0.95564178702510594</v>
      </c>
      <c r="AA25" s="55">
        <f>([2]GDP!$G$72)/100</f>
        <v>0.97119941975206658</v>
      </c>
      <c r="AB25" s="55">
        <f>([2]GDP!$H$72)/100</f>
        <v>1</v>
      </c>
      <c r="AC25" s="55">
        <f>([2]GDP!$I$72)/100</f>
        <v>1.0293859103805958</v>
      </c>
      <c r="AD25" s="55">
        <f>([2]GDP!$J$72)/100</f>
        <v>1.0550218463848724</v>
      </c>
      <c r="AE25" s="55">
        <f>([2]GDP!$K$72)/100</f>
        <v>1.0834176027446527</v>
      </c>
      <c r="AF25" s="55">
        <f>([2]GDP!$L$72)/100</f>
        <v>1.1123830845750147</v>
      </c>
    </row>
    <row r="26" spans="1:32" ht="12">
      <c r="A26" s="22" t="s">
        <v>65</v>
      </c>
      <c r="B26" s="23">
        <f>('1.1'!B26)/(([2]GDP!$D$72)/100)</f>
        <v>-37959.760926902258</v>
      </c>
      <c r="C26" s="23">
        <f>('1.1'!C26)/(([2]GDP!$E$72)/100)</f>
        <v>-44741.813041468427</v>
      </c>
      <c r="D26" s="23">
        <f>('1.1'!D26)/(([2]GDP!$F$72)/100)</f>
        <v>-83272.83411049642</v>
      </c>
      <c r="E26" s="24">
        <f>('1.1'!E26)/(([2]GDP!$G$72)/100)</f>
        <v>-12874.801761302631</v>
      </c>
      <c r="F26" s="24">
        <f>('1.1'!F26)/(([2]GDP!$H$72)/100)</f>
        <v>37583</v>
      </c>
      <c r="G26" s="24">
        <f>('1.1'!G26)/(([2]GDP!$I$72)/100)</f>
        <v>-35006.307776912108</v>
      </c>
      <c r="H26" s="24">
        <f>('1.1'!H26)/(([2]GDP!$J$72)/100)</f>
        <v>-38107.267766788558</v>
      </c>
      <c r="I26" s="24">
        <f>('1.1'!I26)/(([2]GDP!$K$72)/100)</f>
        <v>-27646.772513312699</v>
      </c>
      <c r="J26" s="25">
        <f>('1.1'!J26)/(([2]GDP!$L$72)/100)</f>
        <v>-27542.669809389659</v>
      </c>
      <c r="X26" s="55">
        <f>([2]GDP!$D$72)/100</f>
        <v>0.90400990844175977</v>
      </c>
      <c r="Y26" s="55">
        <f>([2]GDP!$E$72)/100</f>
        <v>0.92991314324786001</v>
      </c>
      <c r="Z26" s="55">
        <f>([2]GDP!$F$72)/100</f>
        <v>0.95564178702510594</v>
      </c>
      <c r="AA26" s="55">
        <f>([2]GDP!$G$72)/100</f>
        <v>0.97119941975206658</v>
      </c>
      <c r="AB26" s="55">
        <f>([2]GDP!$H$72)/100</f>
        <v>1</v>
      </c>
      <c r="AC26" s="55">
        <f>([2]GDP!$I$72)/100</f>
        <v>1.0293859103805958</v>
      </c>
      <c r="AD26" s="55">
        <f>([2]GDP!$J$72)/100</f>
        <v>1.0550218463848724</v>
      </c>
      <c r="AE26" s="55">
        <f>([2]GDP!$K$72)/100</f>
        <v>1.0834176027446527</v>
      </c>
      <c r="AF26" s="55">
        <f>([2]GDP!$L$72)/100</f>
        <v>1.1123830845750147</v>
      </c>
    </row>
    <row r="27" spans="1:32" s="27" customFormat="1">
      <c r="A27" s="35" t="s">
        <v>35</v>
      </c>
      <c r="B27" s="36">
        <f>('1.1'!B27)/(([2]GDP!$D$72)/100)</f>
        <v>23633.590517638033</v>
      </c>
      <c r="C27" s="36">
        <f>('1.1'!C27)/(([2]GDP!$E$72)/100)</f>
        <v>19450.203636039019</v>
      </c>
      <c r="D27" s="36">
        <f>('1.1'!D27)/(([2]GDP!$F$72)/100)</f>
        <v>-19930.061931772387</v>
      </c>
      <c r="E27" s="36">
        <f>('1.1'!E27)/(([2]GDP!$G$72)/100)</f>
        <v>51834.874461572057</v>
      </c>
      <c r="F27" s="36">
        <f>('1.1'!F27)/(([2]GDP!$H$72)/100)</f>
        <v>114519</v>
      </c>
      <c r="G27" s="36">
        <f>('1.1'!G27)/(([2]GDP!$I$72)/100)</f>
        <v>47418.562375652386</v>
      </c>
      <c r="H27" s="36">
        <f>('1.1'!H27)/(([2]GDP!$J$72)/100)</f>
        <v>45449.295826721507</v>
      </c>
      <c r="I27" s="36">
        <f>('1.1'!I27)/(([2]GDP!$K$72)/100)</f>
        <v>60892.494115723479</v>
      </c>
      <c r="J27" s="37">
        <f>('1.1'!J27)/(([2]GDP!$L$72)/100)</f>
        <v>65430.696501293067</v>
      </c>
      <c r="X27" s="55">
        <f>([2]GDP!$D$72)/100</f>
        <v>0.90400990844175977</v>
      </c>
      <c r="Y27" s="55">
        <f>([2]GDP!$E$72)/100</f>
        <v>0.92991314324786001</v>
      </c>
      <c r="Z27" s="55">
        <f>([2]GDP!$F$72)/100</f>
        <v>0.95564178702510594</v>
      </c>
      <c r="AA27" s="55">
        <f>([2]GDP!$G$72)/100</f>
        <v>0.97119941975206658</v>
      </c>
      <c r="AB27" s="55">
        <f>([2]GDP!$H$72)/100</f>
        <v>1</v>
      </c>
      <c r="AC27" s="55">
        <f>([2]GDP!$I$72)/100</f>
        <v>1.0293859103805958</v>
      </c>
      <c r="AD27" s="55">
        <f>([2]GDP!$J$72)/100</f>
        <v>1.0550218463848724</v>
      </c>
      <c r="AE27" s="55">
        <f>([2]GDP!$K$72)/100</f>
        <v>1.0834176027446527</v>
      </c>
      <c r="AF27" s="55">
        <f>([2]GDP!$L$72)/100</f>
        <v>1.1123830845750147</v>
      </c>
    </row>
    <row r="28" spans="1:32" s="27" customFormat="1">
      <c r="A28" s="38" t="s">
        <v>36</v>
      </c>
      <c r="B28" s="39">
        <f>('1.1'!B28)/(([2]GDP!$D$72)/100)</f>
        <v>247440.87195412751</v>
      </c>
      <c r="C28" s="39">
        <f>('1.1'!C28)/(([2]GDP!$E$72)/100)</f>
        <v>253359.14618555122</v>
      </c>
      <c r="D28" s="39">
        <f>('1.1'!D28)/(([2]GDP!$F$72)/100)</f>
        <v>262299.12023867446</v>
      </c>
      <c r="E28" s="39">
        <f>('1.1'!E28)/(([2]GDP!$G$72)/100)</f>
        <v>274972.36362453224</v>
      </c>
      <c r="F28" s="39">
        <f>('1.1'!F28)/(([2]GDP!$H$72)/100)</f>
        <v>285664</v>
      </c>
      <c r="G28" s="39">
        <f>('1.1'!G28)/(([2]GDP!$I$72)/100)</f>
        <v>305345.15465029719</v>
      </c>
      <c r="H28" s="39">
        <f>('1.1'!H28)/(([2]GDP!$J$72)/100)</f>
        <v>307986.98729643587</v>
      </c>
      <c r="I28" s="39">
        <f>('1.1'!I28)/(([2]GDP!$K$72)/100)</f>
        <v>307605.30302971846</v>
      </c>
      <c r="J28" s="40">
        <f>('1.1'!J28)/(([2]GDP!$L$72)/100)</f>
        <v>311372.94768584956</v>
      </c>
      <c r="X28" s="55">
        <f>([2]GDP!$D$72)/100</f>
        <v>0.90400990844175977</v>
      </c>
      <c r="Y28" s="55">
        <f>([2]GDP!$E$72)/100</f>
        <v>0.92991314324786001</v>
      </c>
      <c r="Z28" s="55">
        <f>([2]GDP!$F$72)/100</f>
        <v>0.95564178702510594</v>
      </c>
      <c r="AA28" s="55">
        <f>([2]GDP!$G$72)/100</f>
        <v>0.97119941975206658</v>
      </c>
      <c r="AB28" s="55">
        <f>([2]GDP!$H$72)/100</f>
        <v>1</v>
      </c>
      <c r="AC28" s="55">
        <f>([2]GDP!$I$72)/100</f>
        <v>1.0293859103805958</v>
      </c>
      <c r="AD28" s="55">
        <f>([2]GDP!$J$72)/100</f>
        <v>1.0550218463848724</v>
      </c>
      <c r="AE28" s="55">
        <f>([2]GDP!$K$72)/100</f>
        <v>1.0834176027446527</v>
      </c>
      <c r="AF28" s="55">
        <f>([2]GDP!$L$72)/100</f>
        <v>1.1123830845750147</v>
      </c>
    </row>
    <row r="29" spans="1:32" s="27" customFormat="1">
      <c r="A29" s="26" t="s">
        <v>37</v>
      </c>
      <c r="B29" s="11">
        <f>('1.1'!B29)/(([2]GDP!$D$72)/100)</f>
        <v>561074.60246125958</v>
      </c>
      <c r="C29" s="11">
        <f>('1.1'!C29)/(([2]GDP!$E$72)/100)</f>
        <v>576269.94939372072</v>
      </c>
      <c r="D29" s="11">
        <f>('1.1'!D29)/(([2]GDP!$F$72)/100)</f>
        <v>590537.17372153176</v>
      </c>
      <c r="E29" s="11">
        <f>('1.1'!E29)/(([2]GDP!$G$72)/100)</f>
        <v>618672.11592176347</v>
      </c>
      <c r="F29" s="11">
        <f>('1.1'!F29)/(([2]GDP!$H$72)/100)</f>
        <v>631677</v>
      </c>
      <c r="G29" s="11">
        <v>638000</v>
      </c>
      <c r="H29" s="11">
        <v>634700</v>
      </c>
      <c r="I29" s="11">
        <v>629900</v>
      </c>
      <c r="J29" s="12">
        <v>624400</v>
      </c>
      <c r="L29" s="20"/>
      <c r="M29" s="20"/>
      <c r="N29" s="20"/>
      <c r="O29" s="20"/>
      <c r="P29" s="20"/>
      <c r="Q29" s="20"/>
      <c r="X29" s="55">
        <f>([2]GDP!$D$72)/100</f>
        <v>0.90400990844175977</v>
      </c>
      <c r="Y29" s="55">
        <f>([2]GDP!$E$72)/100</f>
        <v>0.92991314324786001</v>
      </c>
      <c r="Z29" s="55">
        <f>([2]GDP!$F$72)/100</f>
        <v>0.95564178702510594</v>
      </c>
      <c r="AA29" s="55">
        <f>([2]GDP!$G$72)/100</f>
        <v>0.97119941975206658</v>
      </c>
      <c r="AB29" s="55">
        <f>([2]GDP!$H$72)/100</f>
        <v>1</v>
      </c>
      <c r="AC29" s="55">
        <f>([2]GDP!$I$72)/100</f>
        <v>1.0293859103805958</v>
      </c>
      <c r="AD29" s="55">
        <f>([2]GDP!$J$72)/100</f>
        <v>1.0550218463848724</v>
      </c>
      <c r="AE29" s="55">
        <f>([2]GDP!$K$72)/100</f>
        <v>1.0834176027446527</v>
      </c>
      <c r="AF29" s="55">
        <f>([2]GDP!$L$72)/100</f>
        <v>1.1123830845750147</v>
      </c>
    </row>
    <row r="30" spans="1:32" s="2" customFormat="1">
      <c r="A30" s="41" t="s">
        <v>38</v>
      </c>
      <c r="B30" s="42"/>
      <c r="C30" s="42"/>
      <c r="D30" s="42"/>
      <c r="E30" s="43"/>
      <c r="F30" s="43"/>
      <c r="G30" s="43"/>
      <c r="H30" s="43"/>
      <c r="I30" s="43"/>
      <c r="J30" s="44"/>
      <c r="X30" s="55">
        <f>([2]GDP!$D$72)/100</f>
        <v>0.90400990844175977</v>
      </c>
      <c r="Y30" s="55">
        <f>([2]GDP!$E$72)/100</f>
        <v>0.92991314324786001</v>
      </c>
      <c r="Z30" s="55">
        <f>([2]GDP!$F$72)/100</f>
        <v>0.95564178702510594</v>
      </c>
      <c r="AA30" s="55">
        <f>([2]GDP!$G$72)/100</f>
        <v>0.97119941975206658</v>
      </c>
      <c r="AB30" s="55">
        <f>([2]GDP!$H$72)/100</f>
        <v>1</v>
      </c>
      <c r="AC30" s="55">
        <f>([2]GDP!$I$72)/100</f>
        <v>1.0293859103805958</v>
      </c>
      <c r="AD30" s="55">
        <f>([2]GDP!$J$72)/100</f>
        <v>1.0550218463848724</v>
      </c>
      <c r="AE30" s="55">
        <f>([2]GDP!$K$72)/100</f>
        <v>1.0834176027446527</v>
      </c>
      <c r="AF30" s="55">
        <f>([2]GDP!$L$72)/100</f>
        <v>1.1123830845750147</v>
      </c>
    </row>
    <row r="31" spans="1:32">
      <c r="A31" s="17" t="s">
        <v>39</v>
      </c>
      <c r="B31" s="18"/>
      <c r="C31" s="18"/>
      <c r="D31" s="18"/>
      <c r="E31" s="28"/>
      <c r="F31" s="28"/>
      <c r="G31" s="28"/>
      <c r="H31" s="28"/>
      <c r="I31" s="28"/>
      <c r="J31" s="29"/>
      <c r="X31" s="55">
        <f>([2]GDP!$D$72)/100</f>
        <v>0.90400990844175977</v>
      </c>
      <c r="Y31" s="55">
        <f>([2]GDP!$E$72)/100</f>
        <v>0.92991314324786001</v>
      </c>
      <c r="Z31" s="55">
        <f>([2]GDP!$F$72)/100</f>
        <v>0.95564178702510594</v>
      </c>
      <c r="AA31" s="55">
        <f>([2]GDP!$G$72)/100</f>
        <v>0.97119941975206658</v>
      </c>
      <c r="AB31" s="55">
        <f>([2]GDP!$H$72)/100</f>
        <v>1</v>
      </c>
      <c r="AC31" s="55">
        <f>([2]GDP!$I$72)/100</f>
        <v>1.0293859103805958</v>
      </c>
      <c r="AD31" s="55">
        <f>([2]GDP!$J$72)/100</f>
        <v>1.0550218463848724</v>
      </c>
      <c r="AE31" s="55">
        <f>([2]GDP!$K$72)/100</f>
        <v>1.0834176027446527</v>
      </c>
      <c r="AF31" s="55">
        <f>([2]GDP!$L$72)/100</f>
        <v>1.1123830845750147</v>
      </c>
    </row>
    <row r="32" spans="1:32" s="27" customFormat="1">
      <c r="A32" s="26" t="s">
        <v>40</v>
      </c>
      <c r="B32" s="11">
        <f>('1.1'!B32)/(([2]GDP!$D$72)/100)</f>
        <v>43674.300061660884</v>
      </c>
      <c r="C32" s="11">
        <f>('1.1'!C32)/(([2]GDP!$E$72)/100)</f>
        <v>48182.99464346571</v>
      </c>
      <c r="D32" s="11">
        <f>('1.1'!D32)/(([2]GDP!$F$72)/100)</f>
        <v>50761.698220638376</v>
      </c>
      <c r="E32" s="11">
        <f>('1.1'!E32)/(([2]GDP!$G$72)/100)</f>
        <v>58652.217908595791</v>
      </c>
      <c r="F32" s="11">
        <f>('1.1'!F32)/(([2]GDP!$H$72)/100)</f>
        <v>50005</v>
      </c>
      <c r="G32" s="11">
        <v>43200</v>
      </c>
      <c r="H32" s="11">
        <v>40400</v>
      </c>
      <c r="I32" s="11">
        <v>36200</v>
      </c>
      <c r="J32" s="12">
        <v>36200</v>
      </c>
      <c r="L32" s="20"/>
      <c r="M32" s="20"/>
      <c r="N32" s="20"/>
      <c r="O32" s="20"/>
      <c r="P32" s="20"/>
      <c r="Q32" s="20"/>
      <c r="X32" s="55">
        <f>([2]GDP!$D$72)/100</f>
        <v>0.90400990844175977</v>
      </c>
      <c r="Y32" s="55">
        <f>([2]GDP!$E$72)/100</f>
        <v>0.92991314324786001</v>
      </c>
      <c r="Z32" s="55">
        <f>([2]GDP!$F$72)/100</f>
        <v>0.95564178702510594</v>
      </c>
      <c r="AA32" s="55">
        <f>([2]GDP!$G$72)/100</f>
        <v>0.97119941975206658</v>
      </c>
      <c r="AB32" s="55">
        <f>([2]GDP!$H$72)/100</f>
        <v>1</v>
      </c>
      <c r="AC32" s="55">
        <f>([2]GDP!$I$72)/100</f>
        <v>1.0293859103805958</v>
      </c>
      <c r="AD32" s="55">
        <f>([2]GDP!$J$72)/100</f>
        <v>1.0550218463848724</v>
      </c>
      <c r="AE32" s="55">
        <f>([2]GDP!$K$72)/100</f>
        <v>1.0834176027446527</v>
      </c>
      <c r="AF32" s="55">
        <f>([2]GDP!$L$72)/100</f>
        <v>1.1123830845750147</v>
      </c>
    </row>
    <row r="33" spans="1:32">
      <c r="A33" s="17" t="s">
        <v>41</v>
      </c>
      <c r="B33" s="23"/>
      <c r="C33" s="23"/>
      <c r="D33" s="23"/>
      <c r="E33" s="24"/>
      <c r="F33" s="24"/>
      <c r="G33" s="24"/>
      <c r="H33" s="24"/>
      <c r="I33" s="24"/>
      <c r="J33" s="25"/>
      <c r="X33" s="55">
        <f>([2]GDP!$D$72)/100</f>
        <v>0.90400990844175977</v>
      </c>
      <c r="Y33" s="55">
        <f>([2]GDP!$E$72)/100</f>
        <v>0.92991314324786001</v>
      </c>
      <c r="Z33" s="55">
        <f>([2]GDP!$F$72)/100</f>
        <v>0.95564178702510594</v>
      </c>
      <c r="AA33" s="55">
        <f>([2]GDP!$G$72)/100</f>
        <v>0.97119941975206658</v>
      </c>
      <c r="AB33" s="55">
        <f>([2]GDP!$H$72)/100</f>
        <v>1</v>
      </c>
      <c r="AC33" s="55">
        <f>([2]GDP!$I$72)/100</f>
        <v>1.0293859103805958</v>
      </c>
      <c r="AD33" s="55">
        <f>([2]GDP!$J$72)/100</f>
        <v>1.0550218463848724</v>
      </c>
      <c r="AE33" s="55">
        <f>([2]GDP!$K$72)/100</f>
        <v>1.0834176027446527</v>
      </c>
      <c r="AF33" s="55">
        <f>([2]GDP!$L$72)/100</f>
        <v>1.1123830845750147</v>
      </c>
    </row>
    <row r="34" spans="1:32">
      <c r="A34" s="22" t="s">
        <v>23</v>
      </c>
      <c r="B34" s="23">
        <f>('1.1'!B34)/(([2]GDP!$D$72)/100)</f>
        <v>973.44065787603415</v>
      </c>
      <c r="C34" s="23">
        <f>('1.1'!C34)/(([2]GDP!$E$72)/100)</f>
        <v>766.73827569501964</v>
      </c>
      <c r="D34" s="23">
        <f>('1.1'!D34)/(([2]GDP!$F$72)/100)</f>
        <v>560.87961752756485</v>
      </c>
      <c r="E34" s="24">
        <f>('1.1'!E34)/(([2]GDP!$G$72)/100)</f>
        <v>774.30029786464956</v>
      </c>
      <c r="F34" s="24">
        <f>('1.1'!F34)/(([2]GDP!$H$72)/100)</f>
        <v>721</v>
      </c>
      <c r="G34" s="24">
        <f>('1.1'!G34)/(([2]GDP!$I$72)/100)</f>
        <v>523.61315087430626</v>
      </c>
      <c r="H34" s="24">
        <f>('1.1'!H34)/(([2]GDP!$J$72)/100)</f>
        <v>474.87168319473358</v>
      </c>
      <c r="I34" s="24">
        <f>('1.1'!I34)/(([2]GDP!$K$72)/100)</f>
        <v>497.49976245035703</v>
      </c>
      <c r="J34" s="25">
        <f>('1.1'!J34)/(([2]GDP!$L$72)/100)</f>
        <v>484.54530410800396</v>
      </c>
      <c r="X34" s="55">
        <f>([2]GDP!$D$72)/100</f>
        <v>0.90400990844175977</v>
      </c>
      <c r="Y34" s="55">
        <f>([2]GDP!$E$72)/100</f>
        <v>0.92991314324786001</v>
      </c>
      <c r="Z34" s="55">
        <f>([2]GDP!$F$72)/100</f>
        <v>0.95564178702510594</v>
      </c>
      <c r="AA34" s="55">
        <f>([2]GDP!$G$72)/100</f>
        <v>0.97119941975206658</v>
      </c>
      <c r="AB34" s="55">
        <f>([2]GDP!$H$72)/100</f>
        <v>1</v>
      </c>
      <c r="AC34" s="55">
        <f>([2]GDP!$I$72)/100</f>
        <v>1.0293859103805958</v>
      </c>
      <c r="AD34" s="55">
        <f>([2]GDP!$J$72)/100</f>
        <v>1.0550218463848724</v>
      </c>
      <c r="AE34" s="55">
        <f>([2]GDP!$K$72)/100</f>
        <v>1.0834176027446527</v>
      </c>
      <c r="AF34" s="55">
        <f>([2]GDP!$L$72)/100</f>
        <v>1.1123830845750147</v>
      </c>
    </row>
    <row r="35" spans="1:32">
      <c r="A35" s="22" t="s">
        <v>24</v>
      </c>
      <c r="B35" s="23">
        <f>('1.1'!B35)/(([2]GDP!$D$72)/100)</f>
        <v>113.93680427412671</v>
      </c>
      <c r="C35" s="23">
        <f>('1.1'!C35)/(([2]GDP!$E$72)/100)</f>
        <v>91.406386303052841</v>
      </c>
      <c r="D35" s="23">
        <f>('1.1'!D35)/(([2]GDP!$F$72)/100)</f>
        <v>84.759792947262596</v>
      </c>
      <c r="E35" s="24">
        <f>('1.1'!E35)/(([2]GDP!$G$72)/100)</f>
        <v>126.64752212413816</v>
      </c>
      <c r="F35" s="24">
        <f>('1.1'!F35)/(([2]GDP!$H$72)/100)</f>
        <v>114</v>
      </c>
      <c r="G35" s="24">
        <f>('1.1'!G35)/(([2]GDP!$I$72)/100)</f>
        <v>163.20409897380975</v>
      </c>
      <c r="H35" s="24">
        <f>('1.1'!H35)/(([2]GDP!$J$72)/100)</f>
        <v>29.383277802468545</v>
      </c>
      <c r="I35" s="24">
        <f>('1.1'!I35)/(([2]GDP!$K$72)/100)</f>
        <v>272.28651191624363</v>
      </c>
      <c r="J35" s="25">
        <f>('1.1'!J35)/(([2]GDP!$L$72)/100)</f>
        <v>224.74271990167162</v>
      </c>
      <c r="X35" s="55">
        <f>([2]GDP!$D$72)/100</f>
        <v>0.90400990844175977</v>
      </c>
      <c r="Y35" s="55">
        <f>([2]GDP!$E$72)/100</f>
        <v>0.92991314324786001</v>
      </c>
      <c r="Z35" s="55">
        <f>([2]GDP!$F$72)/100</f>
        <v>0.95564178702510594</v>
      </c>
      <c r="AA35" s="55">
        <f>([2]GDP!$G$72)/100</f>
        <v>0.97119941975206658</v>
      </c>
      <c r="AB35" s="55">
        <f>([2]GDP!$H$72)/100</f>
        <v>1</v>
      </c>
      <c r="AC35" s="55">
        <f>([2]GDP!$I$72)/100</f>
        <v>1.0293859103805958</v>
      </c>
      <c r="AD35" s="55">
        <f>([2]GDP!$J$72)/100</f>
        <v>1.0550218463848724</v>
      </c>
      <c r="AE35" s="55">
        <f>([2]GDP!$K$72)/100</f>
        <v>1.0834176027446527</v>
      </c>
      <c r="AF35" s="55">
        <f>([2]GDP!$L$72)/100</f>
        <v>1.1123830845750147</v>
      </c>
    </row>
    <row r="36" spans="1:32">
      <c r="A36" s="22" t="s">
        <v>25</v>
      </c>
      <c r="B36" s="23">
        <f>('1.1'!B36)/(([2]GDP!$D$72)/100)</f>
        <v>3547.5274884186833</v>
      </c>
      <c r="C36" s="23">
        <f>('1.1'!C36)/(([2]GDP!$E$72)/100)</f>
        <v>4818.7296120468209</v>
      </c>
      <c r="D36" s="23">
        <f>('1.1'!D36)/(([2]GDP!$F$72)/100)</f>
        <v>4682.7169560370385</v>
      </c>
      <c r="E36" s="24">
        <f>('1.1'!E36)/(([2]GDP!$G$72)/100)</f>
        <v>4737.4410511638998</v>
      </c>
      <c r="F36" s="24">
        <f>('1.1'!F36)/(([2]GDP!$H$72)/100)</f>
        <v>4959</v>
      </c>
      <c r="G36" s="24">
        <f>('1.1'!G36)/(([2]GDP!$I$72)/100)</f>
        <v>6184.2696075432905</v>
      </c>
      <c r="H36" s="24">
        <f>('1.1'!H36)/(([2]GDP!$J$72)/100)</f>
        <v>6718.3442923837756</v>
      </c>
      <c r="I36" s="24">
        <f>('1.1'!I36)/(([2]GDP!$K$72)/100)</f>
        <v>8006.1464554627028</v>
      </c>
      <c r="J36" s="25">
        <f>('1.1'!J36)/(([2]GDP!$L$72)/100)</f>
        <v>9394.2456918898733</v>
      </c>
      <c r="X36" s="55">
        <f>([2]GDP!$D$72)/100</f>
        <v>0.90400990844175977</v>
      </c>
      <c r="Y36" s="55">
        <f>([2]GDP!$E$72)/100</f>
        <v>0.92991314324786001</v>
      </c>
      <c r="Z36" s="55">
        <f>([2]GDP!$F$72)/100</f>
        <v>0.95564178702510594</v>
      </c>
      <c r="AA36" s="55">
        <f>([2]GDP!$G$72)/100</f>
        <v>0.97119941975206658</v>
      </c>
      <c r="AB36" s="55">
        <f>([2]GDP!$H$72)/100</f>
        <v>1</v>
      </c>
      <c r="AC36" s="55">
        <f>([2]GDP!$I$72)/100</f>
        <v>1.0293859103805958</v>
      </c>
      <c r="AD36" s="55">
        <f>([2]GDP!$J$72)/100</f>
        <v>1.0550218463848724</v>
      </c>
      <c r="AE36" s="55">
        <f>([2]GDP!$K$72)/100</f>
        <v>1.0834176027446527</v>
      </c>
      <c r="AF36" s="55">
        <f>([2]GDP!$L$72)/100</f>
        <v>1.1123830845750147</v>
      </c>
    </row>
    <row r="37" spans="1:32">
      <c r="A37" s="22" t="s">
        <v>27</v>
      </c>
      <c r="B37" s="23">
        <f>('1.1'!B37)/(([2]GDP!$D$72)/100)</f>
        <v>0</v>
      </c>
      <c r="C37" s="23">
        <f>('1.1'!C37)/(([2]GDP!$E$72)/100)</f>
        <v>0</v>
      </c>
      <c r="D37" s="23">
        <f>('1.1'!D37)/(([2]GDP!$F$72)/100)</f>
        <v>89494.830763143633</v>
      </c>
      <c r="E37" s="24">
        <f>('1.1'!E37)/(([2]GDP!$G$72)/100)</f>
        <v>39416.209710846611</v>
      </c>
      <c r="F37" s="24">
        <f>('1.1'!F37)/(([2]GDP!$H$72)/100)</f>
        <v>-3015</v>
      </c>
      <c r="G37" s="24">
        <f>('1.1'!G37)/(([2]GDP!$I$72)/100)</f>
        <v>1078.4196566179519</v>
      </c>
      <c r="H37" s="24">
        <f>('1.1'!H37)/(([2]GDP!$J$72)/100)</f>
        <v>0</v>
      </c>
      <c r="I37" s="24">
        <f>('1.1'!I37)/(([2]GDP!$K$72)/100)</f>
        <v>0</v>
      </c>
      <c r="J37" s="25">
        <f>('1.1'!J37)/(([2]GDP!$L$72)/100)</f>
        <v>0</v>
      </c>
      <c r="X37" s="55">
        <f>([2]GDP!$D$72)/100</f>
        <v>0.90400990844175977</v>
      </c>
      <c r="Y37" s="55">
        <f>([2]GDP!$E$72)/100</f>
        <v>0.92991314324786001</v>
      </c>
      <c r="Z37" s="55">
        <f>([2]GDP!$F$72)/100</f>
        <v>0.95564178702510594</v>
      </c>
      <c r="AA37" s="55">
        <f>([2]GDP!$G$72)/100</f>
        <v>0.97119941975206658</v>
      </c>
      <c r="AB37" s="55">
        <f>([2]GDP!$H$72)/100</f>
        <v>1</v>
      </c>
      <c r="AC37" s="55">
        <f>([2]GDP!$I$72)/100</f>
        <v>1.0293859103805958</v>
      </c>
      <c r="AD37" s="55">
        <f>([2]GDP!$J$72)/100</f>
        <v>1.0550218463848724</v>
      </c>
      <c r="AE37" s="55">
        <f>([2]GDP!$K$72)/100</f>
        <v>1.0834176027446527</v>
      </c>
      <c r="AF37" s="55">
        <f>([2]GDP!$L$72)/100</f>
        <v>1.1123830845750147</v>
      </c>
    </row>
    <row r="38" spans="1:32">
      <c r="A38" s="45" t="s">
        <v>28</v>
      </c>
      <c r="B38" s="23">
        <f>('1.1'!B38)/(([2]GDP!$D$72)/100)</f>
        <v>150.440828944478</v>
      </c>
      <c r="C38" s="23">
        <f>('1.1'!C38)/(([2]GDP!$E$72)/100)</f>
        <v>748.45699843440912</v>
      </c>
      <c r="D38" s="23">
        <f>('1.1'!D38)/(([2]GDP!$F$72)/100)</f>
        <v>150.68407635068905</v>
      </c>
      <c r="E38" s="24">
        <f>('1.1'!E38)/(([2]GDP!$G$72)/100)</f>
        <v>4054.7800172752527</v>
      </c>
      <c r="F38" s="24">
        <f>('1.1'!F38)/(([2]GDP!$H$72)/100)</f>
        <v>1147</v>
      </c>
      <c r="G38" s="24">
        <f>('1.1'!G38)/(([2]GDP!$I$72)/100)</f>
        <v>1564.9038749757167</v>
      </c>
      <c r="H38" s="24">
        <f>('1.1'!H38)/(([2]GDP!$J$72)/100)</f>
        <v>1639.7764709119542</v>
      </c>
      <c r="I38" s="24">
        <f>('1.1'!I38)/(([2]GDP!$K$72)/100)</f>
        <v>1712.1745071343455</v>
      </c>
      <c r="J38" s="25">
        <f>('1.1'!J38)/(([2]GDP!$L$72)/100)</f>
        <v>1910.3131191642087</v>
      </c>
      <c r="X38" s="55">
        <f>([2]GDP!$D$72)/100</f>
        <v>0.90400990844175977</v>
      </c>
      <c r="Y38" s="55">
        <f>([2]GDP!$E$72)/100</f>
        <v>0.92991314324786001</v>
      </c>
      <c r="Z38" s="55">
        <f>([2]GDP!$F$72)/100</f>
        <v>0.95564178702510594</v>
      </c>
      <c r="AA38" s="55">
        <f>([2]GDP!$G$72)/100</f>
        <v>0.97119941975206658</v>
      </c>
      <c r="AB38" s="55">
        <f>([2]GDP!$H$72)/100</f>
        <v>1</v>
      </c>
      <c r="AC38" s="55">
        <f>([2]GDP!$I$72)/100</f>
        <v>1.0293859103805958</v>
      </c>
      <c r="AD38" s="55">
        <f>([2]GDP!$J$72)/100</f>
        <v>1.0550218463848724</v>
      </c>
      <c r="AE38" s="55">
        <f>([2]GDP!$K$72)/100</f>
        <v>1.0834176027446527</v>
      </c>
      <c r="AF38" s="55">
        <f>([2]GDP!$L$72)/100</f>
        <v>1.1123830845750147</v>
      </c>
    </row>
    <row r="39" spans="1:32" s="27" customFormat="1">
      <c r="A39" s="26" t="s">
        <v>42</v>
      </c>
      <c r="B39" s="11">
        <f>('1.1'!B39)/(([2]GDP!$D$72)/100)</f>
        <v>4786.4519620790907</v>
      </c>
      <c r="C39" s="11">
        <f>('1.1'!C39)/(([2]GDP!$E$72)/100)</f>
        <v>6425.3312724793022</v>
      </c>
      <c r="D39" s="11">
        <f>('1.1'!D39)/(([2]GDP!$F$72)/100)</f>
        <v>94973.871206006181</v>
      </c>
      <c r="E39" s="11">
        <f>('1.1'!E39)/(([2]GDP!$G$72)/100)</f>
        <v>49108.348944623132</v>
      </c>
      <c r="F39" s="11">
        <f>('1.1'!F39)/(([2]GDP!$H$72)/100)</f>
        <v>3926</v>
      </c>
      <c r="G39" s="11">
        <f>('1.1'!G39)/(([2]GDP!$I$72)/100)</f>
        <v>9514.4103889850758</v>
      </c>
      <c r="H39" s="11">
        <f>('1.1'!H39)/(([2]GDP!$J$72)/100)</f>
        <v>8861.4278766218849</v>
      </c>
      <c r="I39" s="11">
        <f>('1.1'!I39)/(([2]GDP!$K$72)/100)</f>
        <v>10488.107236963649</v>
      </c>
      <c r="J39" s="12">
        <f>('1.1'!J39)/(([2]GDP!$L$72)/100)</f>
        <v>12013.846835063758</v>
      </c>
      <c r="X39" s="55">
        <f>([2]GDP!$D$72)/100</f>
        <v>0.90400990844175977</v>
      </c>
      <c r="Y39" s="55">
        <f>([2]GDP!$E$72)/100</f>
        <v>0.92991314324786001</v>
      </c>
      <c r="Z39" s="55">
        <f>([2]GDP!$F$72)/100</f>
        <v>0.95564178702510594</v>
      </c>
      <c r="AA39" s="55">
        <f>([2]GDP!$G$72)/100</f>
        <v>0.97119941975206658</v>
      </c>
      <c r="AB39" s="55">
        <f>([2]GDP!$H$72)/100</f>
        <v>1</v>
      </c>
      <c r="AC39" s="55">
        <f>([2]GDP!$I$72)/100</f>
        <v>1.0293859103805958</v>
      </c>
      <c r="AD39" s="55">
        <f>([2]GDP!$J$72)/100</f>
        <v>1.0550218463848724</v>
      </c>
      <c r="AE39" s="55">
        <f>([2]GDP!$K$72)/100</f>
        <v>1.0834176027446527</v>
      </c>
      <c r="AF39" s="55">
        <f>([2]GDP!$L$72)/100</f>
        <v>1.1123830845750147</v>
      </c>
    </row>
    <row r="40" spans="1:32">
      <c r="A40" s="17" t="s">
        <v>43</v>
      </c>
      <c r="B40" s="23"/>
      <c r="C40" s="23"/>
      <c r="D40" s="23"/>
      <c r="E40" s="24"/>
      <c r="F40" s="24"/>
      <c r="G40" s="24"/>
      <c r="H40" s="24"/>
      <c r="I40" s="24"/>
      <c r="J40" s="25"/>
      <c r="X40" s="55">
        <f>([2]GDP!$D$72)/100</f>
        <v>0.90400990844175977</v>
      </c>
      <c r="Y40" s="55">
        <f>([2]GDP!$E$72)/100</f>
        <v>0.92991314324786001</v>
      </c>
      <c r="Z40" s="55">
        <f>([2]GDP!$F$72)/100</f>
        <v>0.95564178702510594</v>
      </c>
      <c r="AA40" s="55">
        <f>([2]GDP!$G$72)/100</f>
        <v>0.97119941975206658</v>
      </c>
      <c r="AB40" s="55">
        <f>([2]GDP!$H$72)/100</f>
        <v>1</v>
      </c>
      <c r="AC40" s="55">
        <f>([2]GDP!$I$72)/100</f>
        <v>1.0293859103805958</v>
      </c>
      <c r="AD40" s="55">
        <f>([2]GDP!$J$72)/100</f>
        <v>1.0550218463848724</v>
      </c>
      <c r="AE40" s="55">
        <f>([2]GDP!$K$72)/100</f>
        <v>1.0834176027446527</v>
      </c>
      <c r="AF40" s="55">
        <f>([2]GDP!$L$72)/100</f>
        <v>1.1123830845750147</v>
      </c>
    </row>
    <row r="41" spans="1:32">
      <c r="A41" s="22" t="s">
        <v>32</v>
      </c>
      <c r="B41" s="23">
        <f>('1.1'!B41)/(([2]GDP!$D$72)/100)</f>
        <v>3443.5463272364709</v>
      </c>
      <c r="C41" s="23">
        <f>('1.1'!C41)/(([2]GDP!$E$72)/100)</f>
        <v>4440.1996358271199</v>
      </c>
      <c r="D41" s="23">
        <f>('1.1'!D41)/(([2]GDP!$F$72)/100)</f>
        <v>7663.9595499475463</v>
      </c>
      <c r="E41" s="24">
        <f>('1.1'!E41)/(([2]GDP!$G$72)/100)</f>
        <v>6549.6332376556329</v>
      </c>
      <c r="F41" s="24">
        <f>('1.1'!F41)/(([2]GDP!$H$72)/100)</f>
        <v>6692</v>
      </c>
      <c r="G41" s="24">
        <f>('1.1'!G41)/(([2]GDP!$I$72)/100)</f>
        <v>12824.150658055134</v>
      </c>
      <c r="H41" s="24">
        <f>('1.1'!H41)/(([2]GDP!$J$72)/100)</f>
        <v>5028.3318949063105</v>
      </c>
      <c r="I41" s="24">
        <f>('1.1'!I41)/(([2]GDP!$K$72)/100)</f>
        <v>4561.4913284409358</v>
      </c>
      <c r="J41" s="25">
        <f>('1.1'!J41)/(([2]GDP!$L$72)/100)</f>
        <v>4034.5813076748086</v>
      </c>
      <c r="X41" s="55">
        <f>([2]GDP!$D$72)/100</f>
        <v>0.90400990844175977</v>
      </c>
      <c r="Y41" s="55">
        <f>([2]GDP!$E$72)/100</f>
        <v>0.92991314324786001</v>
      </c>
      <c r="Z41" s="55">
        <f>([2]GDP!$F$72)/100</f>
        <v>0.95564178702510594</v>
      </c>
      <c r="AA41" s="55">
        <f>([2]GDP!$G$72)/100</f>
        <v>0.97119941975206658</v>
      </c>
      <c r="AB41" s="55">
        <f>([2]GDP!$H$72)/100</f>
        <v>1</v>
      </c>
      <c r="AC41" s="55">
        <f>([2]GDP!$I$72)/100</f>
        <v>1.0293859103805958</v>
      </c>
      <c r="AD41" s="55">
        <f>([2]GDP!$J$72)/100</f>
        <v>1.0550218463848724</v>
      </c>
      <c r="AE41" s="55">
        <f>([2]GDP!$K$72)/100</f>
        <v>1.0834176027446527</v>
      </c>
      <c r="AF41" s="55">
        <f>([2]GDP!$L$72)/100</f>
        <v>1.1123830845750147</v>
      </c>
    </row>
    <row r="42" spans="1:32" ht="22.5">
      <c r="A42" s="34" t="s">
        <v>44</v>
      </c>
      <c r="B42" s="23">
        <f>('1.1'!B42)/(([2]GDP!$D$72)/100)</f>
        <v>5230.0311709521466</v>
      </c>
      <c r="C42" s="23">
        <f>('1.1'!C42)/(([2]GDP!$E$72)/100)</f>
        <v>5919.9077246859515</v>
      </c>
      <c r="D42" s="23">
        <f>('1.1'!D42)/(([2]GDP!$F$72)/100)</f>
        <v>7522.6932283687756</v>
      </c>
      <c r="E42" s="24">
        <f>('1.1'!E42)/(([2]GDP!$G$72)/100)</f>
        <v>7964.3787287008836</v>
      </c>
      <c r="F42" s="24">
        <f>('1.1'!F42)/(([2]GDP!$H$72)/100)</f>
        <v>8541</v>
      </c>
      <c r="G42" s="24">
        <f>('1.1'!G42)/(([2]GDP!$I$72)/100)</f>
        <v>8030.0302506994722</v>
      </c>
      <c r="H42" s="24">
        <f>('1.1'!H42)/(([2]GDP!$J$72)/100)</f>
        <v>7870.9270603773803</v>
      </c>
      <c r="I42" s="24">
        <f>('1.1'!I42)/(([2]GDP!$K$72)/100)</f>
        <v>7684.9406719140497</v>
      </c>
      <c r="J42" s="25">
        <f>('1.1'!J42)/(([2]GDP!$L$72)/100)</f>
        <v>7772.5022250794109</v>
      </c>
      <c r="X42" s="55">
        <f>([2]GDP!$D$72)/100</f>
        <v>0.90400990844175977</v>
      </c>
      <c r="Y42" s="55">
        <f>([2]GDP!$E$72)/100</f>
        <v>0.92991314324786001</v>
      </c>
      <c r="Z42" s="55">
        <f>([2]GDP!$F$72)/100</f>
        <v>0.95564178702510594</v>
      </c>
      <c r="AA42" s="55">
        <f>([2]GDP!$G$72)/100</f>
        <v>0.97119941975206658</v>
      </c>
      <c r="AB42" s="55">
        <f>([2]GDP!$H$72)/100</f>
        <v>1</v>
      </c>
      <c r="AC42" s="55">
        <f>([2]GDP!$I$72)/100</f>
        <v>1.0293859103805958</v>
      </c>
      <c r="AD42" s="55">
        <f>([2]GDP!$J$72)/100</f>
        <v>1.0550218463848724</v>
      </c>
      <c r="AE42" s="55">
        <f>([2]GDP!$K$72)/100</f>
        <v>1.0834176027446527</v>
      </c>
      <c r="AF42" s="55">
        <f>([2]GDP!$L$72)/100</f>
        <v>1.1123830845750147</v>
      </c>
    </row>
    <row r="43" spans="1:32" ht="12">
      <c r="A43" s="22" t="s">
        <v>65</v>
      </c>
      <c r="B43" s="23">
        <f>('1.1'!B43)/(([2]GDP!$D$72)/100)</f>
        <v>-9757.6364126414737</v>
      </c>
      <c r="C43" s="23">
        <f>('1.1'!C43)/(([2]GDP!$E$72)/100)</f>
        <v>-14762.669072568346</v>
      </c>
      <c r="D43" s="23">
        <f>('1.1'!D43)/(([2]GDP!$F$72)/100)</f>
        <v>-92635.128770979863</v>
      </c>
      <c r="E43" s="24">
        <f>('1.1'!E43)/(([2]GDP!$G$72)/100)</f>
        <v>-51658.803516179963</v>
      </c>
      <c r="F43" s="24">
        <f>('1.1'!F43)/(([2]GDP!$H$72)/100)</f>
        <v>-9174</v>
      </c>
      <c r="G43" s="24">
        <f>('1.1'!G43)/(([2]GDP!$I$72)/100)</f>
        <v>-21390.422948239979</v>
      </c>
      <c r="H43" s="24">
        <f>('1.1'!H43)/(([2]GDP!$J$72)/100)</f>
        <v>-14144.730795039939</v>
      </c>
      <c r="I43" s="24">
        <f>('1.1'!I43)/(([2]GDP!$K$72)/100)</f>
        <v>-14864.997540376624</v>
      </c>
      <c r="J43" s="25">
        <f>('1.1'!J43)/(([2]GDP!$L$72)/100)</f>
        <v>-15874.027792094868</v>
      </c>
      <c r="X43" s="55">
        <f>([2]GDP!$D$72)/100</f>
        <v>0.90400990844175977</v>
      </c>
      <c r="Y43" s="55">
        <f>([2]GDP!$E$72)/100</f>
        <v>0.92991314324786001</v>
      </c>
      <c r="Z43" s="55">
        <f>([2]GDP!$F$72)/100</f>
        <v>0.95564178702510594</v>
      </c>
      <c r="AA43" s="55">
        <f>([2]GDP!$G$72)/100</f>
        <v>0.97119941975206658</v>
      </c>
      <c r="AB43" s="55">
        <f>([2]GDP!$H$72)/100</f>
        <v>1</v>
      </c>
      <c r="AC43" s="55">
        <f>([2]GDP!$I$72)/100</f>
        <v>1.0293859103805958</v>
      </c>
      <c r="AD43" s="55">
        <f>([2]GDP!$J$72)/100</f>
        <v>1.0550218463848724</v>
      </c>
      <c r="AE43" s="55">
        <f>([2]GDP!$K$72)/100</f>
        <v>1.0834176027446527</v>
      </c>
      <c r="AF43" s="55">
        <f>([2]GDP!$L$72)/100</f>
        <v>1.1123830845750147</v>
      </c>
    </row>
    <row r="44" spans="1:32" s="27" customFormat="1">
      <c r="A44" s="35" t="s">
        <v>45</v>
      </c>
      <c r="B44" s="36">
        <f>('1.1'!B44)/(([2]GDP!$D$72)/100)</f>
        <v>-1084.0589144528562</v>
      </c>
      <c r="C44" s="36">
        <f>('1.1'!C44)/(([2]GDP!$E$72)/100)</f>
        <v>-4402.5617120552743</v>
      </c>
      <c r="D44" s="36">
        <f>('1.1'!D44)/(([2]GDP!$F$72)/100)</f>
        <v>-77449.522409860423</v>
      </c>
      <c r="E44" s="36">
        <f>('1.1'!E44)/(([2]GDP!$G$72)/100)</f>
        <v>-37144.791549823451</v>
      </c>
      <c r="F44" s="36">
        <f>('1.1'!F44)/(([2]GDP!$H$72)/100)</f>
        <v>6059</v>
      </c>
      <c r="G44" s="36">
        <f>('1.1'!G44)/(([2]GDP!$I$72)/100)</f>
        <v>-536.2420394853749</v>
      </c>
      <c r="H44" s="36">
        <f>('1.1'!H44)/(([2]GDP!$J$72)/100)</f>
        <v>-1245.4718397562474</v>
      </c>
      <c r="I44" s="36">
        <f>('1.1'!I44)/(([2]GDP!$K$72)/100)</f>
        <v>-2618.5655400216378</v>
      </c>
      <c r="J44" s="37">
        <f>('1.1'!J44)/(([2]GDP!$L$72)/100)</f>
        <v>-4067.8432302202559</v>
      </c>
      <c r="X44" s="55">
        <f>([2]GDP!$D$72)/100</f>
        <v>0.90400990844175977</v>
      </c>
      <c r="Y44" s="55">
        <f>([2]GDP!$E$72)/100</f>
        <v>0.92991314324786001</v>
      </c>
      <c r="Z44" s="55">
        <f>([2]GDP!$F$72)/100</f>
        <v>0.95564178702510594</v>
      </c>
      <c r="AA44" s="55">
        <f>([2]GDP!$G$72)/100</f>
        <v>0.97119941975206658</v>
      </c>
      <c r="AB44" s="55">
        <f>([2]GDP!$H$72)/100</f>
        <v>1</v>
      </c>
      <c r="AC44" s="55">
        <f>([2]GDP!$I$72)/100</f>
        <v>1.0293859103805958</v>
      </c>
      <c r="AD44" s="55">
        <f>([2]GDP!$J$72)/100</f>
        <v>1.0550218463848724</v>
      </c>
      <c r="AE44" s="55">
        <f>([2]GDP!$K$72)/100</f>
        <v>1.0834176027446527</v>
      </c>
      <c r="AF44" s="55">
        <f>([2]GDP!$L$72)/100</f>
        <v>1.1123830845750147</v>
      </c>
    </row>
    <row r="45" spans="1:32" s="27" customFormat="1">
      <c r="A45" s="35" t="s">
        <v>46</v>
      </c>
      <c r="B45" s="36">
        <f>('1.1'!B45)/(([2]GDP!$D$72)/100)</f>
        <v>3701.286865060466</v>
      </c>
      <c r="C45" s="36">
        <f>('1.1'!C45)/(([2]GDP!$E$72)/100)</f>
        <v>2023.8449296746521</v>
      </c>
      <c r="D45" s="36">
        <f>('1.1'!D45)/(([2]GDP!$F$72)/100)</f>
        <v>17524.348796145761</v>
      </c>
      <c r="E45" s="36">
        <f>('1.1'!E45)/(([2]GDP!$G$72)/100)</f>
        <v>11963.557394799685</v>
      </c>
      <c r="F45" s="36">
        <f>('1.1'!F45)/(([2]GDP!$H$72)/100)</f>
        <v>9984</v>
      </c>
      <c r="G45" s="36">
        <f>('1.1'!G45)/(([2]GDP!$I$72)/100)</f>
        <v>8978.1683494996996</v>
      </c>
      <c r="H45" s="36">
        <f>('1.1'!H45)/(([2]GDP!$J$72)/100)</f>
        <v>7615.9560368656375</v>
      </c>
      <c r="I45" s="36">
        <f>('1.1'!I45)/(([2]GDP!$K$72)/100)</f>
        <v>7870.4647020671509</v>
      </c>
      <c r="J45" s="37">
        <f>('1.1'!J45)/(([2]GDP!$L$72)/100)</f>
        <v>7946.0036048435013</v>
      </c>
      <c r="X45" s="55">
        <f>([2]GDP!$D$72)/100</f>
        <v>0.90400990844175977</v>
      </c>
      <c r="Y45" s="55">
        <f>([2]GDP!$E$72)/100</f>
        <v>0.92991314324786001</v>
      </c>
      <c r="Z45" s="55">
        <f>([2]GDP!$F$72)/100</f>
        <v>0.95564178702510594</v>
      </c>
      <c r="AA45" s="55">
        <f>([2]GDP!$G$72)/100</f>
        <v>0.97119941975206658</v>
      </c>
      <c r="AB45" s="55">
        <f>([2]GDP!$H$72)/100</f>
        <v>1</v>
      </c>
      <c r="AC45" s="55">
        <f>([2]GDP!$I$72)/100</f>
        <v>1.0293859103805958</v>
      </c>
      <c r="AD45" s="55">
        <f>([2]GDP!$J$72)/100</f>
        <v>1.0550218463848724</v>
      </c>
      <c r="AE45" s="55">
        <f>([2]GDP!$K$72)/100</f>
        <v>1.0834176027446527</v>
      </c>
      <c r="AF45" s="55">
        <f>([2]GDP!$L$72)/100</f>
        <v>1.1123830845750147</v>
      </c>
    </row>
    <row r="46" spans="1:32" s="27" customFormat="1" ht="12">
      <c r="A46" s="26" t="s">
        <v>66</v>
      </c>
      <c r="B46" s="11">
        <f>('1.1'!B46)/(([2]GDP!$D$72)/100)</f>
        <v>47375.586926721349</v>
      </c>
      <c r="C46" s="11">
        <f>('1.1'!C46)/(([2]GDP!$E$72)/100)</f>
        <v>50206.839573140365</v>
      </c>
      <c r="D46" s="11">
        <f>('1.1'!D46)/(([2]GDP!$F$72)/100)</f>
        <v>68286.047016784141</v>
      </c>
      <c r="E46" s="11">
        <f>('1.1'!E46)/(([2]GDP!$G$72)/100)</f>
        <v>70615.77530339548</v>
      </c>
      <c r="F46" s="11">
        <f>('1.1'!F46)/(([2]GDP!$H$72)/100)</f>
        <v>59989</v>
      </c>
      <c r="G46" s="11">
        <v>52200</v>
      </c>
      <c r="H46" s="11">
        <v>48100</v>
      </c>
      <c r="I46" s="11">
        <v>44000</v>
      </c>
      <c r="J46" s="12">
        <v>44100</v>
      </c>
      <c r="L46" s="20"/>
      <c r="M46" s="20"/>
      <c r="N46" s="20"/>
      <c r="O46" s="20"/>
      <c r="P46" s="20"/>
      <c r="Q46" s="20"/>
      <c r="X46" s="55">
        <f>([2]GDP!$D$72)/100</f>
        <v>0.90400990844175977</v>
      </c>
      <c r="Y46" s="55">
        <f>([2]GDP!$E$72)/100</f>
        <v>0.92991314324786001</v>
      </c>
      <c r="Z46" s="55">
        <f>([2]GDP!$F$72)/100</f>
        <v>0.95564178702510594</v>
      </c>
      <c r="AA46" s="55">
        <f>([2]GDP!$G$72)/100</f>
        <v>0.97119941975206658</v>
      </c>
      <c r="AB46" s="55">
        <f>([2]GDP!$H$72)/100</f>
        <v>1</v>
      </c>
      <c r="AC46" s="55">
        <f>([2]GDP!$I$72)/100</f>
        <v>1.0293859103805958</v>
      </c>
      <c r="AD46" s="55">
        <f>([2]GDP!$J$72)/100</f>
        <v>1.0550218463848724</v>
      </c>
      <c r="AE46" s="55">
        <f>([2]GDP!$K$72)/100</f>
        <v>1.0834176027446527</v>
      </c>
      <c r="AF46" s="55">
        <f>([2]GDP!$L$72)/100</f>
        <v>1.1123830845750147</v>
      </c>
    </row>
    <row r="47" spans="1:32" ht="12">
      <c r="A47" s="46" t="s">
        <v>67</v>
      </c>
      <c r="B47" s="23">
        <f>('1.1'!B47)/(([2]GDP!$D$72)/100)</f>
        <v>18778.555236481312</v>
      </c>
      <c r="C47" s="23">
        <f>('1.1'!C47)/(([2]GDP!$E$72)/100)</f>
        <v>19081.351983074936</v>
      </c>
      <c r="D47" s="23">
        <f>('1.1'!D47)/(([2]GDP!$F$72)/100)</f>
        <v>19541.841151729986</v>
      </c>
      <c r="E47" s="24">
        <f>('1.1'!E47)/(([2]GDP!$G$72)/100)</f>
        <v>19899.105793260929</v>
      </c>
      <c r="F47" s="24">
        <f>('1.1'!F47)/(([2]GDP!$H$72)/100)</f>
        <v>20273</v>
      </c>
      <c r="G47" s="24">
        <f>('1.1'!G47)/(([2]GDP!$I$72)/100)</f>
        <v>21246.647908667815</v>
      </c>
      <c r="H47" s="24">
        <f>('1.1'!H47)/(([2]GDP!$J$72)/100)</f>
        <v>21705.711666984829</v>
      </c>
      <c r="I47" s="24">
        <f>('1.1'!I47)/(([2]GDP!$K$72)/100)</f>
        <v>22060.745495966574</v>
      </c>
      <c r="J47" s="25">
        <f>('1.1'!J47)/(([2]GDP!$L$72)/100)</f>
        <v>22372.688280771607</v>
      </c>
      <c r="X47" s="55">
        <f>([2]GDP!$D$72)/100</f>
        <v>0.90400990844175977</v>
      </c>
      <c r="Y47" s="55">
        <f>([2]GDP!$E$72)/100</f>
        <v>0.92991314324786001</v>
      </c>
      <c r="Z47" s="55">
        <f>([2]GDP!$F$72)/100</f>
        <v>0.95564178702510594</v>
      </c>
      <c r="AA47" s="55">
        <f>([2]GDP!$G$72)/100</f>
        <v>0.97119941975206658</v>
      </c>
      <c r="AB47" s="55">
        <f>([2]GDP!$H$72)/100</f>
        <v>1</v>
      </c>
      <c r="AC47" s="55">
        <f>([2]GDP!$I$72)/100</f>
        <v>1.0293859103805958</v>
      </c>
      <c r="AD47" s="55">
        <f>([2]GDP!$J$72)/100</f>
        <v>1.0550218463848724</v>
      </c>
      <c r="AE47" s="55">
        <f>([2]GDP!$K$72)/100</f>
        <v>1.0834176027446527</v>
      </c>
      <c r="AF47" s="55">
        <f>([2]GDP!$L$72)/100</f>
        <v>1.1123830845750147</v>
      </c>
    </row>
    <row r="48" spans="1:32" s="27" customFormat="1" ht="12">
      <c r="A48" s="35" t="s">
        <v>68</v>
      </c>
      <c r="B48" s="36">
        <f>('1.1'!B48)/(([2]GDP!$D$72)/100)</f>
        <v>28597.031690240037</v>
      </c>
      <c r="C48" s="36">
        <f>('1.1'!C48)/(([2]GDP!$E$72)/100)</f>
        <v>31125.487590065426</v>
      </c>
      <c r="D48" s="36">
        <f>('1.1'!D48)/(([2]GDP!$F$72)/100)</f>
        <v>48744.205865054151</v>
      </c>
      <c r="E48" s="36">
        <f>('1.1'!E48)/(([2]GDP!$G$72)/100)</f>
        <v>50716.669510134547</v>
      </c>
      <c r="F48" s="36">
        <f>('1.1'!F48)/(([2]GDP!$H$72)/100)</f>
        <v>39716</v>
      </c>
      <c r="G48" s="36">
        <v>30900</v>
      </c>
      <c r="H48" s="36">
        <v>26400</v>
      </c>
      <c r="I48" s="36">
        <v>22000</v>
      </c>
      <c r="J48" s="37">
        <v>21800</v>
      </c>
      <c r="L48" s="20"/>
      <c r="M48" s="20"/>
      <c r="N48" s="20"/>
      <c r="O48" s="20"/>
      <c r="P48" s="20"/>
      <c r="Q48" s="20"/>
      <c r="X48" s="55">
        <f>([2]GDP!$D$72)/100</f>
        <v>0.90400990844175977</v>
      </c>
      <c r="Y48" s="55">
        <f>([2]GDP!$E$72)/100</f>
        <v>0.92991314324786001</v>
      </c>
      <c r="Z48" s="55">
        <f>([2]GDP!$F$72)/100</f>
        <v>0.95564178702510594</v>
      </c>
      <c r="AA48" s="55">
        <f>([2]GDP!$G$72)/100</f>
        <v>0.97119941975206658</v>
      </c>
      <c r="AB48" s="55">
        <f>([2]GDP!$H$72)/100</f>
        <v>1</v>
      </c>
      <c r="AC48" s="55">
        <f>([2]GDP!$I$72)/100</f>
        <v>1.0293859103805958</v>
      </c>
      <c r="AD48" s="55">
        <f>([2]GDP!$J$72)/100</f>
        <v>1.0550218463848724</v>
      </c>
      <c r="AE48" s="55">
        <f>([2]GDP!$K$72)/100</f>
        <v>1.0834176027446527</v>
      </c>
      <c r="AF48" s="55">
        <f>([2]GDP!$L$72)/100</f>
        <v>1.1123830845750147</v>
      </c>
    </row>
    <row r="49" spans="1:32" s="27" customFormat="1" ht="12">
      <c r="A49" s="47" t="s">
        <v>69</v>
      </c>
      <c r="B49" s="11">
        <f>('1.1'!B49)/(([2]GDP!$D$72)/100)</f>
        <v>608450.18938798085</v>
      </c>
      <c r="C49" s="11">
        <f>('1.1'!C49)/(([2]GDP!$E$72)/100)</f>
        <v>626476.78896686097</v>
      </c>
      <c r="D49" s="11">
        <f>('1.1'!D49)/(([2]GDP!$F$72)/100)</f>
        <v>658823.22073831584</v>
      </c>
      <c r="E49" s="11">
        <f>('1.1'!E49)/(([2]GDP!$G$72)/100)</f>
        <v>689287.89122515894</v>
      </c>
      <c r="F49" s="11">
        <f>('1.1'!F49)/(([2]GDP!$H$72)/100)</f>
        <v>691666</v>
      </c>
      <c r="G49" s="11">
        <v>690100</v>
      </c>
      <c r="H49" s="11">
        <v>682600</v>
      </c>
      <c r="I49" s="11">
        <v>673900</v>
      </c>
      <c r="J49" s="12">
        <v>668500</v>
      </c>
      <c r="L49" s="20"/>
      <c r="M49" s="20"/>
      <c r="N49" s="20"/>
      <c r="O49" s="20"/>
      <c r="P49" s="20"/>
      <c r="Q49" s="20"/>
      <c r="X49" s="55">
        <f>([2]GDP!$D$72)/100</f>
        <v>0.90400990844175977</v>
      </c>
      <c r="Y49" s="55">
        <f>([2]GDP!$E$72)/100</f>
        <v>0.92991314324786001</v>
      </c>
      <c r="Z49" s="55">
        <f>([2]GDP!$F$72)/100</f>
        <v>0.95564178702510594</v>
      </c>
      <c r="AA49" s="55">
        <f>([2]GDP!$G$72)/100</f>
        <v>0.97119941975206658</v>
      </c>
      <c r="AB49" s="55">
        <f>([2]GDP!$H$72)/100</f>
        <v>1</v>
      </c>
      <c r="AC49" s="55">
        <f>([2]GDP!$I$72)/100</f>
        <v>1.0293859103805958</v>
      </c>
      <c r="AD49" s="55">
        <f>([2]GDP!$J$72)/100</f>
        <v>1.0550218463848724</v>
      </c>
      <c r="AE49" s="55">
        <f>([2]GDP!$K$72)/100</f>
        <v>1.0834176027446527</v>
      </c>
      <c r="AF49" s="55">
        <f>([2]GDP!$L$72)/100</f>
        <v>1.1123830845750147</v>
      </c>
    </row>
    <row r="50" spans="1:32">
      <c r="A50" s="46" t="s">
        <v>51</v>
      </c>
      <c r="B50" s="23"/>
      <c r="C50" s="23"/>
      <c r="D50" s="23"/>
      <c r="E50" s="24"/>
      <c r="F50" s="24"/>
      <c r="G50" s="24"/>
      <c r="H50" s="24"/>
      <c r="I50" s="24"/>
      <c r="J50" s="25"/>
      <c r="X50" s="55">
        <f>([2]GDP!$D$72)/100</f>
        <v>0.90400990844175977</v>
      </c>
      <c r="Y50" s="55">
        <f>([2]GDP!$E$72)/100</f>
        <v>0.92991314324786001</v>
      </c>
      <c r="Z50" s="55">
        <f>([2]GDP!$F$72)/100</f>
        <v>0.95564178702510594</v>
      </c>
      <c r="AA50" s="55">
        <f>([2]GDP!$G$72)/100</f>
        <v>0.97119941975206658</v>
      </c>
      <c r="AB50" s="55">
        <f>([2]GDP!$H$72)/100</f>
        <v>1</v>
      </c>
      <c r="AC50" s="55">
        <f>([2]GDP!$I$72)/100</f>
        <v>1.0293859103805958</v>
      </c>
      <c r="AD50" s="55">
        <f>([2]GDP!$J$72)/100</f>
        <v>1.0550218463848724</v>
      </c>
      <c r="AE50" s="55">
        <f>([2]GDP!$K$72)/100</f>
        <v>1.0834176027446527</v>
      </c>
      <c r="AF50" s="55">
        <f>([2]GDP!$L$72)/100</f>
        <v>1.1123830845750147</v>
      </c>
    </row>
    <row r="51" spans="1:32" ht="12">
      <c r="A51" s="22" t="s">
        <v>70</v>
      </c>
      <c r="B51" s="23">
        <f>('1.1'!B51)/(([2]GDP!$D$72)/100)</f>
        <v>345001.74952462147</v>
      </c>
      <c r="C51" s="23">
        <f>('1.1'!C51)/(([2]GDP!$E$72)/100)</f>
        <v>358096.88508859166</v>
      </c>
      <c r="D51" s="23">
        <f>('1.1'!D51)/(([2]GDP!$F$72)/100)</f>
        <v>365475.8558510213</v>
      </c>
      <c r="E51" s="24">
        <f>('1.1'!E51)/(([2]GDP!$G$72)/100)</f>
        <v>387459.04532774951</v>
      </c>
      <c r="F51" s="24">
        <f>('1.1'!F51)/(([2]GDP!$H$72)/100)</f>
        <v>375170</v>
      </c>
      <c r="G51" s="24">
        <v>360100</v>
      </c>
      <c r="H51" s="24">
        <v>350400</v>
      </c>
      <c r="I51" s="24">
        <v>341700</v>
      </c>
      <c r="J51" s="25">
        <v>331900</v>
      </c>
      <c r="X51" s="55">
        <f>([2]GDP!$D$72)/100</f>
        <v>0.90400990844175977</v>
      </c>
      <c r="Y51" s="55">
        <f>([2]GDP!$E$72)/100</f>
        <v>0.92991314324786001</v>
      </c>
      <c r="Z51" s="55">
        <f>([2]GDP!$F$72)/100</f>
        <v>0.95564178702510594</v>
      </c>
      <c r="AA51" s="55">
        <f>([2]GDP!$G$72)/100</f>
        <v>0.97119941975206658</v>
      </c>
      <c r="AB51" s="55">
        <f>([2]GDP!$H$72)/100</f>
        <v>1</v>
      </c>
      <c r="AC51" s="55">
        <f>([2]GDP!$I$72)/100</f>
        <v>1.0293859103805958</v>
      </c>
      <c r="AD51" s="55">
        <f>([2]GDP!$J$72)/100</f>
        <v>1.0550218463848724</v>
      </c>
      <c r="AE51" s="55">
        <f>([2]GDP!$K$72)/100</f>
        <v>1.0834176027446527</v>
      </c>
      <c r="AF51" s="55">
        <f>([2]GDP!$L$72)/100</f>
        <v>1.1123830845750147</v>
      </c>
    </row>
    <row r="52" spans="1:32">
      <c r="A52" s="22" t="s">
        <v>53</v>
      </c>
      <c r="B52" s="23">
        <f>('1.1'!B52)/(([2]GDP!$D$72)/100)</f>
        <v>228592.62721600279</v>
      </c>
      <c r="C52" s="23">
        <f>('1.1'!C52)/(([2]GDP!$E$72)/100)</f>
        <v>240335.34919124213</v>
      </c>
      <c r="D52" s="23">
        <f>('1.1'!D52)/(([2]GDP!$F$72)/100)</f>
        <v>377203.05337645306</v>
      </c>
      <c r="E52" s="24">
        <f>('1.1'!E52)/(([2]GDP!$G$72)/100)</f>
        <v>272245.83810758335</v>
      </c>
      <c r="F52" s="24">
        <f>('1.1'!F52)/(([2]GDP!$H$72)/100)</f>
        <v>175070</v>
      </c>
      <c r="G52" s="24">
        <f>('1.1'!G52)/(([2]GDP!$I$72)/100)</f>
        <v>267441.00266362989</v>
      </c>
      <c r="H52" s="24">
        <f>('1.1'!H52)/(([2]GDP!$J$72)/100)</f>
        <v>271399.11934633623</v>
      </c>
      <c r="I52" s="24">
        <f>('1.1'!I52)/(([2]GDP!$K$72)/100)</f>
        <v>257200.9161509586</v>
      </c>
      <c r="J52" s="25">
        <f>('1.1'!J52)/(([2]GDP!$L$72)/100)</f>
        <v>257956.09801962026</v>
      </c>
      <c r="X52" s="55">
        <f>([2]GDP!$D$72)/100</f>
        <v>0.90400990844175977</v>
      </c>
      <c r="Y52" s="55">
        <f>([2]GDP!$E$72)/100</f>
        <v>0.92991314324786001</v>
      </c>
      <c r="Z52" s="55">
        <f>([2]GDP!$F$72)/100</f>
        <v>0.95564178702510594</v>
      </c>
      <c r="AA52" s="55">
        <f>([2]GDP!$G$72)/100</f>
        <v>0.97119941975206658</v>
      </c>
      <c r="AB52" s="55">
        <f>([2]GDP!$H$72)/100</f>
        <v>1</v>
      </c>
      <c r="AC52" s="55">
        <f>([2]GDP!$I$72)/100</f>
        <v>1.0293859103805958</v>
      </c>
      <c r="AD52" s="55">
        <f>([2]GDP!$J$72)/100</f>
        <v>1.0550218463848724</v>
      </c>
      <c r="AE52" s="55">
        <f>([2]GDP!$K$72)/100</f>
        <v>1.0834176027446527</v>
      </c>
      <c r="AF52" s="55">
        <f>([2]GDP!$L$72)/100</f>
        <v>1.1123830845750147</v>
      </c>
    </row>
    <row r="53" spans="1:32" ht="12" thickBot="1">
      <c r="A53" s="48" t="s">
        <v>54</v>
      </c>
      <c r="B53" s="49">
        <f>('1.1'!B53)/(([2]GDP!$D$72)/100)</f>
        <v>34855.81264735663</v>
      </c>
      <c r="C53" s="49">
        <f>('1.1'!C53)/(([2]GDP!$E$72)/100)</f>
        <v>28044.554687027234</v>
      </c>
      <c r="D53" s="49">
        <f>('1.1'!D53)/(([2]GDP!$F$72)/100)</f>
        <v>-83855.688489158463</v>
      </c>
      <c r="E53" s="50">
        <f>('1.1'!E53)/(([2]GDP!$G$72)/100)</f>
        <v>29581.978135174711</v>
      </c>
      <c r="F53" s="50">
        <f>('1.1'!F53)/(([2]GDP!$H$72)/100)</f>
        <v>141426</v>
      </c>
      <c r="G53" s="50">
        <f>('1.1'!G53)/(([2]GDP!$I$72)/100)</f>
        <v>62498.426830238393</v>
      </c>
      <c r="H53" s="50">
        <f>('1.1'!H53)/(([2]GDP!$J$72)/100)</f>
        <v>60826.228594123029</v>
      </c>
      <c r="I53" s="50">
        <f>('1.1'!I53)/(([2]GDP!$K$72)/100)</f>
        <v>74947.093156227347</v>
      </c>
      <c r="J53" s="51">
        <f>('1.1'!J53)/(([2]GDP!$L$72)/100)</f>
        <v>78665.345790862702</v>
      </c>
      <c r="X53" s="55">
        <f>([2]GDP!$D$72)/100</f>
        <v>0.90400990844175977</v>
      </c>
      <c r="Y53" s="55">
        <f>([2]GDP!$E$72)/100</f>
        <v>0.92991314324786001</v>
      </c>
      <c r="Z53" s="55">
        <f>([2]GDP!$F$72)/100</f>
        <v>0.95564178702510594</v>
      </c>
      <c r="AA53" s="55">
        <f>([2]GDP!$G$72)/100</f>
        <v>0.97119941975206658</v>
      </c>
      <c r="AB53" s="55">
        <f>([2]GDP!$H$72)/100</f>
        <v>1</v>
      </c>
      <c r="AC53" s="55">
        <f>([2]GDP!$I$72)/100</f>
        <v>1.0293859103805958</v>
      </c>
      <c r="AD53" s="55">
        <f>([2]GDP!$J$72)/100</f>
        <v>1.0550218463848724</v>
      </c>
      <c r="AE53" s="55">
        <f>([2]GDP!$K$72)/100</f>
        <v>1.0834176027446527</v>
      </c>
      <c r="AF53" s="55">
        <f>([2]GDP!$L$72)/100</f>
        <v>1.1123830845750147</v>
      </c>
    </row>
    <row r="54" spans="1:32" ht="24.75" customHeight="1">
      <c r="A54" s="259" t="s">
        <v>297</v>
      </c>
      <c r="B54" s="259"/>
      <c r="C54" s="259"/>
      <c r="D54" s="259"/>
      <c r="E54" s="259"/>
      <c r="F54" s="259"/>
      <c r="G54" s="259"/>
      <c r="H54" s="259"/>
      <c r="I54" s="259"/>
      <c r="J54" s="259"/>
    </row>
    <row r="55" spans="1:32">
      <c r="A55" s="56" t="s">
        <v>71</v>
      </c>
      <c r="B55" s="56"/>
      <c r="C55" s="56"/>
      <c r="D55" s="56"/>
      <c r="E55" s="56"/>
    </row>
    <row r="56" spans="1:32" ht="11.25" customHeight="1">
      <c r="A56" s="256" t="s">
        <v>72</v>
      </c>
      <c r="B56" s="256"/>
      <c r="C56" s="256"/>
      <c r="D56" s="256"/>
      <c r="E56" s="256"/>
      <c r="F56" s="256"/>
      <c r="G56" s="256"/>
      <c r="H56" s="256"/>
      <c r="I56" s="256"/>
      <c r="J56" s="256"/>
    </row>
    <row r="57" spans="1:32" ht="13.5" customHeight="1">
      <c r="A57" s="256"/>
      <c r="B57" s="256"/>
      <c r="C57" s="256"/>
      <c r="D57" s="256"/>
      <c r="E57" s="256"/>
      <c r="F57" s="256"/>
      <c r="G57" s="256"/>
      <c r="H57" s="256"/>
      <c r="I57" s="256"/>
      <c r="J57" s="256"/>
    </row>
    <row r="58" spans="1:32" ht="22.5" customHeight="1">
      <c r="A58" s="257" t="s">
        <v>298</v>
      </c>
      <c r="B58" s="257"/>
      <c r="C58" s="257"/>
      <c r="D58" s="257"/>
      <c r="E58" s="257"/>
      <c r="F58" s="257"/>
      <c r="G58" s="257"/>
      <c r="H58" s="257"/>
      <c r="I58" s="257"/>
      <c r="J58" s="257"/>
    </row>
    <row r="59" spans="1:32">
      <c r="A59" s="53" t="s">
        <v>73</v>
      </c>
      <c r="B59" s="53"/>
      <c r="C59" s="53"/>
      <c r="D59" s="53"/>
      <c r="E59" s="53"/>
    </row>
    <row r="60" spans="1:32">
      <c r="A60" s="53" t="s">
        <v>74</v>
      </c>
      <c r="B60" s="53"/>
      <c r="C60" s="53"/>
      <c r="D60" s="53"/>
      <c r="E60" s="53"/>
    </row>
    <row r="61" spans="1:32" ht="11.25" customHeight="1">
      <c r="A61" s="258" t="s">
        <v>75</v>
      </c>
      <c r="B61" s="258"/>
      <c r="C61" s="258"/>
      <c r="D61" s="258"/>
      <c r="E61" s="258"/>
      <c r="F61" s="258"/>
      <c r="G61" s="258"/>
      <c r="H61" s="258"/>
      <c r="I61" s="258"/>
      <c r="J61" s="258"/>
    </row>
    <row r="62" spans="1:32">
      <c r="A62" s="20"/>
      <c r="B62" s="20"/>
      <c r="C62" s="20"/>
      <c r="D62" s="20"/>
      <c r="E62" s="20"/>
    </row>
    <row r="63" spans="1:32">
      <c r="A63" s="20"/>
      <c r="B63" s="20"/>
      <c r="C63" s="20"/>
      <c r="D63" s="20"/>
      <c r="E63" s="20"/>
    </row>
    <row r="64" spans="1:32">
      <c r="A64" s="20"/>
      <c r="B64" s="20"/>
      <c r="C64" s="20"/>
      <c r="D64" s="20"/>
      <c r="E64" s="20"/>
    </row>
    <row r="65" spans="1:5">
      <c r="A65" s="20"/>
      <c r="B65" s="20"/>
      <c r="C65" s="20"/>
      <c r="D65" s="20"/>
      <c r="E65" s="20"/>
    </row>
    <row r="66" spans="1:5">
      <c r="A66" s="20"/>
      <c r="B66" s="20"/>
      <c r="C66" s="20"/>
      <c r="D66" s="20"/>
      <c r="E66" s="20"/>
    </row>
    <row r="67" spans="1:5">
      <c r="A67" s="20"/>
      <c r="B67" s="20"/>
      <c r="C67" s="20"/>
      <c r="D67" s="20"/>
      <c r="E67" s="20"/>
    </row>
    <row r="68" spans="1:5">
      <c r="A68" s="20"/>
      <c r="B68" s="20"/>
      <c r="C68" s="20"/>
      <c r="D68" s="20"/>
      <c r="E68" s="20"/>
    </row>
    <row r="69" spans="1:5">
      <c r="A69" s="20"/>
      <c r="B69" s="20"/>
      <c r="C69" s="20"/>
      <c r="D69" s="20"/>
      <c r="E69" s="20"/>
    </row>
    <row r="70" spans="1:5">
      <c r="A70" s="20"/>
      <c r="B70" s="20"/>
      <c r="C70" s="20"/>
      <c r="D70" s="20"/>
      <c r="E70" s="20"/>
    </row>
    <row r="71" spans="1:5">
      <c r="A71" s="20"/>
      <c r="B71" s="20"/>
      <c r="C71" s="20"/>
      <c r="D71" s="20"/>
      <c r="E71" s="20"/>
    </row>
    <row r="72" spans="1:5">
      <c r="A72" s="20"/>
      <c r="B72" s="20"/>
      <c r="C72" s="20"/>
      <c r="D72" s="20"/>
      <c r="E72" s="20"/>
    </row>
    <row r="73" spans="1:5">
      <c r="A73" s="20"/>
      <c r="B73" s="20"/>
      <c r="C73" s="20"/>
      <c r="D73" s="20"/>
      <c r="E73" s="20"/>
    </row>
    <row r="74" spans="1:5">
      <c r="A74" s="20"/>
      <c r="B74" s="20"/>
      <c r="C74" s="20"/>
      <c r="D74" s="20"/>
      <c r="E74" s="20"/>
    </row>
    <row r="75" spans="1:5">
      <c r="A75" s="20"/>
      <c r="B75" s="20"/>
      <c r="C75" s="20"/>
      <c r="D75" s="20"/>
      <c r="E75" s="20"/>
    </row>
    <row r="76" spans="1:5">
      <c r="A76" s="20"/>
      <c r="B76" s="20"/>
      <c r="C76" s="20"/>
      <c r="D76" s="20"/>
      <c r="E76" s="20"/>
    </row>
    <row r="77" spans="1:5">
      <c r="A77" s="20"/>
      <c r="B77" s="20"/>
      <c r="C77" s="20"/>
      <c r="D77" s="20"/>
      <c r="E77" s="20"/>
    </row>
    <row r="78" spans="1:5">
      <c r="A78" s="20"/>
      <c r="B78" s="20"/>
      <c r="C78" s="20"/>
      <c r="D78" s="20"/>
      <c r="E78" s="20"/>
    </row>
    <row r="79" spans="1:5">
      <c r="A79" s="20"/>
      <c r="B79" s="20"/>
      <c r="C79" s="20"/>
      <c r="D79" s="20"/>
      <c r="E79" s="20"/>
    </row>
    <row r="80" spans="1:5">
      <c r="A80" s="20"/>
      <c r="B80" s="20"/>
      <c r="C80" s="20"/>
      <c r="D80" s="20"/>
      <c r="E80" s="20"/>
    </row>
    <row r="81" spans="1:5">
      <c r="A81" s="20"/>
      <c r="B81" s="20"/>
      <c r="C81" s="20"/>
      <c r="D81" s="20"/>
      <c r="E81" s="20"/>
    </row>
  </sheetData>
  <mergeCells count="5">
    <mergeCell ref="A61:J61"/>
    <mergeCell ref="B3:F3"/>
    <mergeCell ref="A54:J54"/>
    <mergeCell ref="A56:J57"/>
    <mergeCell ref="A58:J58"/>
  </mergeCells>
  <pageMargins left="0.98425196850393704" right="0.98425196850393704" top="0.98425196850393704" bottom="0.98425196850393704" header="0.51181102362204722" footer="0.51181102362204722"/>
  <pageSetup paperSize="9" fitToHeight="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autoPageBreaks="0"/>
  </sheetPr>
  <dimension ref="A1:HF61"/>
  <sheetViews>
    <sheetView showGridLines="0" topLeftCell="A34" zoomScaleNormal="100" zoomScaleSheetLayoutView="100" workbookViewId="0">
      <selection activeCell="A61" sqref="A61:J61"/>
    </sheetView>
  </sheetViews>
  <sheetFormatPr defaultColWidth="10.1640625" defaultRowHeight="11.25"/>
  <cols>
    <col min="1" max="1" width="40.6640625" style="86" customWidth="1"/>
    <col min="2" max="6" width="13.1640625" style="86" customWidth="1"/>
    <col min="7" max="9" width="10.1640625" style="84"/>
    <col min="10" max="10" width="10.1640625" style="84" customWidth="1"/>
    <col min="11" max="16384" width="10.1640625" style="84"/>
  </cols>
  <sheetData>
    <row r="1" spans="1:214" s="58" customFormat="1" ht="15">
      <c r="A1" s="57" t="s">
        <v>76</v>
      </c>
      <c r="B1" s="57"/>
      <c r="C1" s="57"/>
      <c r="D1" s="57"/>
      <c r="E1" s="57"/>
      <c r="F1" s="57"/>
      <c r="G1" s="57"/>
      <c r="H1" s="57"/>
      <c r="I1" s="57"/>
      <c r="J1" s="57"/>
    </row>
    <row r="2" spans="1:214" s="2" customFormat="1" ht="12" thickBot="1">
      <c r="A2" s="3"/>
      <c r="B2" s="3"/>
      <c r="C2" s="3"/>
      <c r="D2" s="3"/>
      <c r="E2" s="3"/>
      <c r="F2" s="3"/>
      <c r="G2" s="3"/>
      <c r="H2" s="3"/>
      <c r="I2" s="3"/>
      <c r="J2" s="4" t="s">
        <v>1</v>
      </c>
    </row>
    <row r="3" spans="1:214"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row>
    <row r="4" spans="1:214"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row>
    <row r="5" spans="1:214"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row>
    <row r="6" spans="1:214" s="62" customFormat="1">
      <c r="A6" s="59" t="s">
        <v>77</v>
      </c>
      <c r="B6" s="60"/>
      <c r="C6" s="60"/>
      <c r="D6" s="60"/>
      <c r="E6" s="60"/>
      <c r="F6" s="60"/>
      <c r="G6" s="60"/>
      <c r="H6" s="60"/>
      <c r="I6" s="60"/>
      <c r="J6" s="61"/>
    </row>
    <row r="7" spans="1:214" s="66" customFormat="1">
      <c r="A7" s="63" t="s">
        <v>103</v>
      </c>
      <c r="B7" s="64">
        <v>42111</v>
      </c>
      <c r="C7" s="64">
        <v>44923</v>
      </c>
      <c r="D7" s="64">
        <v>46840</v>
      </c>
      <c r="E7" s="64">
        <v>49604</v>
      </c>
      <c r="F7" s="64">
        <v>51461</v>
      </c>
      <c r="G7" s="64">
        <v>51495</v>
      </c>
      <c r="H7" s="64">
        <v>52570</v>
      </c>
      <c r="I7" s="64">
        <v>53105</v>
      </c>
      <c r="J7" s="65">
        <v>54041</v>
      </c>
    </row>
    <row r="8" spans="1:214" s="66" customFormat="1" ht="12">
      <c r="A8" s="63" t="s">
        <v>299</v>
      </c>
      <c r="B8" s="64">
        <v>76877</v>
      </c>
      <c r="C8" s="64">
        <v>82558</v>
      </c>
      <c r="D8" s="64">
        <v>88986</v>
      </c>
      <c r="E8" s="64">
        <v>95798</v>
      </c>
      <c r="F8" s="64">
        <v>99018</v>
      </c>
      <c r="G8" s="64">
        <v>102767</v>
      </c>
      <c r="H8" s="64">
        <v>105275</v>
      </c>
      <c r="I8" s="64">
        <v>108257</v>
      </c>
      <c r="J8" s="65">
        <v>111153</v>
      </c>
    </row>
    <row r="9" spans="1:214" s="66" customFormat="1" ht="12">
      <c r="A9" s="63" t="s">
        <v>300</v>
      </c>
      <c r="B9" s="64">
        <v>1744</v>
      </c>
      <c r="C9" s="64">
        <v>1782</v>
      </c>
      <c r="D9" s="64">
        <v>1295</v>
      </c>
      <c r="E9" s="64">
        <v>1395</v>
      </c>
      <c r="F9" s="64">
        <v>1522</v>
      </c>
      <c r="G9" s="64">
        <v>0</v>
      </c>
      <c r="H9" s="64">
        <v>0</v>
      </c>
      <c r="I9" s="64">
        <v>0</v>
      </c>
      <c r="J9" s="65">
        <v>0</v>
      </c>
    </row>
    <row r="10" spans="1:214" s="66" customFormat="1">
      <c r="A10" s="63" t="s">
        <v>80</v>
      </c>
      <c r="B10" s="64">
        <v>6316</v>
      </c>
      <c r="C10" s="64">
        <v>6493</v>
      </c>
      <c r="D10" s="64">
        <v>5803</v>
      </c>
      <c r="E10" s="64">
        <v>6606</v>
      </c>
      <c r="F10" s="64">
        <v>5802</v>
      </c>
      <c r="G10" s="64">
        <v>6233</v>
      </c>
      <c r="H10" s="64">
        <v>6012</v>
      </c>
      <c r="I10" s="64">
        <v>5905</v>
      </c>
      <c r="J10" s="65">
        <v>5367</v>
      </c>
    </row>
    <row r="11" spans="1:214" s="66" customFormat="1">
      <c r="A11" s="67" t="s">
        <v>81</v>
      </c>
      <c r="B11" s="64">
        <v>3354</v>
      </c>
      <c r="C11" s="64">
        <v>3957</v>
      </c>
      <c r="D11" s="64">
        <v>4105</v>
      </c>
      <c r="E11" s="64">
        <v>4310</v>
      </c>
      <c r="F11" s="64">
        <v>3714</v>
      </c>
      <c r="G11" s="64">
        <v>2054</v>
      </c>
      <c r="H11" s="64">
        <v>1823</v>
      </c>
      <c r="I11" s="64">
        <v>1668</v>
      </c>
      <c r="J11" s="65">
        <v>1279</v>
      </c>
    </row>
    <row r="12" spans="1:214" s="66" customFormat="1">
      <c r="A12" s="63" t="s">
        <v>105</v>
      </c>
      <c r="B12" s="64">
        <v>22540</v>
      </c>
      <c r="C12" s="64">
        <v>22750</v>
      </c>
      <c r="D12" s="64">
        <v>24651</v>
      </c>
      <c r="E12" s="64">
        <v>25517</v>
      </c>
      <c r="F12" s="64">
        <v>25957</v>
      </c>
      <c r="G12" s="64">
        <v>26001</v>
      </c>
      <c r="H12" s="64">
        <v>23974</v>
      </c>
      <c r="I12" s="64">
        <v>24199</v>
      </c>
      <c r="J12" s="65">
        <v>22850</v>
      </c>
    </row>
    <row r="13" spans="1:214" s="66" customFormat="1">
      <c r="A13" s="63" t="s">
        <v>82</v>
      </c>
      <c r="B13" s="64">
        <v>15488</v>
      </c>
      <c r="C13" s="64">
        <v>17049</v>
      </c>
      <c r="D13" s="64">
        <v>17856</v>
      </c>
      <c r="E13" s="64">
        <v>19189</v>
      </c>
      <c r="F13" s="64">
        <v>21478</v>
      </c>
      <c r="G13" s="64">
        <v>18645</v>
      </c>
      <c r="H13" s="64">
        <v>18089</v>
      </c>
      <c r="I13" s="64">
        <v>17704</v>
      </c>
      <c r="J13" s="65">
        <v>17280</v>
      </c>
    </row>
    <row r="14" spans="1:214" s="66" customFormat="1">
      <c r="A14" s="63" t="s">
        <v>83</v>
      </c>
      <c r="B14" s="64">
        <v>8611</v>
      </c>
      <c r="C14" s="64">
        <v>8847</v>
      </c>
      <c r="D14" s="64">
        <v>9198</v>
      </c>
      <c r="E14" s="64">
        <v>9545</v>
      </c>
      <c r="F14" s="64">
        <v>9352</v>
      </c>
      <c r="G14" s="64">
        <v>9244</v>
      </c>
      <c r="H14" s="64">
        <v>8833</v>
      </c>
      <c r="I14" s="64">
        <v>8369</v>
      </c>
      <c r="J14" s="65">
        <v>8113</v>
      </c>
    </row>
    <row r="15" spans="1:214" s="66" customFormat="1">
      <c r="A15" s="63" t="s">
        <v>84</v>
      </c>
      <c r="B15" s="64">
        <v>8225</v>
      </c>
      <c r="C15" s="64">
        <v>8906</v>
      </c>
      <c r="D15" s="64">
        <v>9094</v>
      </c>
      <c r="E15" s="64">
        <v>9000</v>
      </c>
      <c r="F15" s="64">
        <v>9018</v>
      </c>
      <c r="G15" s="64">
        <v>8814</v>
      </c>
      <c r="H15" s="64">
        <v>8354</v>
      </c>
      <c r="I15" s="64">
        <v>8010</v>
      </c>
      <c r="J15" s="65">
        <v>7721</v>
      </c>
    </row>
    <row r="16" spans="1:214" s="66" customFormat="1">
      <c r="A16" s="63" t="s">
        <v>85</v>
      </c>
      <c r="B16" s="64">
        <v>696</v>
      </c>
      <c r="C16" s="64">
        <v>714</v>
      </c>
      <c r="D16" s="64">
        <v>722</v>
      </c>
      <c r="E16" s="64">
        <v>709</v>
      </c>
      <c r="F16" s="64">
        <v>667</v>
      </c>
      <c r="G16" s="64">
        <v>659</v>
      </c>
      <c r="H16" s="64">
        <v>628</v>
      </c>
      <c r="I16" s="64">
        <v>600</v>
      </c>
      <c r="J16" s="65">
        <v>560</v>
      </c>
    </row>
    <row r="17" spans="1:10" s="66" customFormat="1">
      <c r="A17" s="63" t="s">
        <v>86</v>
      </c>
      <c r="B17" s="64">
        <v>30118</v>
      </c>
      <c r="C17" s="64">
        <v>31795</v>
      </c>
      <c r="D17" s="64">
        <v>32708</v>
      </c>
      <c r="E17" s="64">
        <v>34926</v>
      </c>
      <c r="F17" s="64">
        <v>39135</v>
      </c>
      <c r="G17" s="64">
        <v>35719</v>
      </c>
      <c r="H17" s="64">
        <v>33944</v>
      </c>
      <c r="I17" s="64">
        <v>33941</v>
      </c>
      <c r="J17" s="65">
        <v>34198</v>
      </c>
    </row>
    <row r="18" spans="1:10" s="66" customFormat="1">
      <c r="A18" s="63" t="s">
        <v>87</v>
      </c>
      <c r="B18" s="64">
        <v>1771</v>
      </c>
      <c r="C18" s="64">
        <v>1808</v>
      </c>
      <c r="D18" s="64">
        <v>2027</v>
      </c>
      <c r="E18" s="64">
        <v>2127</v>
      </c>
      <c r="F18" s="64">
        <v>2200</v>
      </c>
      <c r="G18" s="64">
        <v>2141</v>
      </c>
      <c r="H18" s="64">
        <v>1573</v>
      </c>
      <c r="I18" s="64">
        <v>1547</v>
      </c>
      <c r="J18" s="65">
        <v>1291</v>
      </c>
    </row>
    <row r="19" spans="1:10" s="66" customFormat="1">
      <c r="A19" s="63" t="s">
        <v>88</v>
      </c>
      <c r="B19" s="64">
        <v>4114</v>
      </c>
      <c r="C19" s="64">
        <v>4461</v>
      </c>
      <c r="D19" s="64">
        <v>4758</v>
      </c>
      <c r="E19" s="64">
        <v>5250</v>
      </c>
      <c r="F19" s="64">
        <v>5936</v>
      </c>
      <c r="G19" s="64">
        <v>6486</v>
      </c>
      <c r="H19" s="64">
        <v>7216</v>
      </c>
      <c r="I19" s="64">
        <v>9415</v>
      </c>
      <c r="J19" s="65">
        <v>9433</v>
      </c>
    </row>
    <row r="20" spans="1:10" s="66" customFormat="1">
      <c r="A20" s="67" t="s">
        <v>89</v>
      </c>
      <c r="B20" s="64">
        <v>918</v>
      </c>
      <c r="C20" s="64">
        <v>679</v>
      </c>
      <c r="D20" s="64">
        <v>293</v>
      </c>
      <c r="E20" s="64">
        <v>1228</v>
      </c>
      <c r="F20" s="64">
        <v>1159</v>
      </c>
      <c r="G20" s="64">
        <v>1511</v>
      </c>
      <c r="H20" s="64">
        <v>1406</v>
      </c>
      <c r="I20" s="64">
        <v>1350</v>
      </c>
      <c r="J20" s="65">
        <v>1044</v>
      </c>
    </row>
    <row r="21" spans="1:10" s="66" customFormat="1">
      <c r="A21" s="63" t="s">
        <v>90</v>
      </c>
      <c r="B21" s="64">
        <v>2415</v>
      </c>
      <c r="C21" s="64">
        <v>2567</v>
      </c>
      <c r="D21" s="64">
        <v>2412</v>
      </c>
      <c r="E21" s="64">
        <v>2461</v>
      </c>
      <c r="F21" s="64">
        <v>2370</v>
      </c>
      <c r="G21" s="64">
        <v>2343</v>
      </c>
      <c r="H21" s="64">
        <v>2252</v>
      </c>
      <c r="I21" s="64">
        <v>2103</v>
      </c>
      <c r="J21" s="65">
        <v>1983</v>
      </c>
    </row>
    <row r="22" spans="1:10" s="66" customFormat="1">
      <c r="A22" s="63" t="s">
        <v>91</v>
      </c>
      <c r="B22" s="64">
        <v>1458</v>
      </c>
      <c r="C22" s="64">
        <v>1503</v>
      </c>
      <c r="D22" s="64">
        <v>1462</v>
      </c>
      <c r="E22" s="64">
        <v>1504</v>
      </c>
      <c r="F22" s="64">
        <v>1527</v>
      </c>
      <c r="G22" s="64">
        <v>1596</v>
      </c>
      <c r="H22" s="64">
        <v>2637</v>
      </c>
      <c r="I22" s="64">
        <v>1521</v>
      </c>
      <c r="J22" s="65">
        <v>1306</v>
      </c>
    </row>
    <row r="23" spans="1:10" s="66" customFormat="1">
      <c r="A23" s="63" t="s">
        <v>92</v>
      </c>
      <c r="B23" s="64">
        <v>7797</v>
      </c>
      <c r="C23" s="64">
        <v>8021</v>
      </c>
      <c r="D23" s="64">
        <v>7909</v>
      </c>
      <c r="E23" s="64">
        <v>8769</v>
      </c>
      <c r="F23" s="64">
        <v>8847</v>
      </c>
      <c r="G23" s="64">
        <v>7800</v>
      </c>
      <c r="H23" s="64">
        <v>7618</v>
      </c>
      <c r="I23" s="64">
        <v>7566</v>
      </c>
      <c r="J23" s="65">
        <v>7742</v>
      </c>
    </row>
    <row r="24" spans="1:10" s="66" customFormat="1">
      <c r="A24" s="63" t="s">
        <v>93</v>
      </c>
      <c r="B24" s="64">
        <v>21974</v>
      </c>
      <c r="C24" s="64">
        <v>23395</v>
      </c>
      <c r="D24" s="64">
        <v>24123</v>
      </c>
      <c r="E24" s="64">
        <v>25114</v>
      </c>
      <c r="F24" s="64">
        <v>25780</v>
      </c>
      <c r="G24" s="64">
        <v>25456</v>
      </c>
      <c r="H24" s="64">
        <v>25839</v>
      </c>
      <c r="I24" s="64">
        <v>26045</v>
      </c>
      <c r="J24" s="65">
        <v>26198</v>
      </c>
    </row>
    <row r="25" spans="1:10" s="66" customFormat="1">
      <c r="A25" s="63" t="s">
        <v>94</v>
      </c>
      <c r="B25" s="64">
        <v>11568</v>
      </c>
      <c r="C25" s="64">
        <v>12258</v>
      </c>
      <c r="D25" s="64">
        <v>12821</v>
      </c>
      <c r="E25" s="64">
        <v>13546</v>
      </c>
      <c r="F25" s="64">
        <v>13794</v>
      </c>
      <c r="G25" s="64">
        <v>13786</v>
      </c>
      <c r="H25" s="64">
        <v>13840</v>
      </c>
      <c r="I25" s="64">
        <v>13992</v>
      </c>
      <c r="J25" s="65">
        <v>14052</v>
      </c>
    </row>
    <row r="26" spans="1:10" s="66" customFormat="1">
      <c r="A26" s="63" t="s">
        <v>95</v>
      </c>
      <c r="B26" s="64">
        <v>8425</v>
      </c>
      <c r="C26" s="64">
        <v>8896</v>
      </c>
      <c r="D26" s="64">
        <v>9248</v>
      </c>
      <c r="E26" s="64">
        <v>9680</v>
      </c>
      <c r="F26" s="64">
        <v>10025</v>
      </c>
      <c r="G26" s="64">
        <v>9872</v>
      </c>
      <c r="H26" s="64">
        <v>9893</v>
      </c>
      <c r="I26" s="64">
        <v>9955</v>
      </c>
      <c r="J26" s="65">
        <v>10011</v>
      </c>
    </row>
    <row r="27" spans="1:10" s="66" customFormat="1">
      <c r="A27" s="63" t="s">
        <v>96</v>
      </c>
      <c r="B27" s="64">
        <v>4639</v>
      </c>
      <c r="C27" s="64">
        <v>4432</v>
      </c>
      <c r="D27" s="64">
        <v>4523</v>
      </c>
      <c r="E27" s="64">
        <v>4436</v>
      </c>
      <c r="F27" s="68">
        <v>4150</v>
      </c>
      <c r="G27" s="64">
        <v>4191</v>
      </c>
      <c r="H27" s="64">
        <v>4057</v>
      </c>
      <c r="I27" s="64">
        <v>4013</v>
      </c>
      <c r="J27" s="65">
        <v>3849</v>
      </c>
    </row>
    <row r="28" spans="1:10" s="66" customFormat="1">
      <c r="A28" s="63" t="s">
        <v>97</v>
      </c>
      <c r="B28" s="68">
        <v>1695</v>
      </c>
      <c r="C28" s="68">
        <v>1771</v>
      </c>
      <c r="D28" s="68">
        <v>2054</v>
      </c>
      <c r="E28" s="68">
        <v>2283</v>
      </c>
      <c r="F28" s="68">
        <v>2359</v>
      </c>
      <c r="G28" s="68">
        <v>2497</v>
      </c>
      <c r="H28" s="68">
        <v>2472</v>
      </c>
      <c r="I28" s="68">
        <v>2427</v>
      </c>
      <c r="J28" s="69">
        <v>2665</v>
      </c>
    </row>
    <row r="29" spans="1:10" s="66" customFormat="1">
      <c r="A29" s="63" t="s">
        <v>98</v>
      </c>
      <c r="B29" s="68">
        <v>674</v>
      </c>
      <c r="C29" s="68">
        <v>712</v>
      </c>
      <c r="D29" s="68">
        <v>791</v>
      </c>
      <c r="E29" s="68">
        <v>803</v>
      </c>
      <c r="F29" s="68">
        <v>743</v>
      </c>
      <c r="G29" s="68">
        <v>917</v>
      </c>
      <c r="H29" s="68">
        <v>804</v>
      </c>
      <c r="I29" s="68">
        <v>787</v>
      </c>
      <c r="J29" s="69">
        <v>770</v>
      </c>
    </row>
    <row r="30" spans="1:10" s="66" customFormat="1">
      <c r="A30" s="63" t="s">
        <v>99</v>
      </c>
      <c r="B30" s="68">
        <v>0</v>
      </c>
      <c r="C30" s="68">
        <v>0</v>
      </c>
      <c r="D30" s="68">
        <v>0</v>
      </c>
      <c r="E30" s="68">
        <v>0</v>
      </c>
      <c r="F30" s="66">
        <v>0</v>
      </c>
      <c r="G30" s="68">
        <v>2000</v>
      </c>
      <c r="H30" s="68">
        <v>2500</v>
      </c>
      <c r="I30" s="68">
        <v>2600</v>
      </c>
      <c r="J30" s="69">
        <v>2500</v>
      </c>
    </row>
    <row r="31" spans="1:10" s="66" customFormat="1">
      <c r="A31" s="63" t="s">
        <v>100</v>
      </c>
      <c r="B31" s="68">
        <v>0</v>
      </c>
      <c r="C31" s="68">
        <v>0</v>
      </c>
      <c r="D31" s="68">
        <v>0</v>
      </c>
      <c r="E31" s="68">
        <v>0</v>
      </c>
      <c r="F31" s="68">
        <v>0</v>
      </c>
      <c r="G31" s="68">
        <v>100</v>
      </c>
      <c r="H31" s="68">
        <v>3100</v>
      </c>
      <c r="I31" s="68">
        <v>3000</v>
      </c>
      <c r="J31" s="69">
        <v>2800</v>
      </c>
    </row>
    <row r="32" spans="1:10" s="66" customFormat="1">
      <c r="A32" s="63" t="s">
        <v>101</v>
      </c>
      <c r="B32" s="68">
        <v>0</v>
      </c>
      <c r="C32" s="68">
        <v>0</v>
      </c>
      <c r="D32" s="68">
        <v>0</v>
      </c>
      <c r="E32" s="68">
        <v>0</v>
      </c>
      <c r="F32" s="68">
        <v>0</v>
      </c>
      <c r="G32" s="68">
        <v>0</v>
      </c>
      <c r="H32" s="68">
        <v>0</v>
      </c>
      <c r="I32" s="68">
        <v>1000</v>
      </c>
      <c r="J32" s="69">
        <v>0</v>
      </c>
    </row>
    <row r="33" spans="1:10" s="73" customFormat="1">
      <c r="A33" s="70" t="s">
        <v>18</v>
      </c>
      <c r="B33" s="71">
        <v>283528</v>
      </c>
      <c r="C33" s="71">
        <v>300279</v>
      </c>
      <c r="D33" s="71">
        <v>313678</v>
      </c>
      <c r="E33" s="71">
        <v>333801</v>
      </c>
      <c r="F33" s="71">
        <v>346013</v>
      </c>
      <c r="G33" s="71">
        <v>342300</v>
      </c>
      <c r="H33" s="71">
        <v>344600</v>
      </c>
      <c r="I33" s="71">
        <v>349100</v>
      </c>
      <c r="J33" s="72">
        <v>348200</v>
      </c>
    </row>
    <row r="34" spans="1:10" s="73" customFormat="1">
      <c r="A34" s="59" t="s">
        <v>102</v>
      </c>
      <c r="B34" s="60"/>
      <c r="C34" s="60"/>
      <c r="D34" s="60"/>
      <c r="E34" s="60"/>
      <c r="F34" s="60"/>
      <c r="G34" s="60"/>
      <c r="H34" s="60"/>
      <c r="I34" s="60"/>
      <c r="J34" s="61"/>
    </row>
    <row r="35" spans="1:10" s="66" customFormat="1" ht="12">
      <c r="A35" s="63" t="s">
        <v>303</v>
      </c>
      <c r="B35" s="64">
        <v>8600</v>
      </c>
      <c r="C35" s="64">
        <v>10709</v>
      </c>
      <c r="D35" s="64">
        <v>10650</v>
      </c>
      <c r="E35" s="64">
        <v>10437</v>
      </c>
      <c r="F35" s="64">
        <v>-10425</v>
      </c>
      <c r="G35" s="64">
        <v>11892</v>
      </c>
      <c r="H35" s="64">
        <v>12536</v>
      </c>
      <c r="I35" s="64">
        <v>13132</v>
      </c>
      <c r="J35" s="65">
        <v>13734</v>
      </c>
    </row>
    <row r="36" spans="1:10" s="75" customFormat="1" ht="12">
      <c r="A36" s="74" t="s">
        <v>304</v>
      </c>
      <c r="B36" s="64">
        <v>11535</v>
      </c>
      <c r="C36" s="64">
        <v>13863</v>
      </c>
      <c r="D36" s="64">
        <v>14984</v>
      </c>
      <c r="E36" s="64">
        <v>16226</v>
      </c>
      <c r="F36" s="64">
        <v>-11402</v>
      </c>
      <c r="G36" s="64">
        <v>19695</v>
      </c>
      <c r="H36" s="64">
        <v>20398</v>
      </c>
      <c r="I36" s="64">
        <v>21787</v>
      </c>
      <c r="J36" s="65">
        <v>23213</v>
      </c>
    </row>
    <row r="37" spans="1:10" s="66" customFormat="1">
      <c r="A37" s="63" t="s">
        <v>80</v>
      </c>
      <c r="B37" s="64">
        <v>143</v>
      </c>
      <c r="C37" s="64">
        <v>675</v>
      </c>
      <c r="D37" s="64">
        <v>603</v>
      </c>
      <c r="E37" s="64">
        <v>1085</v>
      </c>
      <c r="F37" s="64">
        <v>987</v>
      </c>
      <c r="G37" s="64">
        <v>1353</v>
      </c>
      <c r="H37" s="64">
        <v>1382</v>
      </c>
      <c r="I37" s="64">
        <v>1517</v>
      </c>
      <c r="J37" s="65">
        <v>1490</v>
      </c>
    </row>
    <row r="38" spans="1:10" s="76" customFormat="1">
      <c r="A38" s="67" t="s">
        <v>81</v>
      </c>
      <c r="B38" s="64">
        <v>370</v>
      </c>
      <c r="C38" s="64">
        <v>323</v>
      </c>
      <c r="D38" s="64">
        <v>614</v>
      </c>
      <c r="E38" s="64">
        <v>249</v>
      </c>
      <c r="F38" s="64">
        <v>-145</v>
      </c>
      <c r="G38" s="64">
        <v>-239</v>
      </c>
      <c r="H38" s="64">
        <v>404</v>
      </c>
      <c r="I38" s="64">
        <v>443</v>
      </c>
      <c r="J38" s="65">
        <v>463</v>
      </c>
    </row>
    <row r="39" spans="1:10" s="66" customFormat="1">
      <c r="A39" s="63" t="s">
        <v>105</v>
      </c>
      <c r="B39" s="64">
        <v>1037</v>
      </c>
      <c r="C39" s="64">
        <v>842</v>
      </c>
      <c r="D39" s="64">
        <v>661</v>
      </c>
      <c r="E39" s="64">
        <v>284</v>
      </c>
      <c r="F39" s="64">
        <v>1111</v>
      </c>
      <c r="G39" s="64">
        <v>300</v>
      </c>
      <c r="H39" s="64">
        <v>300</v>
      </c>
      <c r="I39" s="64">
        <v>300</v>
      </c>
      <c r="J39" s="65">
        <v>300</v>
      </c>
    </row>
    <row r="40" spans="1:10" s="66" customFormat="1">
      <c r="A40" s="63" t="s">
        <v>82</v>
      </c>
      <c r="B40" s="64">
        <v>-932</v>
      </c>
      <c r="C40" s="64">
        <v>-779</v>
      </c>
      <c r="D40" s="64">
        <v>-435</v>
      </c>
      <c r="E40" s="64">
        <v>455</v>
      </c>
      <c r="F40" s="66">
        <v>-827</v>
      </c>
      <c r="G40" s="64">
        <v>-1044</v>
      </c>
      <c r="H40" s="64">
        <v>-1296</v>
      </c>
      <c r="I40" s="64">
        <v>-1367</v>
      </c>
      <c r="J40" s="65">
        <v>-2075</v>
      </c>
    </row>
    <row r="41" spans="1:10" s="66" customFormat="1">
      <c r="A41" s="63" t="s">
        <v>83</v>
      </c>
      <c r="B41" s="64">
        <v>313</v>
      </c>
      <c r="C41" s="64">
        <v>365</v>
      </c>
      <c r="D41" s="64">
        <v>714</v>
      </c>
      <c r="E41" s="64">
        <v>682</v>
      </c>
      <c r="F41" s="64">
        <v>920</v>
      </c>
      <c r="G41" s="64">
        <v>996</v>
      </c>
      <c r="H41" s="64">
        <v>1134</v>
      </c>
      <c r="I41" s="64">
        <v>1218</v>
      </c>
      <c r="J41" s="65">
        <v>1299</v>
      </c>
    </row>
    <row r="42" spans="1:10" s="66" customFormat="1">
      <c r="A42" s="63" t="s">
        <v>84</v>
      </c>
      <c r="B42" s="64">
        <v>-148</v>
      </c>
      <c r="C42" s="64">
        <v>-62</v>
      </c>
      <c r="D42" s="64">
        <v>450</v>
      </c>
      <c r="E42" s="64">
        <v>624</v>
      </c>
      <c r="F42" s="64">
        <v>323</v>
      </c>
      <c r="G42" s="64">
        <v>230</v>
      </c>
      <c r="H42" s="64">
        <v>226</v>
      </c>
      <c r="I42" s="64">
        <v>238</v>
      </c>
      <c r="J42" s="65">
        <v>238</v>
      </c>
    </row>
    <row r="43" spans="1:10" s="66" customFormat="1">
      <c r="A43" s="63" t="s">
        <v>85</v>
      </c>
      <c r="B43" s="64">
        <v>-1</v>
      </c>
      <c r="C43" s="64">
        <v>7</v>
      </c>
      <c r="D43" s="64">
        <v>11</v>
      </c>
      <c r="E43" s="64">
        <v>16</v>
      </c>
      <c r="F43" s="64">
        <v>-12</v>
      </c>
      <c r="G43" s="64">
        <v>10</v>
      </c>
      <c r="H43" s="64">
        <v>11</v>
      </c>
      <c r="I43" s="64">
        <v>8</v>
      </c>
      <c r="J43" s="65">
        <v>7</v>
      </c>
    </row>
    <row r="44" spans="1:10" s="66" customFormat="1" ht="12">
      <c r="A44" s="63" t="s">
        <v>305</v>
      </c>
      <c r="B44" s="64">
        <v>4927</v>
      </c>
      <c r="C44" s="64">
        <v>5870</v>
      </c>
      <c r="D44" s="64">
        <v>6106</v>
      </c>
      <c r="E44" s="64">
        <v>7898</v>
      </c>
      <c r="F44" s="64">
        <v>-727</v>
      </c>
      <c r="G44" s="64">
        <v>9478</v>
      </c>
      <c r="H44" s="64">
        <v>9948</v>
      </c>
      <c r="I44" s="64">
        <v>10332</v>
      </c>
      <c r="J44" s="65">
        <v>10726</v>
      </c>
    </row>
    <row r="45" spans="1:10" s="66" customFormat="1">
      <c r="A45" s="63" t="s">
        <v>87</v>
      </c>
      <c r="B45" s="64">
        <v>62</v>
      </c>
      <c r="C45" s="64">
        <v>24</v>
      </c>
      <c r="D45" s="64">
        <v>-10</v>
      </c>
      <c r="E45" s="64">
        <v>86</v>
      </c>
      <c r="F45" s="64">
        <v>34</v>
      </c>
      <c r="G45" s="64">
        <v>75</v>
      </c>
      <c r="H45" s="64">
        <v>75</v>
      </c>
      <c r="I45" s="64">
        <v>75</v>
      </c>
      <c r="J45" s="65">
        <v>75</v>
      </c>
    </row>
    <row r="46" spans="1:10" s="66" customFormat="1">
      <c r="A46" s="63" t="s">
        <v>88</v>
      </c>
      <c r="B46" s="64">
        <v>417</v>
      </c>
      <c r="C46" s="64">
        <v>-11</v>
      </c>
      <c r="D46" s="64">
        <v>213</v>
      </c>
      <c r="E46" s="64">
        <v>327</v>
      </c>
      <c r="F46" s="64">
        <v>177</v>
      </c>
      <c r="G46" s="64">
        <v>279</v>
      </c>
      <c r="H46" s="64">
        <v>258</v>
      </c>
      <c r="I46" s="64">
        <v>124</v>
      </c>
      <c r="J46" s="65">
        <v>158</v>
      </c>
    </row>
    <row r="47" spans="1:10" s="66" customFormat="1">
      <c r="A47" s="67" t="s">
        <v>89</v>
      </c>
      <c r="B47" s="64">
        <v>6853</v>
      </c>
      <c r="C47" s="64">
        <v>7274</v>
      </c>
      <c r="D47" s="64">
        <v>2403</v>
      </c>
      <c r="E47" s="64">
        <v>736</v>
      </c>
      <c r="F47" s="64">
        <v>5132</v>
      </c>
      <c r="G47" s="64">
        <v>556</v>
      </c>
      <c r="H47" s="64">
        <v>462</v>
      </c>
      <c r="I47" s="64">
        <v>421</v>
      </c>
      <c r="J47" s="65">
        <v>501</v>
      </c>
    </row>
    <row r="48" spans="1:10" s="66" customFormat="1">
      <c r="A48" s="63" t="s">
        <v>90</v>
      </c>
      <c r="B48" s="64">
        <v>247</v>
      </c>
      <c r="C48" s="64">
        <v>-17</v>
      </c>
      <c r="D48" s="64">
        <v>-56</v>
      </c>
      <c r="E48" s="64">
        <v>-72</v>
      </c>
      <c r="F48" s="64">
        <v>-250</v>
      </c>
      <c r="G48" s="64">
        <v>52</v>
      </c>
      <c r="H48" s="64">
        <v>17</v>
      </c>
      <c r="I48" s="64">
        <v>15</v>
      </c>
      <c r="J48" s="65">
        <v>-57</v>
      </c>
    </row>
    <row r="49" spans="1:15" s="66" customFormat="1">
      <c r="A49" s="63" t="s">
        <v>91</v>
      </c>
      <c r="B49" s="64">
        <v>3633</v>
      </c>
      <c r="C49" s="64">
        <v>3842</v>
      </c>
      <c r="D49" s="64">
        <v>3890</v>
      </c>
      <c r="E49" s="64">
        <v>4055</v>
      </c>
      <c r="F49" s="64">
        <v>4080</v>
      </c>
      <c r="G49" s="64">
        <v>3930</v>
      </c>
      <c r="H49" s="64">
        <v>3800</v>
      </c>
      <c r="I49" s="64">
        <v>4009</v>
      </c>
      <c r="J49" s="65">
        <v>3819</v>
      </c>
    </row>
    <row r="50" spans="1:15" s="66" customFormat="1">
      <c r="A50" s="63" t="s">
        <v>92</v>
      </c>
      <c r="B50" s="64">
        <v>119139</v>
      </c>
      <c r="C50" s="64">
        <v>127334</v>
      </c>
      <c r="D50" s="64">
        <v>135344</v>
      </c>
      <c r="E50" s="64">
        <v>146514</v>
      </c>
      <c r="F50" s="64">
        <v>151330</v>
      </c>
      <c r="G50" s="64">
        <v>157504</v>
      </c>
      <c r="H50" s="64">
        <v>162945</v>
      </c>
      <c r="I50" s="64">
        <v>163936</v>
      </c>
      <c r="J50" s="65">
        <v>167752</v>
      </c>
    </row>
    <row r="51" spans="1:15" s="66" customFormat="1">
      <c r="A51" s="63" t="s">
        <v>93</v>
      </c>
      <c r="B51" s="64">
        <v>1521</v>
      </c>
      <c r="C51" s="64">
        <v>2170</v>
      </c>
      <c r="D51" s="64">
        <v>2495</v>
      </c>
      <c r="E51" s="64">
        <v>2331</v>
      </c>
      <c r="F51" s="64">
        <v>3381</v>
      </c>
      <c r="G51" s="64">
        <v>3057</v>
      </c>
      <c r="H51" s="64">
        <v>3218</v>
      </c>
      <c r="I51" s="64">
        <v>3389</v>
      </c>
      <c r="J51" s="65">
        <v>3568</v>
      </c>
    </row>
    <row r="52" spans="1:15" s="66" customFormat="1">
      <c r="A52" s="63" t="s">
        <v>94</v>
      </c>
      <c r="B52" s="64">
        <v>18</v>
      </c>
      <c r="C52" s="64">
        <v>-62</v>
      </c>
      <c r="D52" s="64">
        <v>138</v>
      </c>
      <c r="E52" s="64">
        <v>431</v>
      </c>
      <c r="F52" s="64">
        <v>53</v>
      </c>
      <c r="G52" s="64">
        <v>78</v>
      </c>
      <c r="H52" s="64">
        <v>-6</v>
      </c>
      <c r="I52" s="64">
        <v>-17</v>
      </c>
      <c r="J52" s="65">
        <v>-44</v>
      </c>
    </row>
    <row r="53" spans="1:15" s="66" customFormat="1">
      <c r="A53" s="63" t="s">
        <v>95</v>
      </c>
      <c r="B53" s="64">
        <v>9031</v>
      </c>
      <c r="C53" s="64">
        <v>6174</v>
      </c>
      <c r="D53" s="64">
        <v>6488</v>
      </c>
      <c r="E53" s="64">
        <v>7224</v>
      </c>
      <c r="F53" s="64">
        <v>6232</v>
      </c>
      <c r="G53" s="64">
        <v>7879</v>
      </c>
      <c r="H53" s="64">
        <v>8026</v>
      </c>
      <c r="I53" s="64">
        <v>8152</v>
      </c>
      <c r="J53" s="65">
        <v>8339</v>
      </c>
    </row>
    <row r="54" spans="1:15" s="66" customFormat="1">
      <c r="A54" s="63" t="s">
        <v>96</v>
      </c>
      <c r="B54" s="64">
        <v>29463</v>
      </c>
      <c r="C54" s="64">
        <v>31320</v>
      </c>
      <c r="D54" s="64">
        <v>77257</v>
      </c>
      <c r="E54" s="64">
        <v>9581</v>
      </c>
      <c r="F54" s="64">
        <v>28601</v>
      </c>
      <c r="G54" s="64">
        <v>40723</v>
      </c>
      <c r="H54" s="64">
        <v>43519</v>
      </c>
      <c r="I54" s="64">
        <v>42139</v>
      </c>
      <c r="J54" s="65">
        <v>42520</v>
      </c>
    </row>
    <row r="55" spans="1:15" s="66" customFormat="1" ht="12">
      <c r="A55" s="63" t="s">
        <v>306</v>
      </c>
      <c r="B55" s="64">
        <v>6045</v>
      </c>
      <c r="C55" s="64">
        <v>7626</v>
      </c>
      <c r="D55" s="64">
        <v>7173</v>
      </c>
      <c r="E55" s="64">
        <v>7481</v>
      </c>
      <c r="F55" s="66">
        <v>-7467</v>
      </c>
      <c r="G55" s="64">
        <v>8688</v>
      </c>
      <c r="H55" s="64">
        <v>9612</v>
      </c>
      <c r="I55" s="64">
        <v>-2574</v>
      </c>
      <c r="J55" s="65">
        <v>-2460</v>
      </c>
    </row>
    <row r="56" spans="1:15" s="66" customFormat="1">
      <c r="A56" s="63" t="s">
        <v>98</v>
      </c>
      <c r="B56" s="64">
        <v>52</v>
      </c>
      <c r="C56" s="64">
        <v>28</v>
      </c>
      <c r="D56" s="64">
        <v>15</v>
      </c>
      <c r="E56" s="64">
        <v>60</v>
      </c>
      <c r="F56" s="64">
        <v>38</v>
      </c>
      <c r="G56" s="64">
        <v>13</v>
      </c>
      <c r="H56" s="64">
        <v>13</v>
      </c>
      <c r="I56" s="64">
        <v>16</v>
      </c>
      <c r="J56" s="65">
        <v>17</v>
      </c>
    </row>
    <row r="57" spans="1:15" s="73" customFormat="1">
      <c r="A57" s="77" t="s">
        <v>29</v>
      </c>
      <c r="B57" s="78">
        <v>202324</v>
      </c>
      <c r="C57" s="78">
        <v>217516</v>
      </c>
      <c r="D57" s="78">
        <v>269710</v>
      </c>
      <c r="E57" s="78">
        <v>216711</v>
      </c>
      <c r="F57" s="78">
        <v>171145</v>
      </c>
      <c r="G57" s="78">
        <v>265506</v>
      </c>
      <c r="H57" s="78">
        <v>276983</v>
      </c>
      <c r="I57" s="78">
        <v>267293</v>
      </c>
      <c r="J57" s="79">
        <v>273582</v>
      </c>
    </row>
    <row r="58" spans="1:15" s="83" customFormat="1" ht="12" thickBot="1">
      <c r="A58" s="80" t="s">
        <v>106</v>
      </c>
      <c r="B58" s="81">
        <v>485852</v>
      </c>
      <c r="C58" s="81">
        <v>517794</v>
      </c>
      <c r="D58" s="81">
        <v>583388</v>
      </c>
      <c r="E58" s="81">
        <v>550512</v>
      </c>
      <c r="F58" s="81">
        <v>517158</v>
      </c>
      <c r="G58" s="81">
        <v>607900</v>
      </c>
      <c r="H58" s="81">
        <v>621600</v>
      </c>
      <c r="I58" s="81">
        <v>616400</v>
      </c>
      <c r="J58" s="82">
        <v>621800</v>
      </c>
      <c r="L58" s="73"/>
      <c r="M58" s="73"/>
      <c r="N58" s="73"/>
      <c r="O58" s="73"/>
    </row>
    <row r="59" spans="1:15" ht="11.25" customHeight="1">
      <c r="A59" s="85" t="s">
        <v>301</v>
      </c>
      <c r="B59" s="85"/>
      <c r="C59" s="85"/>
      <c r="D59" s="85"/>
      <c r="E59" s="85"/>
      <c r="F59" s="85"/>
    </row>
    <row r="60" spans="1:15" ht="11.25" customHeight="1">
      <c r="A60" s="260" t="s">
        <v>302</v>
      </c>
      <c r="B60" s="260"/>
      <c r="C60" s="260"/>
      <c r="D60" s="260"/>
      <c r="E60" s="260"/>
      <c r="F60" s="260"/>
      <c r="G60" s="260"/>
      <c r="H60" s="260"/>
      <c r="I60" s="260"/>
      <c r="J60" s="260"/>
    </row>
    <row r="61" spans="1:15" ht="23.25" customHeight="1">
      <c r="A61" s="261" t="s">
        <v>307</v>
      </c>
      <c r="B61" s="261"/>
      <c r="C61" s="261"/>
      <c r="D61" s="261"/>
      <c r="E61" s="261"/>
      <c r="F61" s="261"/>
      <c r="G61" s="261"/>
      <c r="H61" s="261"/>
      <c r="I61" s="261"/>
      <c r="J61" s="261"/>
    </row>
  </sheetData>
  <mergeCells count="3">
    <mergeCell ref="B3:F3"/>
    <mergeCell ref="A60:J60"/>
    <mergeCell ref="A61:J61"/>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autoPageBreaks="0"/>
  </sheetPr>
  <dimension ref="A1:HT36"/>
  <sheetViews>
    <sheetView showGridLines="0" zoomScaleNormal="100" zoomScaleSheetLayoutView="115" workbookViewId="0">
      <selection activeCell="C9" sqref="C9"/>
    </sheetView>
  </sheetViews>
  <sheetFormatPr defaultColWidth="10.1640625" defaultRowHeight="11.25"/>
  <cols>
    <col min="1" max="1" width="39" style="109" customWidth="1"/>
    <col min="2" max="4" width="14.1640625" style="86" customWidth="1"/>
    <col min="5" max="5" width="13" style="86" customWidth="1"/>
    <col min="6" max="16384" width="10.1640625" style="107"/>
  </cols>
  <sheetData>
    <row r="1" spans="1:228" s="88" customFormat="1" ht="16.5">
      <c r="A1" s="87" t="s">
        <v>109</v>
      </c>
      <c r="B1" s="87"/>
      <c r="C1" s="87"/>
      <c r="D1" s="87"/>
      <c r="E1" s="87"/>
    </row>
    <row r="2" spans="1:228" s="92" customFormat="1" ht="12" thickBot="1">
      <c r="A2" s="89"/>
      <c r="B2" s="90"/>
      <c r="C2" s="90"/>
      <c r="D2" s="91"/>
      <c r="J2" s="93" t="s">
        <v>1</v>
      </c>
    </row>
    <row r="3" spans="1:228"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row>
    <row r="4" spans="1:228"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row>
    <row r="5" spans="1:228"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row>
    <row r="6" spans="1:228" s="96" customFormat="1">
      <c r="A6" s="94" t="s">
        <v>110</v>
      </c>
      <c r="B6" s="95"/>
      <c r="C6" s="95"/>
      <c r="D6" s="95"/>
      <c r="E6" s="95"/>
      <c r="J6" s="97"/>
    </row>
    <row r="7" spans="1:228" s="99" customFormat="1">
      <c r="A7" s="98" t="s">
        <v>103</v>
      </c>
      <c r="B7" s="64">
        <v>42092</v>
      </c>
      <c r="C7" s="64">
        <v>44903</v>
      </c>
      <c r="D7" s="64">
        <v>46819</v>
      </c>
      <c r="E7" s="64">
        <v>49575</v>
      </c>
      <c r="F7" s="64">
        <v>51424</v>
      </c>
      <c r="G7" s="64">
        <v>51463</v>
      </c>
      <c r="H7" s="64">
        <v>52538</v>
      </c>
      <c r="I7" s="64">
        <v>53072</v>
      </c>
      <c r="J7" s="65">
        <v>54008</v>
      </c>
    </row>
    <row r="8" spans="1:228" s="99" customFormat="1" ht="12">
      <c r="A8" s="98" t="s">
        <v>308</v>
      </c>
      <c r="B8" s="64">
        <v>75899</v>
      </c>
      <c r="C8" s="64">
        <v>81838</v>
      </c>
      <c r="D8" s="64">
        <v>88033</v>
      </c>
      <c r="E8" s="64">
        <v>94611</v>
      </c>
      <c r="F8" s="64">
        <v>97785</v>
      </c>
      <c r="G8" s="64">
        <v>101625</v>
      </c>
      <c r="H8" s="64">
        <v>104092</v>
      </c>
      <c r="I8" s="64">
        <v>107032</v>
      </c>
      <c r="J8" s="65">
        <v>109884</v>
      </c>
    </row>
    <row r="9" spans="1:228" s="99" customFormat="1" ht="12">
      <c r="A9" s="98" t="s">
        <v>79</v>
      </c>
      <c r="B9" s="64">
        <v>1730</v>
      </c>
      <c r="C9" s="64">
        <v>1767</v>
      </c>
      <c r="D9" s="64">
        <v>1275</v>
      </c>
      <c r="E9" s="64">
        <v>1393</v>
      </c>
      <c r="F9" s="64">
        <f>'1.3'!F9</f>
        <v>1522</v>
      </c>
      <c r="G9" s="64">
        <v>0</v>
      </c>
      <c r="H9" s="64">
        <v>0</v>
      </c>
      <c r="I9" s="64">
        <v>0</v>
      </c>
      <c r="J9" s="65">
        <v>0</v>
      </c>
    </row>
    <row r="10" spans="1:228" s="99" customFormat="1">
      <c r="A10" s="98" t="s">
        <v>80</v>
      </c>
      <c r="B10" s="64">
        <v>6008</v>
      </c>
      <c r="C10" s="64">
        <v>6099</v>
      </c>
      <c r="D10" s="64">
        <v>5405</v>
      </c>
      <c r="E10" s="64">
        <v>5709</v>
      </c>
      <c r="F10" s="64">
        <v>5170</v>
      </c>
      <c r="G10" s="64">
        <v>5294</v>
      </c>
      <c r="H10" s="64">
        <v>5027</v>
      </c>
      <c r="I10" s="64">
        <v>4965</v>
      </c>
      <c r="J10" s="65">
        <v>4431</v>
      </c>
    </row>
    <row r="11" spans="1:228" s="99" customFormat="1">
      <c r="A11" s="100" t="s">
        <v>81</v>
      </c>
      <c r="B11" s="64">
        <v>3326</v>
      </c>
      <c r="C11" s="64">
        <v>3927</v>
      </c>
      <c r="D11" s="64">
        <v>4058</v>
      </c>
      <c r="E11" s="64">
        <v>4275</v>
      </c>
      <c r="F11" s="64">
        <v>3632</v>
      </c>
      <c r="G11" s="64">
        <v>2014</v>
      </c>
      <c r="H11" s="64">
        <v>1784</v>
      </c>
      <c r="I11" s="64">
        <v>1630</v>
      </c>
      <c r="J11" s="65">
        <v>1243</v>
      </c>
    </row>
    <row r="12" spans="1:228" s="99" customFormat="1">
      <c r="A12" s="98" t="s">
        <v>105</v>
      </c>
      <c r="B12" s="64">
        <v>22540</v>
      </c>
      <c r="C12" s="64">
        <v>22750</v>
      </c>
      <c r="D12" s="64">
        <v>24650</v>
      </c>
      <c r="E12" s="64">
        <v>25515</v>
      </c>
      <c r="F12" s="64">
        <v>25956</v>
      </c>
      <c r="G12" s="64">
        <v>26000</v>
      </c>
      <c r="H12" s="64">
        <v>23974</v>
      </c>
      <c r="I12" s="64">
        <v>24198</v>
      </c>
      <c r="J12" s="65">
        <v>22850</v>
      </c>
    </row>
    <row r="13" spans="1:228" s="99" customFormat="1">
      <c r="A13" s="98" t="s">
        <v>82</v>
      </c>
      <c r="B13" s="64">
        <v>14669</v>
      </c>
      <c r="C13" s="64">
        <v>15863</v>
      </c>
      <c r="D13" s="64">
        <v>16540</v>
      </c>
      <c r="E13" s="64">
        <v>17530</v>
      </c>
      <c r="F13" s="64">
        <v>17229</v>
      </c>
      <c r="G13" s="64">
        <v>16717</v>
      </c>
      <c r="H13" s="64">
        <v>15815</v>
      </c>
      <c r="I13" s="64">
        <v>14844</v>
      </c>
      <c r="J13" s="65">
        <v>13809</v>
      </c>
    </row>
    <row r="14" spans="1:228" s="99" customFormat="1">
      <c r="A14" s="98" t="s">
        <v>83</v>
      </c>
      <c r="B14" s="64">
        <v>8499</v>
      </c>
      <c r="C14" s="64">
        <v>8706</v>
      </c>
      <c r="D14" s="64">
        <v>9013</v>
      </c>
      <c r="E14" s="64">
        <v>9340</v>
      </c>
      <c r="F14" s="64">
        <v>8865</v>
      </c>
      <c r="G14" s="64">
        <v>8987</v>
      </c>
      <c r="H14" s="64">
        <v>8580</v>
      </c>
      <c r="I14" s="64">
        <v>8137</v>
      </c>
      <c r="J14" s="65">
        <v>7864</v>
      </c>
    </row>
    <row r="15" spans="1:228" s="99" customFormat="1">
      <c r="A15" s="98" t="s">
        <v>84</v>
      </c>
      <c r="B15" s="64">
        <v>7889</v>
      </c>
      <c r="C15" s="64">
        <v>8526</v>
      </c>
      <c r="D15" s="64">
        <v>8683</v>
      </c>
      <c r="E15" s="64">
        <v>8561</v>
      </c>
      <c r="F15" s="64">
        <v>8620</v>
      </c>
      <c r="G15" s="64">
        <v>8314</v>
      </c>
      <c r="H15" s="64">
        <v>7806</v>
      </c>
      <c r="I15" s="64">
        <v>7437</v>
      </c>
      <c r="J15" s="65">
        <v>7119</v>
      </c>
    </row>
    <row r="16" spans="1:228" s="99" customFormat="1">
      <c r="A16" s="98" t="s">
        <v>85</v>
      </c>
      <c r="B16" s="64">
        <v>687</v>
      </c>
      <c r="C16" s="64">
        <v>705</v>
      </c>
      <c r="D16" s="64">
        <v>712</v>
      </c>
      <c r="E16" s="64">
        <v>697</v>
      </c>
      <c r="F16" s="64">
        <v>658</v>
      </c>
      <c r="G16" s="64">
        <v>644</v>
      </c>
      <c r="H16" s="64">
        <v>614</v>
      </c>
      <c r="I16" s="64">
        <v>590</v>
      </c>
      <c r="J16" s="65">
        <v>552</v>
      </c>
    </row>
    <row r="17" spans="1:10" s="99" customFormat="1">
      <c r="A17" s="98" t="s">
        <v>86</v>
      </c>
      <c r="B17" s="64">
        <v>23520</v>
      </c>
      <c r="C17" s="64">
        <v>24613</v>
      </c>
      <c r="D17" s="64">
        <v>25403</v>
      </c>
      <c r="E17" s="64">
        <v>27596</v>
      </c>
      <c r="F17" s="64">
        <v>27966</v>
      </c>
      <c r="G17" s="64">
        <v>27413</v>
      </c>
      <c r="H17" s="64">
        <v>25266</v>
      </c>
      <c r="I17" s="64">
        <v>24957</v>
      </c>
      <c r="J17" s="65">
        <v>24746</v>
      </c>
    </row>
    <row r="18" spans="1:10" s="99" customFormat="1">
      <c r="A18" s="98" t="s">
        <v>87</v>
      </c>
      <c r="B18" s="64">
        <v>1689</v>
      </c>
      <c r="C18" s="64">
        <v>1735</v>
      </c>
      <c r="D18" s="64">
        <v>1946</v>
      </c>
      <c r="E18" s="64">
        <v>2022</v>
      </c>
      <c r="F18" s="64">
        <v>2097</v>
      </c>
      <c r="G18" s="64">
        <v>2022</v>
      </c>
      <c r="H18" s="64">
        <v>1463</v>
      </c>
      <c r="I18" s="64">
        <v>1429</v>
      </c>
      <c r="J18" s="65">
        <v>1167</v>
      </c>
    </row>
    <row r="19" spans="1:10" s="99" customFormat="1">
      <c r="A19" s="98" t="s">
        <v>88</v>
      </c>
      <c r="B19" s="64">
        <v>4098</v>
      </c>
      <c r="C19" s="64">
        <v>4448</v>
      </c>
      <c r="D19" s="64">
        <v>4742</v>
      </c>
      <c r="E19" s="64">
        <v>5234</v>
      </c>
      <c r="F19" s="64">
        <v>5915</v>
      </c>
      <c r="G19" s="64">
        <v>6465</v>
      </c>
      <c r="H19" s="64">
        <v>7195</v>
      </c>
      <c r="I19" s="64">
        <v>9394</v>
      </c>
      <c r="J19" s="65">
        <v>9412</v>
      </c>
    </row>
    <row r="20" spans="1:10" s="99" customFormat="1">
      <c r="A20" s="100" t="s">
        <v>89</v>
      </c>
      <c r="B20" s="64">
        <v>911</v>
      </c>
      <c r="C20" s="64">
        <v>672</v>
      </c>
      <c r="D20" s="64">
        <v>288</v>
      </c>
      <c r="E20" s="64">
        <v>1215</v>
      </c>
      <c r="F20" s="64">
        <v>1148</v>
      </c>
      <c r="G20" s="64">
        <v>1503</v>
      </c>
      <c r="H20" s="64">
        <v>1398</v>
      </c>
      <c r="I20" s="64">
        <v>1341</v>
      </c>
      <c r="J20" s="65">
        <v>1036</v>
      </c>
    </row>
    <row r="21" spans="1:10" s="99" customFormat="1">
      <c r="A21" s="98" t="s">
        <v>90</v>
      </c>
      <c r="B21" s="64">
        <v>2259</v>
      </c>
      <c r="C21" s="64">
        <v>2356</v>
      </c>
      <c r="D21" s="64">
        <v>2219</v>
      </c>
      <c r="E21" s="64">
        <v>2260</v>
      </c>
      <c r="F21" s="64">
        <v>2166</v>
      </c>
      <c r="G21" s="64">
        <v>2107</v>
      </c>
      <c r="H21" s="64">
        <v>2059</v>
      </c>
      <c r="I21" s="64">
        <v>1913</v>
      </c>
      <c r="J21" s="65">
        <v>1792</v>
      </c>
    </row>
    <row r="22" spans="1:10" s="99" customFormat="1">
      <c r="A22" s="98" t="s">
        <v>91</v>
      </c>
      <c r="B22" s="64">
        <v>1356</v>
      </c>
      <c r="C22" s="64">
        <v>1396</v>
      </c>
      <c r="D22" s="64">
        <v>1435</v>
      </c>
      <c r="E22" s="64">
        <v>1391</v>
      </c>
      <c r="F22" s="64">
        <v>1420</v>
      </c>
      <c r="G22" s="64">
        <v>1448</v>
      </c>
      <c r="H22" s="64">
        <v>2002</v>
      </c>
      <c r="I22" s="64">
        <v>1226</v>
      </c>
      <c r="J22" s="65">
        <v>1131</v>
      </c>
    </row>
    <row r="23" spans="1:10" s="99" customFormat="1">
      <c r="A23" s="98" t="s">
        <v>92</v>
      </c>
      <c r="B23" s="64">
        <v>7611</v>
      </c>
      <c r="C23" s="64">
        <v>7866</v>
      </c>
      <c r="D23" s="64">
        <v>7756</v>
      </c>
      <c r="E23" s="64">
        <v>8547</v>
      </c>
      <c r="F23" s="64">
        <v>8684</v>
      </c>
      <c r="G23" s="64">
        <v>7561</v>
      </c>
      <c r="H23" s="64">
        <v>7377</v>
      </c>
      <c r="I23" s="64">
        <v>7421</v>
      </c>
      <c r="J23" s="65">
        <v>7605</v>
      </c>
    </row>
    <row r="24" spans="1:10" s="99" customFormat="1">
      <c r="A24" s="98" t="s">
        <v>93</v>
      </c>
      <c r="B24" s="64">
        <v>21475</v>
      </c>
      <c r="C24" s="64">
        <v>22905</v>
      </c>
      <c r="D24" s="64">
        <v>23552</v>
      </c>
      <c r="E24" s="64">
        <v>24486</v>
      </c>
      <c r="F24" s="64">
        <v>25224</v>
      </c>
      <c r="G24" s="64">
        <v>24849</v>
      </c>
      <c r="H24" s="64">
        <v>25152</v>
      </c>
      <c r="I24" s="64">
        <v>25344</v>
      </c>
      <c r="J24" s="65">
        <v>25451</v>
      </c>
    </row>
    <row r="25" spans="1:10" s="99" customFormat="1">
      <c r="A25" s="98" t="s">
        <v>94</v>
      </c>
      <c r="B25" s="64">
        <v>11366</v>
      </c>
      <c r="C25" s="64">
        <v>11955</v>
      </c>
      <c r="D25" s="64">
        <v>12420</v>
      </c>
      <c r="E25" s="64">
        <v>13074</v>
      </c>
      <c r="F25" s="64">
        <v>13386</v>
      </c>
      <c r="G25" s="64">
        <v>13355</v>
      </c>
      <c r="H25" s="64">
        <v>13367</v>
      </c>
      <c r="I25" s="64">
        <v>13510</v>
      </c>
      <c r="J25" s="65">
        <v>13545</v>
      </c>
    </row>
    <row r="26" spans="1:10" s="99" customFormat="1">
      <c r="A26" s="98" t="s">
        <v>95</v>
      </c>
      <c r="B26" s="64">
        <v>8181</v>
      </c>
      <c r="C26" s="64">
        <v>8635</v>
      </c>
      <c r="D26" s="64">
        <v>8952</v>
      </c>
      <c r="E26" s="64">
        <v>9335</v>
      </c>
      <c r="F26" s="64">
        <v>9637</v>
      </c>
      <c r="G26" s="64">
        <v>9455</v>
      </c>
      <c r="H26" s="64">
        <v>9452</v>
      </c>
      <c r="I26" s="64">
        <v>9511</v>
      </c>
      <c r="J26" s="65">
        <v>9552</v>
      </c>
    </row>
    <row r="27" spans="1:10" s="99" customFormat="1">
      <c r="A27" s="98" t="s">
        <v>96</v>
      </c>
      <c r="B27" s="64">
        <v>4441</v>
      </c>
      <c r="C27" s="64">
        <v>4246</v>
      </c>
      <c r="D27" s="64">
        <v>4312</v>
      </c>
      <c r="E27" s="64">
        <v>4226</v>
      </c>
      <c r="F27" s="64">
        <v>3927</v>
      </c>
      <c r="G27" s="64">
        <v>3949</v>
      </c>
      <c r="H27" s="64">
        <v>3820</v>
      </c>
      <c r="I27" s="64">
        <v>3765</v>
      </c>
      <c r="J27" s="65">
        <v>3589</v>
      </c>
    </row>
    <row r="28" spans="1:10" s="99" customFormat="1">
      <c r="A28" s="98" t="s">
        <v>97</v>
      </c>
      <c r="B28" s="68">
        <v>1524</v>
      </c>
      <c r="C28" s="68">
        <v>1621</v>
      </c>
      <c r="D28" s="68">
        <v>1794</v>
      </c>
      <c r="E28" s="68">
        <v>1985</v>
      </c>
      <c r="F28" s="68">
        <v>2029</v>
      </c>
      <c r="G28" s="68">
        <v>2103</v>
      </c>
      <c r="H28" s="68">
        <v>2040</v>
      </c>
      <c r="I28" s="68">
        <v>1964</v>
      </c>
      <c r="J28" s="69">
        <v>2156</v>
      </c>
    </row>
    <row r="29" spans="1:10" s="99" customFormat="1">
      <c r="A29" s="98" t="s">
        <v>98</v>
      </c>
      <c r="B29" s="68">
        <v>630</v>
      </c>
      <c r="C29" s="68">
        <v>661</v>
      </c>
      <c r="D29" s="68">
        <v>746</v>
      </c>
      <c r="E29" s="68">
        <v>760</v>
      </c>
      <c r="F29" s="68">
        <v>706</v>
      </c>
      <c r="G29" s="68">
        <v>862</v>
      </c>
      <c r="H29" s="68">
        <v>752</v>
      </c>
      <c r="I29" s="68">
        <v>735</v>
      </c>
      <c r="J29" s="69">
        <v>719</v>
      </c>
    </row>
    <row r="30" spans="1:10" s="99" customFormat="1">
      <c r="A30" s="63" t="s">
        <v>99</v>
      </c>
      <c r="B30" s="68">
        <v>0</v>
      </c>
      <c r="C30" s="68">
        <v>0</v>
      </c>
      <c r="D30" s="68">
        <v>0</v>
      </c>
      <c r="E30" s="68">
        <v>0</v>
      </c>
      <c r="F30" s="68">
        <v>0</v>
      </c>
      <c r="G30" s="68">
        <f>'1.3'!G30</f>
        <v>2000</v>
      </c>
      <c r="H30" s="68">
        <f>'1.3'!H30</f>
        <v>2500</v>
      </c>
      <c r="I30" s="68">
        <f>'1.3'!I30</f>
        <v>2600</v>
      </c>
      <c r="J30" s="69">
        <f>'1.3'!J30</f>
        <v>2500</v>
      </c>
    </row>
    <row r="31" spans="1:10" s="99" customFormat="1">
      <c r="A31" s="63" t="s">
        <v>100</v>
      </c>
      <c r="B31" s="68">
        <v>0</v>
      </c>
      <c r="C31" s="68">
        <v>0</v>
      </c>
      <c r="D31" s="68">
        <v>0</v>
      </c>
      <c r="E31" s="68">
        <v>0</v>
      </c>
      <c r="F31" s="68">
        <v>0</v>
      </c>
      <c r="G31" s="68">
        <f>'1.3'!G31</f>
        <v>100</v>
      </c>
      <c r="H31" s="68">
        <f>'1.3'!H31</f>
        <v>3100</v>
      </c>
      <c r="I31" s="68">
        <f>'1.3'!I31</f>
        <v>3000</v>
      </c>
      <c r="J31" s="69">
        <f>'1.3'!J31</f>
        <v>2800</v>
      </c>
    </row>
    <row r="32" spans="1:10" s="99" customFormat="1">
      <c r="A32" s="63" t="s">
        <v>101</v>
      </c>
      <c r="B32" s="68">
        <v>0</v>
      </c>
      <c r="C32" s="68">
        <v>0</v>
      </c>
      <c r="D32" s="68">
        <v>0</v>
      </c>
      <c r="E32" s="68">
        <v>0</v>
      </c>
      <c r="F32" s="68">
        <v>0</v>
      </c>
      <c r="G32" s="68">
        <f>'1.3'!G32</f>
        <v>0</v>
      </c>
      <c r="H32" s="68">
        <f>'1.3'!H32</f>
        <v>0</v>
      </c>
      <c r="I32" s="68">
        <f>'1.3'!I32</f>
        <v>1000</v>
      </c>
      <c r="J32" s="69">
        <f>'1.3'!J32</f>
        <v>0</v>
      </c>
    </row>
    <row r="33" spans="1:16" s="104" customFormat="1" ht="12" thickBot="1">
      <c r="A33" s="101" t="s">
        <v>113</v>
      </c>
      <c r="B33" s="102">
        <v>272403</v>
      </c>
      <c r="C33" s="102">
        <v>288192</v>
      </c>
      <c r="D33" s="102">
        <v>300754</v>
      </c>
      <c r="E33" s="102">
        <v>319337</v>
      </c>
      <c r="F33" s="102">
        <v>325165</v>
      </c>
      <c r="G33" s="102">
        <v>326300</v>
      </c>
      <c r="H33" s="102">
        <v>327100</v>
      </c>
      <c r="I33" s="102">
        <v>331000</v>
      </c>
      <c r="J33" s="103">
        <v>328900</v>
      </c>
      <c r="L33" s="105"/>
      <c r="M33" s="105"/>
      <c r="N33" s="105"/>
      <c r="O33" s="105"/>
      <c r="P33" s="105"/>
    </row>
    <row r="34" spans="1:16">
      <c r="A34" s="106" t="s">
        <v>55</v>
      </c>
      <c r="B34" s="106"/>
      <c r="C34" s="106"/>
      <c r="D34" s="106"/>
      <c r="E34" s="106"/>
      <c r="G34" s="84"/>
      <c r="H34" s="84"/>
      <c r="I34" s="84"/>
      <c r="J34" s="84"/>
    </row>
    <row r="35" spans="1:16" ht="11.25" customHeight="1">
      <c r="A35" s="108" t="s">
        <v>107</v>
      </c>
      <c r="B35" s="108"/>
      <c r="C35" s="108"/>
      <c r="D35" s="108"/>
      <c r="E35" s="108"/>
    </row>
    <row r="36" spans="1:16" ht="11.25" customHeight="1">
      <c r="A36" s="108" t="s">
        <v>108</v>
      </c>
      <c r="B36" s="108"/>
      <c r="C36" s="108"/>
      <c r="D36" s="108"/>
      <c r="E36" s="108"/>
    </row>
  </sheetData>
  <mergeCells count="1">
    <mergeCell ref="B3:F3"/>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autoPageBreaks="0"/>
  </sheetPr>
  <dimension ref="A1:HV62"/>
  <sheetViews>
    <sheetView showGridLines="0" zoomScaleNormal="100" zoomScaleSheetLayoutView="85" workbookViewId="0">
      <selection activeCell="A64" sqref="A64"/>
    </sheetView>
  </sheetViews>
  <sheetFormatPr defaultColWidth="10.1640625" defaultRowHeight="11.25"/>
  <cols>
    <col min="1" max="1" width="40.6640625" style="109" customWidth="1"/>
    <col min="2" max="6" width="13.1640625" style="109" customWidth="1"/>
    <col min="7" max="16384" width="10.1640625" style="107"/>
  </cols>
  <sheetData>
    <row r="1" spans="1:230" s="88" customFormat="1" ht="16.5">
      <c r="A1" s="87" t="s">
        <v>116</v>
      </c>
      <c r="B1" s="87"/>
      <c r="C1" s="87"/>
      <c r="D1" s="87"/>
      <c r="E1" s="87"/>
      <c r="F1" s="87"/>
      <c r="G1" s="87"/>
      <c r="H1" s="87"/>
      <c r="I1" s="87"/>
      <c r="J1" s="87"/>
    </row>
    <row r="2" spans="1:230" s="2" customFormat="1" ht="12" thickBot="1">
      <c r="A2" s="3"/>
      <c r="B2" s="3"/>
      <c r="C2" s="3"/>
      <c r="D2" s="3"/>
      <c r="E2" s="3"/>
      <c r="F2" s="3"/>
      <c r="G2" s="3"/>
      <c r="H2" s="3"/>
      <c r="I2" s="3"/>
      <c r="J2" s="4" t="s">
        <v>1</v>
      </c>
    </row>
    <row r="3" spans="1:230"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row>
    <row r="4" spans="1:230"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row>
    <row r="5" spans="1:230"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row>
    <row r="6" spans="1:230" s="96" customFormat="1">
      <c r="A6" s="59" t="s">
        <v>77</v>
      </c>
      <c r="B6" s="60"/>
      <c r="C6" s="60"/>
      <c r="D6" s="60"/>
      <c r="E6" s="60"/>
      <c r="F6" s="60"/>
      <c r="G6" s="60"/>
      <c r="H6" s="60"/>
      <c r="I6" s="60"/>
      <c r="J6" s="61"/>
    </row>
    <row r="7" spans="1:230" s="99" customFormat="1">
      <c r="A7" s="63" t="s">
        <v>103</v>
      </c>
      <c r="B7" s="64">
        <v>46582</v>
      </c>
      <c r="C7" s="64">
        <v>48309</v>
      </c>
      <c r="D7" s="64">
        <v>49014</v>
      </c>
      <c r="E7" s="64">
        <v>51075</v>
      </c>
      <c r="F7" s="64">
        <v>51461</v>
      </c>
      <c r="G7" s="64">
        <v>50025</v>
      </c>
      <c r="H7" s="64">
        <v>49828</v>
      </c>
      <c r="I7" s="64">
        <v>49016</v>
      </c>
      <c r="J7" s="65">
        <v>48581</v>
      </c>
      <c r="L7" s="105"/>
      <c r="M7" s="105"/>
      <c r="N7" s="105"/>
      <c r="O7" s="105"/>
      <c r="P7" s="105"/>
      <c r="Q7" s="105"/>
      <c r="R7" s="105"/>
      <c r="S7" s="105"/>
      <c r="T7" s="105"/>
      <c r="U7" s="55"/>
    </row>
    <row r="8" spans="1:230" s="99" customFormat="1" ht="12">
      <c r="A8" s="63" t="s">
        <v>78</v>
      </c>
      <c r="B8" s="64">
        <v>85040</v>
      </c>
      <c r="C8" s="64">
        <v>88780</v>
      </c>
      <c r="D8" s="64">
        <v>93116</v>
      </c>
      <c r="E8" s="64">
        <v>98639</v>
      </c>
      <c r="F8" s="64">
        <v>99018</v>
      </c>
      <c r="G8" s="64">
        <v>99833</v>
      </c>
      <c r="H8" s="64">
        <v>99785</v>
      </c>
      <c r="I8" s="64">
        <v>99922</v>
      </c>
      <c r="J8" s="65">
        <v>99923</v>
      </c>
      <c r="L8" s="105"/>
      <c r="M8" s="105"/>
      <c r="N8" s="105"/>
      <c r="O8" s="105"/>
      <c r="P8" s="105"/>
      <c r="Q8" s="105"/>
      <c r="R8" s="105"/>
      <c r="S8" s="105"/>
      <c r="T8" s="105"/>
      <c r="U8" s="55"/>
    </row>
    <row r="9" spans="1:230" s="99" customFormat="1" ht="12">
      <c r="A9" s="63" t="s">
        <v>79</v>
      </c>
      <c r="B9" s="64">
        <v>1929</v>
      </c>
      <c r="C9" s="64">
        <v>1916</v>
      </c>
      <c r="D9" s="64">
        <v>1355</v>
      </c>
      <c r="E9" s="64">
        <v>1436</v>
      </c>
      <c r="F9" s="64">
        <v>1522</v>
      </c>
      <c r="G9" s="64">
        <v>0</v>
      </c>
      <c r="H9" s="64">
        <v>0</v>
      </c>
      <c r="I9" s="64">
        <v>0</v>
      </c>
      <c r="J9" s="65">
        <v>0</v>
      </c>
      <c r="L9" s="105"/>
      <c r="M9" s="105"/>
      <c r="N9" s="105"/>
      <c r="O9" s="105"/>
      <c r="P9" s="105"/>
      <c r="Q9" s="105"/>
      <c r="R9" s="105"/>
      <c r="S9" s="105"/>
      <c r="T9" s="105"/>
      <c r="U9" s="55"/>
    </row>
    <row r="10" spans="1:230" s="99" customFormat="1">
      <c r="A10" s="63" t="s">
        <v>80</v>
      </c>
      <c r="B10" s="64">
        <v>6987</v>
      </c>
      <c r="C10" s="64">
        <v>6982</v>
      </c>
      <c r="D10" s="64">
        <v>6072</v>
      </c>
      <c r="E10" s="64">
        <v>6802</v>
      </c>
      <c r="F10" s="64">
        <v>5802</v>
      </c>
      <c r="G10" s="64">
        <v>6055</v>
      </c>
      <c r="H10" s="64">
        <v>5698</v>
      </c>
      <c r="I10" s="64">
        <v>5450</v>
      </c>
      <c r="J10" s="65">
        <v>4825</v>
      </c>
      <c r="L10" s="105"/>
      <c r="M10" s="105"/>
      <c r="N10" s="105"/>
      <c r="O10" s="105"/>
      <c r="P10" s="105"/>
      <c r="Q10" s="105"/>
      <c r="R10" s="105"/>
      <c r="S10" s="105"/>
      <c r="T10" s="105"/>
      <c r="U10" s="55"/>
    </row>
    <row r="11" spans="1:230" s="99" customFormat="1">
      <c r="A11" s="67" t="s">
        <v>81</v>
      </c>
      <c r="B11" s="64">
        <v>3710</v>
      </c>
      <c r="C11" s="64">
        <v>4255</v>
      </c>
      <c r="D11" s="64">
        <v>4296</v>
      </c>
      <c r="E11" s="64">
        <v>4438</v>
      </c>
      <c r="F11" s="64">
        <v>3714</v>
      </c>
      <c r="G11" s="64">
        <v>1995</v>
      </c>
      <c r="H11" s="64">
        <v>1728</v>
      </c>
      <c r="I11" s="64">
        <v>1540</v>
      </c>
      <c r="J11" s="65">
        <v>1150</v>
      </c>
      <c r="L11" s="105"/>
      <c r="M11" s="105"/>
      <c r="N11" s="105"/>
      <c r="O11" s="105"/>
      <c r="P11" s="105"/>
      <c r="Q11" s="105"/>
      <c r="R11" s="105"/>
      <c r="S11" s="105"/>
      <c r="T11" s="105"/>
      <c r="U11" s="55"/>
    </row>
    <row r="12" spans="1:230" s="99" customFormat="1">
      <c r="A12" s="63" t="s">
        <v>105</v>
      </c>
      <c r="B12" s="64">
        <v>24933</v>
      </c>
      <c r="C12" s="64">
        <v>24465</v>
      </c>
      <c r="D12" s="64">
        <v>25795</v>
      </c>
      <c r="E12" s="64">
        <v>26274</v>
      </c>
      <c r="F12" s="64">
        <v>25957</v>
      </c>
      <c r="G12" s="64">
        <v>25259</v>
      </c>
      <c r="H12" s="64">
        <v>22724</v>
      </c>
      <c r="I12" s="64">
        <v>22336</v>
      </c>
      <c r="J12" s="65">
        <v>20541</v>
      </c>
      <c r="L12" s="105"/>
      <c r="M12" s="105"/>
      <c r="N12" s="105"/>
      <c r="O12" s="105"/>
      <c r="P12" s="105"/>
      <c r="Q12" s="105"/>
      <c r="R12" s="105"/>
      <c r="S12" s="105"/>
      <c r="T12" s="105"/>
      <c r="U12" s="55"/>
    </row>
    <row r="13" spans="1:230" s="99" customFormat="1">
      <c r="A13" s="63" t="s">
        <v>82</v>
      </c>
      <c r="B13" s="64">
        <v>17133</v>
      </c>
      <c r="C13" s="64">
        <v>18334</v>
      </c>
      <c r="D13" s="64">
        <v>18685</v>
      </c>
      <c r="E13" s="64">
        <v>19758</v>
      </c>
      <c r="F13" s="64">
        <v>21478</v>
      </c>
      <c r="G13" s="64">
        <v>18113</v>
      </c>
      <c r="H13" s="64">
        <v>17146</v>
      </c>
      <c r="I13" s="64">
        <v>16341</v>
      </c>
      <c r="J13" s="65">
        <v>15534</v>
      </c>
      <c r="L13" s="105"/>
      <c r="M13" s="105"/>
      <c r="N13" s="105"/>
      <c r="O13" s="105"/>
      <c r="P13" s="105"/>
      <c r="Q13" s="105"/>
      <c r="R13" s="105"/>
      <c r="S13" s="105"/>
      <c r="T13" s="105"/>
      <c r="U13" s="55"/>
    </row>
    <row r="14" spans="1:230" s="99" customFormat="1">
      <c r="A14" s="63" t="s">
        <v>83</v>
      </c>
      <c r="B14" s="64">
        <v>9525</v>
      </c>
      <c r="C14" s="64">
        <v>9514</v>
      </c>
      <c r="D14" s="64">
        <v>9625</v>
      </c>
      <c r="E14" s="64">
        <v>9828</v>
      </c>
      <c r="F14" s="64">
        <v>9352</v>
      </c>
      <c r="G14" s="64">
        <v>8980</v>
      </c>
      <c r="H14" s="64">
        <v>8372</v>
      </c>
      <c r="I14" s="64">
        <v>7725</v>
      </c>
      <c r="J14" s="65">
        <v>7293</v>
      </c>
      <c r="L14" s="105"/>
      <c r="M14" s="105"/>
      <c r="N14" s="105"/>
      <c r="O14" s="105"/>
      <c r="P14" s="105"/>
      <c r="Q14" s="105"/>
      <c r="R14" s="105"/>
      <c r="S14" s="105"/>
      <c r="T14" s="105"/>
      <c r="U14" s="55"/>
    </row>
    <row r="15" spans="1:230" s="99" customFormat="1">
      <c r="A15" s="63" t="s">
        <v>84</v>
      </c>
      <c r="B15" s="64">
        <v>9098</v>
      </c>
      <c r="C15" s="64">
        <v>9577</v>
      </c>
      <c r="D15" s="64">
        <v>9516</v>
      </c>
      <c r="E15" s="64">
        <v>9267</v>
      </c>
      <c r="F15" s="64">
        <v>9018</v>
      </c>
      <c r="G15" s="64">
        <v>8562</v>
      </c>
      <c r="H15" s="64">
        <v>7918</v>
      </c>
      <c r="I15" s="64">
        <v>7393</v>
      </c>
      <c r="J15" s="65">
        <v>6941</v>
      </c>
      <c r="L15" s="105"/>
      <c r="M15" s="105"/>
      <c r="N15" s="105"/>
      <c r="O15" s="105"/>
      <c r="P15" s="105"/>
      <c r="Q15" s="105"/>
      <c r="R15" s="105"/>
      <c r="S15" s="105"/>
      <c r="T15" s="105"/>
      <c r="U15" s="55"/>
    </row>
    <row r="16" spans="1:230" s="99" customFormat="1">
      <c r="A16" s="63" t="s">
        <v>85</v>
      </c>
      <c r="B16" s="64">
        <v>770</v>
      </c>
      <c r="C16" s="64">
        <v>768</v>
      </c>
      <c r="D16" s="64">
        <v>756</v>
      </c>
      <c r="E16" s="64">
        <v>730</v>
      </c>
      <c r="F16" s="64">
        <v>667</v>
      </c>
      <c r="G16" s="64">
        <v>640</v>
      </c>
      <c r="H16" s="64">
        <v>595</v>
      </c>
      <c r="I16" s="64">
        <v>554</v>
      </c>
      <c r="J16" s="65">
        <v>503</v>
      </c>
      <c r="L16" s="105"/>
      <c r="M16" s="105"/>
      <c r="N16" s="105"/>
      <c r="O16" s="105"/>
      <c r="P16" s="105"/>
      <c r="Q16" s="105"/>
      <c r="R16" s="105"/>
      <c r="S16" s="105"/>
      <c r="T16" s="105"/>
      <c r="U16" s="55"/>
    </row>
    <row r="17" spans="1:21" s="99" customFormat="1">
      <c r="A17" s="63" t="s">
        <v>86</v>
      </c>
      <c r="B17" s="64">
        <v>33316</v>
      </c>
      <c r="C17" s="64">
        <v>34191</v>
      </c>
      <c r="D17" s="64">
        <v>34226</v>
      </c>
      <c r="E17" s="64">
        <v>35962</v>
      </c>
      <c r="F17" s="64">
        <v>39135</v>
      </c>
      <c r="G17" s="64">
        <v>34699</v>
      </c>
      <c r="H17" s="64">
        <v>32174</v>
      </c>
      <c r="I17" s="64">
        <v>31328</v>
      </c>
      <c r="J17" s="65">
        <v>30743</v>
      </c>
      <c r="L17" s="105"/>
      <c r="M17" s="105"/>
      <c r="N17" s="105"/>
      <c r="O17" s="105"/>
      <c r="P17" s="105"/>
      <c r="Q17" s="105"/>
      <c r="R17" s="105"/>
      <c r="S17" s="105"/>
      <c r="T17" s="105"/>
      <c r="U17" s="55"/>
    </row>
    <row r="18" spans="1:21" s="99" customFormat="1">
      <c r="A18" s="63" t="s">
        <v>87</v>
      </c>
      <c r="B18" s="64">
        <v>1959</v>
      </c>
      <c r="C18" s="64">
        <v>1944</v>
      </c>
      <c r="D18" s="64">
        <v>2121</v>
      </c>
      <c r="E18" s="64">
        <v>2190</v>
      </c>
      <c r="F18" s="64">
        <v>2200</v>
      </c>
      <c r="G18" s="64">
        <v>2080</v>
      </c>
      <c r="H18" s="64">
        <v>1491</v>
      </c>
      <c r="I18" s="64">
        <v>1428</v>
      </c>
      <c r="J18" s="65">
        <v>1161</v>
      </c>
      <c r="L18" s="105"/>
      <c r="M18" s="105"/>
      <c r="N18" s="105"/>
      <c r="O18" s="105"/>
      <c r="P18" s="105"/>
      <c r="Q18" s="105"/>
      <c r="R18" s="105"/>
      <c r="S18" s="105"/>
      <c r="T18" s="105"/>
      <c r="U18" s="55"/>
    </row>
    <row r="19" spans="1:21" s="99" customFormat="1">
      <c r="A19" s="63" t="s">
        <v>88</v>
      </c>
      <c r="B19" s="64">
        <v>4551</v>
      </c>
      <c r="C19" s="64">
        <v>4797</v>
      </c>
      <c r="D19" s="64">
        <v>4979</v>
      </c>
      <c r="E19" s="64">
        <v>5406</v>
      </c>
      <c r="F19" s="64">
        <v>5936</v>
      </c>
      <c r="G19" s="64">
        <v>6301</v>
      </c>
      <c r="H19" s="64">
        <v>6840</v>
      </c>
      <c r="I19" s="64">
        <v>8690</v>
      </c>
      <c r="J19" s="65">
        <v>8480</v>
      </c>
      <c r="L19" s="105"/>
      <c r="M19" s="105"/>
      <c r="N19" s="105"/>
      <c r="O19" s="105"/>
      <c r="P19" s="105"/>
      <c r="Q19" s="105"/>
      <c r="R19" s="105"/>
      <c r="S19" s="105"/>
      <c r="T19" s="105"/>
      <c r="U19" s="55"/>
    </row>
    <row r="20" spans="1:21" s="99" customFormat="1">
      <c r="A20" s="67" t="s">
        <v>89</v>
      </c>
      <c r="B20" s="64">
        <v>1015</v>
      </c>
      <c r="C20" s="64">
        <v>730</v>
      </c>
      <c r="D20" s="64">
        <v>307</v>
      </c>
      <c r="E20" s="64">
        <v>1264</v>
      </c>
      <c r="F20" s="64">
        <v>1159</v>
      </c>
      <c r="G20" s="64">
        <v>1468</v>
      </c>
      <c r="H20" s="64">
        <v>1333</v>
      </c>
      <c r="I20" s="64">
        <v>1246</v>
      </c>
      <c r="J20" s="65">
        <v>939</v>
      </c>
      <c r="L20" s="105"/>
      <c r="M20" s="105"/>
      <c r="N20" s="105"/>
      <c r="O20" s="105"/>
      <c r="P20" s="105"/>
      <c r="Q20" s="105"/>
      <c r="R20" s="105"/>
      <c r="S20" s="105"/>
      <c r="T20" s="105"/>
      <c r="U20" s="55"/>
    </row>
    <row r="21" spans="1:21" s="99" customFormat="1">
      <c r="A21" s="63" t="s">
        <v>90</v>
      </c>
      <c r="B21" s="64">
        <v>2671</v>
      </c>
      <c r="C21" s="64">
        <v>2760</v>
      </c>
      <c r="D21" s="64">
        <v>2524</v>
      </c>
      <c r="E21" s="64">
        <v>2534</v>
      </c>
      <c r="F21" s="64">
        <v>2370</v>
      </c>
      <c r="G21" s="64">
        <v>2276</v>
      </c>
      <c r="H21" s="64">
        <v>2135</v>
      </c>
      <c r="I21" s="64">
        <v>1941</v>
      </c>
      <c r="J21" s="65">
        <v>1783</v>
      </c>
      <c r="L21" s="105"/>
      <c r="M21" s="105"/>
      <c r="N21" s="105"/>
      <c r="O21" s="105"/>
      <c r="P21" s="105"/>
      <c r="Q21" s="105"/>
      <c r="R21" s="105"/>
      <c r="S21" s="105"/>
      <c r="T21" s="105"/>
      <c r="U21" s="55"/>
    </row>
    <row r="22" spans="1:21" s="99" customFormat="1">
      <c r="A22" s="63" t="s">
        <v>91</v>
      </c>
      <c r="B22" s="64">
        <v>1613</v>
      </c>
      <c r="C22" s="64">
        <v>1616</v>
      </c>
      <c r="D22" s="64">
        <v>1530</v>
      </c>
      <c r="E22" s="64">
        <v>1549</v>
      </c>
      <c r="F22" s="64">
        <v>1527</v>
      </c>
      <c r="G22" s="64">
        <v>1550</v>
      </c>
      <c r="H22" s="64">
        <v>2499</v>
      </c>
      <c r="I22" s="64">
        <v>1404</v>
      </c>
      <c r="J22" s="65">
        <v>1174</v>
      </c>
      <c r="L22" s="105"/>
      <c r="M22" s="105"/>
      <c r="N22" s="105"/>
      <c r="O22" s="105"/>
      <c r="P22" s="105"/>
      <c r="Q22" s="105"/>
      <c r="R22" s="105"/>
      <c r="S22" s="105"/>
      <c r="T22" s="105"/>
      <c r="U22" s="55"/>
    </row>
    <row r="23" spans="1:21" s="99" customFormat="1">
      <c r="A23" s="63" t="s">
        <v>92</v>
      </c>
      <c r="B23" s="64">
        <v>8625</v>
      </c>
      <c r="C23" s="64">
        <v>8626</v>
      </c>
      <c r="D23" s="64">
        <v>8276</v>
      </c>
      <c r="E23" s="64">
        <v>9029</v>
      </c>
      <c r="F23" s="64">
        <v>8847</v>
      </c>
      <c r="G23" s="64">
        <v>7577</v>
      </c>
      <c r="H23" s="64">
        <v>7221</v>
      </c>
      <c r="I23" s="64">
        <v>6983</v>
      </c>
      <c r="J23" s="65">
        <v>6960</v>
      </c>
      <c r="L23" s="105"/>
      <c r="M23" s="105"/>
      <c r="N23" s="105"/>
      <c r="O23" s="105"/>
      <c r="P23" s="105"/>
      <c r="Q23" s="105"/>
      <c r="R23" s="105"/>
      <c r="S23" s="105"/>
      <c r="T23" s="105"/>
      <c r="U23" s="55"/>
    </row>
    <row r="24" spans="1:21" s="99" customFormat="1">
      <c r="A24" s="63" t="s">
        <v>93</v>
      </c>
      <c r="B24" s="64">
        <v>24307</v>
      </c>
      <c r="C24" s="64">
        <v>25158</v>
      </c>
      <c r="D24" s="64">
        <v>25243</v>
      </c>
      <c r="E24" s="64">
        <v>25859</v>
      </c>
      <c r="F24" s="64">
        <v>25780</v>
      </c>
      <c r="G24" s="64">
        <v>24729</v>
      </c>
      <c r="H24" s="64">
        <v>24491</v>
      </c>
      <c r="I24" s="64">
        <v>24040</v>
      </c>
      <c r="J24" s="65">
        <v>23551</v>
      </c>
      <c r="L24" s="105"/>
      <c r="M24" s="105"/>
      <c r="N24" s="105"/>
      <c r="O24" s="105"/>
      <c r="P24" s="105"/>
      <c r="Q24" s="105"/>
      <c r="R24" s="105"/>
      <c r="S24" s="105"/>
      <c r="T24" s="105"/>
      <c r="U24" s="55"/>
    </row>
    <row r="25" spans="1:21" s="99" customFormat="1">
      <c r="A25" s="63" t="s">
        <v>94</v>
      </c>
      <c r="B25" s="64">
        <v>12796</v>
      </c>
      <c r="C25" s="64">
        <v>13182</v>
      </c>
      <c r="D25" s="64">
        <v>13416</v>
      </c>
      <c r="E25" s="64">
        <v>13948</v>
      </c>
      <c r="F25" s="64">
        <v>13794</v>
      </c>
      <c r="G25" s="64">
        <v>13392</v>
      </c>
      <c r="H25" s="64">
        <v>13118</v>
      </c>
      <c r="I25" s="64">
        <v>12915</v>
      </c>
      <c r="J25" s="65">
        <v>12632</v>
      </c>
      <c r="L25" s="105"/>
      <c r="M25" s="105"/>
      <c r="N25" s="105"/>
      <c r="O25" s="105"/>
      <c r="P25" s="105"/>
      <c r="Q25" s="105"/>
      <c r="R25" s="105"/>
      <c r="S25" s="105"/>
      <c r="T25" s="105"/>
      <c r="U25" s="55"/>
    </row>
    <row r="26" spans="1:21" s="99" customFormat="1">
      <c r="A26" s="63" t="s">
        <v>95</v>
      </c>
      <c r="B26" s="64">
        <v>9320</v>
      </c>
      <c r="C26" s="64">
        <v>9566</v>
      </c>
      <c r="D26" s="64">
        <v>9677</v>
      </c>
      <c r="E26" s="64">
        <v>9967</v>
      </c>
      <c r="F26" s="64">
        <v>10025</v>
      </c>
      <c r="G26" s="64">
        <v>9590</v>
      </c>
      <c r="H26" s="64">
        <v>9377</v>
      </c>
      <c r="I26" s="64">
        <v>9189</v>
      </c>
      <c r="J26" s="65">
        <v>9000</v>
      </c>
      <c r="L26" s="105"/>
      <c r="M26" s="105"/>
      <c r="N26" s="105"/>
      <c r="O26" s="105"/>
      <c r="P26" s="105"/>
      <c r="Q26" s="105"/>
      <c r="R26" s="105"/>
      <c r="S26" s="105"/>
      <c r="T26" s="105"/>
      <c r="U26" s="55"/>
    </row>
    <row r="27" spans="1:21" s="99" customFormat="1">
      <c r="A27" s="63" t="s">
        <v>96</v>
      </c>
      <c r="B27" s="64">
        <v>5132</v>
      </c>
      <c r="C27" s="64">
        <v>4766</v>
      </c>
      <c r="D27" s="64">
        <v>4733</v>
      </c>
      <c r="E27" s="64">
        <v>4568</v>
      </c>
      <c r="F27" s="64">
        <v>4150</v>
      </c>
      <c r="G27" s="64">
        <v>4071</v>
      </c>
      <c r="H27" s="64">
        <v>3845</v>
      </c>
      <c r="I27" s="64">
        <v>3704</v>
      </c>
      <c r="J27" s="65">
        <v>3460</v>
      </c>
      <c r="L27" s="105"/>
      <c r="M27" s="105"/>
      <c r="N27" s="105"/>
      <c r="O27" s="105"/>
      <c r="P27" s="105"/>
      <c r="Q27" s="105"/>
      <c r="R27" s="105"/>
      <c r="S27" s="105"/>
      <c r="T27" s="105"/>
      <c r="U27" s="55"/>
    </row>
    <row r="28" spans="1:21" s="99" customFormat="1">
      <c r="A28" s="63" t="s">
        <v>97</v>
      </c>
      <c r="B28" s="68">
        <v>1875</v>
      </c>
      <c r="C28" s="68">
        <v>1904</v>
      </c>
      <c r="D28" s="68">
        <v>2149</v>
      </c>
      <c r="E28" s="68">
        <v>2351</v>
      </c>
      <c r="F28" s="68">
        <v>2359</v>
      </c>
      <c r="G28" s="68">
        <v>2426</v>
      </c>
      <c r="H28" s="68">
        <v>2343</v>
      </c>
      <c r="I28" s="68">
        <v>2240</v>
      </c>
      <c r="J28" s="69">
        <v>2396</v>
      </c>
      <c r="L28" s="105"/>
      <c r="M28" s="105"/>
      <c r="N28" s="105"/>
      <c r="O28" s="105"/>
      <c r="P28" s="105"/>
      <c r="Q28" s="105"/>
      <c r="R28" s="105"/>
      <c r="S28" s="105"/>
      <c r="T28" s="105"/>
      <c r="U28" s="55"/>
    </row>
    <row r="29" spans="1:21" s="99" customFormat="1">
      <c r="A29" s="63" t="s">
        <v>98</v>
      </c>
      <c r="B29" s="68">
        <v>746</v>
      </c>
      <c r="C29" s="68">
        <v>766</v>
      </c>
      <c r="D29" s="68">
        <v>828</v>
      </c>
      <c r="E29" s="68">
        <v>827</v>
      </c>
      <c r="F29" s="68">
        <v>743</v>
      </c>
      <c r="G29" s="68">
        <v>891</v>
      </c>
      <c r="H29" s="68">
        <v>762</v>
      </c>
      <c r="I29" s="68">
        <v>726</v>
      </c>
      <c r="J29" s="69">
        <v>692</v>
      </c>
      <c r="L29" s="105"/>
      <c r="M29" s="105"/>
      <c r="N29" s="105"/>
      <c r="O29" s="105"/>
      <c r="P29" s="105"/>
      <c r="Q29" s="105"/>
      <c r="R29" s="105"/>
      <c r="S29" s="105"/>
      <c r="T29" s="105"/>
      <c r="U29" s="55"/>
    </row>
    <row r="30" spans="1:21" s="104" customFormat="1">
      <c r="A30" s="63" t="s">
        <v>99</v>
      </c>
      <c r="B30" s="68">
        <v>0</v>
      </c>
      <c r="C30" s="68">
        <v>0</v>
      </c>
      <c r="D30" s="68">
        <v>0</v>
      </c>
      <c r="E30" s="68">
        <v>0</v>
      </c>
      <c r="F30" s="68">
        <v>0</v>
      </c>
      <c r="G30" s="68">
        <v>1900</v>
      </c>
      <c r="H30" s="68">
        <v>2300</v>
      </c>
      <c r="I30" s="68">
        <v>2400</v>
      </c>
      <c r="J30" s="69">
        <v>2300</v>
      </c>
      <c r="L30" s="105"/>
      <c r="M30" s="105"/>
      <c r="N30" s="105"/>
      <c r="O30" s="105"/>
      <c r="P30" s="105"/>
      <c r="Q30" s="105"/>
      <c r="R30" s="105"/>
      <c r="S30" s="105"/>
      <c r="T30" s="105"/>
      <c r="U30" s="55"/>
    </row>
    <row r="31" spans="1:21" s="104" customFormat="1">
      <c r="A31" s="63" t="s">
        <v>100</v>
      </c>
      <c r="B31" s="68">
        <v>0</v>
      </c>
      <c r="C31" s="68">
        <v>0</v>
      </c>
      <c r="D31" s="68">
        <v>0</v>
      </c>
      <c r="E31" s="68">
        <v>0</v>
      </c>
      <c r="F31" s="68">
        <v>0</v>
      </c>
      <c r="G31" s="68">
        <v>100</v>
      </c>
      <c r="H31" s="68">
        <v>2900</v>
      </c>
      <c r="I31" s="68">
        <v>2800</v>
      </c>
      <c r="J31" s="69">
        <v>2500</v>
      </c>
      <c r="L31" s="105"/>
      <c r="M31" s="105"/>
      <c r="N31" s="105"/>
      <c r="O31" s="105"/>
      <c r="P31" s="105"/>
      <c r="Q31" s="105"/>
      <c r="R31" s="105"/>
      <c r="S31" s="105"/>
      <c r="T31" s="105"/>
      <c r="U31" s="55"/>
    </row>
    <row r="32" spans="1:21" s="99" customFormat="1">
      <c r="A32" s="63" t="s">
        <v>101</v>
      </c>
      <c r="B32" s="68">
        <v>0</v>
      </c>
      <c r="C32" s="68">
        <v>0</v>
      </c>
      <c r="D32" s="68">
        <v>0</v>
      </c>
      <c r="E32" s="68">
        <v>0</v>
      </c>
      <c r="F32" s="68">
        <v>0</v>
      </c>
      <c r="G32" s="68">
        <v>0</v>
      </c>
      <c r="H32" s="68">
        <v>0</v>
      </c>
      <c r="I32" s="68">
        <v>900</v>
      </c>
      <c r="J32" s="69">
        <v>0</v>
      </c>
      <c r="L32" s="105"/>
      <c r="M32" s="105"/>
      <c r="N32" s="105"/>
      <c r="O32" s="105"/>
      <c r="P32" s="105"/>
      <c r="Q32" s="105"/>
      <c r="R32" s="105"/>
      <c r="S32" s="105"/>
      <c r="T32" s="105"/>
      <c r="U32" s="55"/>
    </row>
    <row r="33" spans="1:21" s="110" customFormat="1">
      <c r="A33" s="70" t="s">
        <v>18</v>
      </c>
      <c r="B33" s="71">
        <v>313634</v>
      </c>
      <c r="C33" s="71">
        <v>322911</v>
      </c>
      <c r="D33" s="71">
        <v>328238</v>
      </c>
      <c r="E33" s="71">
        <v>343700</v>
      </c>
      <c r="F33" s="71">
        <v>346013</v>
      </c>
      <c r="G33" s="71">
        <v>332500</v>
      </c>
      <c r="H33" s="71">
        <v>326600</v>
      </c>
      <c r="I33" s="71">
        <v>322200</v>
      </c>
      <c r="J33" s="72">
        <v>313000</v>
      </c>
      <c r="L33" s="105"/>
      <c r="M33" s="105"/>
      <c r="N33" s="105"/>
      <c r="O33" s="105"/>
      <c r="P33" s="105"/>
      <c r="Q33" s="105"/>
      <c r="R33" s="105"/>
      <c r="S33" s="105"/>
      <c r="T33" s="105"/>
      <c r="U33" s="55"/>
    </row>
    <row r="34" spans="1:21" s="99" customFormat="1">
      <c r="A34" s="59" t="s">
        <v>102</v>
      </c>
      <c r="B34" s="60"/>
      <c r="C34" s="60"/>
      <c r="D34" s="60"/>
      <c r="E34" s="60"/>
      <c r="F34" s="60"/>
      <c r="G34" s="60"/>
      <c r="H34" s="60"/>
      <c r="I34" s="60"/>
      <c r="J34" s="61"/>
      <c r="L34" s="105"/>
      <c r="M34" s="105"/>
      <c r="N34" s="105"/>
      <c r="O34" s="105"/>
      <c r="P34" s="105"/>
      <c r="Q34" s="105"/>
      <c r="R34" s="105"/>
      <c r="S34" s="105"/>
      <c r="T34" s="105"/>
      <c r="U34" s="55"/>
    </row>
    <row r="35" spans="1:21" s="111" customFormat="1" ht="12">
      <c r="A35" s="63" t="s">
        <v>310</v>
      </c>
      <c r="B35" s="64">
        <v>9513</v>
      </c>
      <c r="C35" s="64">
        <v>11516</v>
      </c>
      <c r="D35" s="64">
        <v>11144</v>
      </c>
      <c r="E35" s="64">
        <v>10747</v>
      </c>
      <c r="F35" s="64">
        <v>-10425</v>
      </c>
      <c r="G35" s="64">
        <v>11553</v>
      </c>
      <c r="H35" s="64">
        <v>11882</v>
      </c>
      <c r="I35" s="64">
        <v>12121</v>
      </c>
      <c r="J35" s="65">
        <v>12346</v>
      </c>
      <c r="L35" s="105"/>
      <c r="M35" s="105"/>
      <c r="N35" s="105"/>
      <c r="O35" s="105"/>
      <c r="P35" s="105"/>
      <c r="Q35" s="105"/>
      <c r="R35" s="105"/>
      <c r="S35" s="105"/>
      <c r="T35" s="105"/>
      <c r="U35" s="55"/>
    </row>
    <row r="36" spans="1:21" s="99" customFormat="1" ht="12">
      <c r="A36" s="74" t="s">
        <v>311</v>
      </c>
      <c r="B36" s="64">
        <v>12760</v>
      </c>
      <c r="C36" s="64">
        <v>14908</v>
      </c>
      <c r="D36" s="64">
        <v>15680</v>
      </c>
      <c r="E36" s="64">
        <v>16707</v>
      </c>
      <c r="F36" s="64">
        <v>-11402</v>
      </c>
      <c r="G36" s="64">
        <v>19133</v>
      </c>
      <c r="H36" s="64">
        <v>19334</v>
      </c>
      <c r="I36" s="64">
        <v>20110</v>
      </c>
      <c r="J36" s="65">
        <v>20868</v>
      </c>
      <c r="L36" s="105"/>
      <c r="M36" s="105"/>
      <c r="N36" s="105"/>
      <c r="O36" s="105"/>
      <c r="P36" s="105"/>
      <c r="Q36" s="105"/>
      <c r="R36" s="105"/>
      <c r="S36" s="105"/>
      <c r="T36" s="105"/>
      <c r="U36" s="55"/>
    </row>
    <row r="37" spans="1:21" s="99" customFormat="1">
      <c r="A37" s="63" t="s">
        <v>80</v>
      </c>
      <c r="B37" s="64">
        <v>158</v>
      </c>
      <c r="C37" s="64">
        <v>726</v>
      </c>
      <c r="D37" s="64">
        <v>631</v>
      </c>
      <c r="E37" s="64">
        <v>1117</v>
      </c>
      <c r="F37" s="64">
        <v>987</v>
      </c>
      <c r="G37" s="64">
        <v>1314</v>
      </c>
      <c r="H37" s="64">
        <v>1310</v>
      </c>
      <c r="I37" s="64">
        <v>1400</v>
      </c>
      <c r="J37" s="65">
        <v>1339</v>
      </c>
      <c r="L37" s="105"/>
      <c r="M37" s="105"/>
      <c r="N37" s="105"/>
      <c r="O37" s="105"/>
      <c r="P37" s="105"/>
      <c r="Q37" s="105"/>
      <c r="R37" s="105"/>
      <c r="S37" s="105"/>
      <c r="T37" s="105"/>
      <c r="U37" s="55"/>
    </row>
    <row r="38" spans="1:21" s="99" customFormat="1">
      <c r="A38" s="67" t="s">
        <v>81</v>
      </c>
      <c r="B38" s="64">
        <v>409</v>
      </c>
      <c r="C38" s="64">
        <v>347</v>
      </c>
      <c r="D38" s="64">
        <v>643</v>
      </c>
      <c r="E38" s="64">
        <v>256</v>
      </c>
      <c r="F38" s="64">
        <v>-145</v>
      </c>
      <c r="G38" s="64">
        <v>-232</v>
      </c>
      <c r="H38" s="64">
        <v>383</v>
      </c>
      <c r="I38" s="64">
        <v>409</v>
      </c>
      <c r="J38" s="65">
        <v>416</v>
      </c>
      <c r="L38" s="105"/>
      <c r="M38" s="105"/>
      <c r="N38" s="105"/>
      <c r="O38" s="105"/>
      <c r="P38" s="105"/>
      <c r="Q38" s="105"/>
      <c r="R38" s="105"/>
      <c r="S38" s="105"/>
      <c r="T38" s="105"/>
      <c r="U38" s="55"/>
    </row>
    <row r="39" spans="1:21" s="99" customFormat="1">
      <c r="A39" s="63" t="s">
        <v>105</v>
      </c>
      <c r="B39" s="64">
        <v>1147</v>
      </c>
      <c r="C39" s="64">
        <v>905</v>
      </c>
      <c r="D39" s="64">
        <v>692</v>
      </c>
      <c r="E39" s="64">
        <v>292</v>
      </c>
      <c r="F39" s="64">
        <v>1111</v>
      </c>
      <c r="G39" s="64">
        <v>291</v>
      </c>
      <c r="H39" s="64">
        <v>284</v>
      </c>
      <c r="I39" s="64">
        <v>277</v>
      </c>
      <c r="J39" s="65">
        <v>270</v>
      </c>
      <c r="L39" s="105"/>
      <c r="M39" s="105"/>
      <c r="N39" s="105"/>
      <c r="O39" s="105"/>
      <c r="P39" s="105"/>
      <c r="Q39" s="105"/>
      <c r="R39" s="105"/>
      <c r="S39" s="105"/>
      <c r="T39" s="105"/>
      <c r="U39" s="55"/>
    </row>
    <row r="40" spans="1:21" s="99" customFormat="1">
      <c r="A40" s="63" t="s">
        <v>82</v>
      </c>
      <c r="B40" s="64">
        <v>-1031</v>
      </c>
      <c r="C40" s="64">
        <v>-838</v>
      </c>
      <c r="D40" s="64">
        <v>-455</v>
      </c>
      <c r="E40" s="64">
        <v>468</v>
      </c>
      <c r="F40" s="64">
        <v>-827</v>
      </c>
      <c r="G40" s="64">
        <v>-1014</v>
      </c>
      <c r="H40" s="64">
        <v>-1228</v>
      </c>
      <c r="I40" s="64">
        <v>-1262</v>
      </c>
      <c r="J40" s="65">
        <v>-1865</v>
      </c>
      <c r="L40" s="105"/>
      <c r="M40" s="105"/>
      <c r="N40" s="105"/>
      <c r="O40" s="105"/>
      <c r="P40" s="105"/>
      <c r="Q40" s="105"/>
      <c r="R40" s="105"/>
      <c r="S40" s="105"/>
      <c r="T40" s="105"/>
      <c r="U40" s="55"/>
    </row>
    <row r="41" spans="1:21" s="99" customFormat="1">
      <c r="A41" s="63" t="s">
        <v>83</v>
      </c>
      <c r="B41" s="64">
        <v>346</v>
      </c>
      <c r="C41" s="64">
        <v>393</v>
      </c>
      <c r="D41" s="64">
        <v>747</v>
      </c>
      <c r="E41" s="64">
        <v>702</v>
      </c>
      <c r="F41" s="64">
        <v>920</v>
      </c>
      <c r="G41" s="64">
        <v>968</v>
      </c>
      <c r="H41" s="64">
        <v>1075</v>
      </c>
      <c r="I41" s="64">
        <v>1124</v>
      </c>
      <c r="J41" s="65">
        <v>1168</v>
      </c>
      <c r="L41" s="105"/>
      <c r="M41" s="105"/>
      <c r="N41" s="105"/>
      <c r="O41" s="105"/>
      <c r="P41" s="105"/>
      <c r="Q41" s="105"/>
      <c r="R41" s="105"/>
      <c r="S41" s="105"/>
      <c r="T41" s="105"/>
      <c r="U41" s="55"/>
    </row>
    <row r="42" spans="1:21" s="99" customFormat="1">
      <c r="A42" s="63" t="s">
        <v>84</v>
      </c>
      <c r="B42" s="64">
        <v>-164</v>
      </c>
      <c r="C42" s="64">
        <v>-67</v>
      </c>
      <c r="D42" s="64">
        <v>471</v>
      </c>
      <c r="E42" s="64">
        <v>643</v>
      </c>
      <c r="F42" s="64">
        <v>323</v>
      </c>
      <c r="G42" s="64">
        <v>223</v>
      </c>
      <c r="H42" s="64">
        <v>214</v>
      </c>
      <c r="I42" s="64">
        <v>220</v>
      </c>
      <c r="J42" s="65">
        <v>214</v>
      </c>
      <c r="L42" s="105"/>
      <c r="M42" s="105"/>
      <c r="N42" s="105"/>
      <c r="O42" s="105"/>
      <c r="P42" s="105"/>
      <c r="Q42" s="105"/>
      <c r="R42" s="105"/>
      <c r="S42" s="105"/>
      <c r="T42" s="105"/>
      <c r="U42" s="55"/>
    </row>
    <row r="43" spans="1:21" s="99" customFormat="1">
      <c r="A43" s="63" t="s">
        <v>85</v>
      </c>
      <c r="B43" s="64">
        <v>-1</v>
      </c>
      <c r="C43" s="64">
        <v>8</v>
      </c>
      <c r="D43" s="64">
        <v>12</v>
      </c>
      <c r="E43" s="64">
        <v>16</v>
      </c>
      <c r="F43" s="64">
        <v>-12</v>
      </c>
      <c r="G43" s="64">
        <v>10</v>
      </c>
      <c r="H43" s="64">
        <v>10</v>
      </c>
      <c r="I43" s="64">
        <v>7</v>
      </c>
      <c r="J43" s="65">
        <v>6</v>
      </c>
      <c r="L43" s="105"/>
      <c r="M43" s="105"/>
      <c r="N43" s="105"/>
      <c r="O43" s="105"/>
      <c r="P43" s="105"/>
      <c r="Q43" s="105"/>
      <c r="R43" s="105"/>
      <c r="S43" s="105"/>
      <c r="T43" s="105"/>
      <c r="U43" s="55"/>
    </row>
    <row r="44" spans="1:21" s="99" customFormat="1" ht="12">
      <c r="A44" s="63" t="s">
        <v>312</v>
      </c>
      <c r="B44" s="64">
        <v>5450</v>
      </c>
      <c r="C44" s="64">
        <v>6312</v>
      </c>
      <c r="D44" s="64">
        <v>6389</v>
      </c>
      <c r="E44" s="64">
        <v>8132</v>
      </c>
      <c r="F44" s="64">
        <v>-727</v>
      </c>
      <c r="G44" s="64">
        <v>9207</v>
      </c>
      <c r="H44" s="64">
        <v>9429</v>
      </c>
      <c r="I44" s="64">
        <v>9536</v>
      </c>
      <c r="J44" s="65">
        <v>9642</v>
      </c>
      <c r="L44" s="105"/>
      <c r="M44" s="105"/>
      <c r="N44" s="105"/>
      <c r="O44" s="105"/>
      <c r="P44" s="105"/>
      <c r="Q44" s="105"/>
      <c r="R44" s="105"/>
      <c r="S44" s="105"/>
      <c r="T44" s="105"/>
      <c r="U44" s="55"/>
    </row>
    <row r="45" spans="1:21" s="99" customFormat="1">
      <c r="A45" s="63" t="s">
        <v>87</v>
      </c>
      <c r="B45" s="64">
        <v>69</v>
      </c>
      <c r="C45" s="64">
        <v>26</v>
      </c>
      <c r="D45" s="64">
        <v>-10</v>
      </c>
      <c r="E45" s="64">
        <v>89</v>
      </c>
      <c r="F45" s="64">
        <v>34</v>
      </c>
      <c r="G45" s="64">
        <v>73</v>
      </c>
      <c r="H45" s="64">
        <v>71</v>
      </c>
      <c r="I45" s="64">
        <v>69</v>
      </c>
      <c r="J45" s="65">
        <v>67</v>
      </c>
      <c r="L45" s="105"/>
      <c r="M45" s="105"/>
      <c r="N45" s="105"/>
      <c r="O45" s="105"/>
      <c r="P45" s="105"/>
      <c r="Q45" s="105"/>
      <c r="R45" s="105"/>
      <c r="S45" s="105"/>
      <c r="T45" s="105"/>
      <c r="U45" s="55"/>
    </row>
    <row r="46" spans="1:21" s="99" customFormat="1">
      <c r="A46" s="63" t="s">
        <v>88</v>
      </c>
      <c r="B46" s="64">
        <v>461</v>
      </c>
      <c r="C46" s="64">
        <v>-12</v>
      </c>
      <c r="D46" s="64">
        <v>223</v>
      </c>
      <c r="E46" s="64">
        <v>337</v>
      </c>
      <c r="F46" s="64">
        <v>177</v>
      </c>
      <c r="G46" s="64">
        <v>271</v>
      </c>
      <c r="H46" s="64">
        <v>245</v>
      </c>
      <c r="I46" s="64">
        <v>114</v>
      </c>
      <c r="J46" s="65">
        <v>142</v>
      </c>
      <c r="L46" s="105"/>
      <c r="M46" s="105"/>
      <c r="N46" s="105"/>
      <c r="O46" s="105"/>
      <c r="P46" s="105"/>
      <c r="Q46" s="105"/>
      <c r="R46" s="105"/>
      <c r="S46" s="105"/>
      <c r="T46" s="105"/>
      <c r="U46" s="55"/>
    </row>
    <row r="47" spans="1:21" s="99" customFormat="1">
      <c r="A47" s="67" t="s">
        <v>89</v>
      </c>
      <c r="B47" s="64">
        <v>7581</v>
      </c>
      <c r="C47" s="64">
        <v>7822</v>
      </c>
      <c r="D47" s="64">
        <v>2515</v>
      </c>
      <c r="E47" s="64">
        <v>758</v>
      </c>
      <c r="F47" s="64">
        <v>5132</v>
      </c>
      <c r="G47" s="64">
        <v>540</v>
      </c>
      <c r="H47" s="64">
        <v>438</v>
      </c>
      <c r="I47" s="64">
        <v>389</v>
      </c>
      <c r="J47" s="65">
        <v>450</v>
      </c>
      <c r="L47" s="105"/>
      <c r="M47" s="105"/>
      <c r="N47" s="105"/>
      <c r="O47" s="105"/>
      <c r="P47" s="105"/>
      <c r="Q47" s="105"/>
      <c r="R47" s="105"/>
      <c r="S47" s="105"/>
      <c r="T47" s="105"/>
      <c r="U47" s="55"/>
    </row>
    <row r="48" spans="1:21" s="99" customFormat="1">
      <c r="A48" s="63" t="s">
        <v>90</v>
      </c>
      <c r="B48" s="64">
        <v>273</v>
      </c>
      <c r="C48" s="64">
        <v>-18</v>
      </c>
      <c r="D48" s="64">
        <v>-59</v>
      </c>
      <c r="E48" s="64">
        <v>-74</v>
      </c>
      <c r="F48" s="64">
        <v>-250</v>
      </c>
      <c r="G48" s="64">
        <v>51</v>
      </c>
      <c r="H48" s="64">
        <v>16</v>
      </c>
      <c r="I48" s="64">
        <v>14</v>
      </c>
      <c r="J48" s="65">
        <v>-51</v>
      </c>
      <c r="L48" s="105"/>
      <c r="M48" s="105"/>
      <c r="N48" s="105"/>
      <c r="O48" s="105"/>
      <c r="P48" s="105"/>
      <c r="Q48" s="105"/>
      <c r="R48" s="105"/>
      <c r="S48" s="105"/>
      <c r="T48" s="105"/>
      <c r="U48" s="55"/>
    </row>
    <row r="49" spans="1:21" s="99" customFormat="1">
      <c r="A49" s="63" t="s">
        <v>91</v>
      </c>
      <c r="B49" s="64">
        <v>4019</v>
      </c>
      <c r="C49" s="64">
        <v>4132</v>
      </c>
      <c r="D49" s="64">
        <v>4071</v>
      </c>
      <c r="E49" s="64">
        <v>4175</v>
      </c>
      <c r="F49" s="64">
        <v>4080</v>
      </c>
      <c r="G49" s="64">
        <v>3818</v>
      </c>
      <c r="H49" s="64">
        <v>3602</v>
      </c>
      <c r="I49" s="64">
        <v>3700</v>
      </c>
      <c r="J49" s="65">
        <v>3433</v>
      </c>
      <c r="L49" s="105"/>
      <c r="M49" s="105"/>
      <c r="N49" s="105"/>
      <c r="O49" s="105"/>
      <c r="P49" s="105"/>
      <c r="Q49" s="105"/>
      <c r="R49" s="105"/>
      <c r="S49" s="105"/>
      <c r="T49" s="105"/>
      <c r="U49" s="55"/>
    </row>
    <row r="50" spans="1:21" s="99" customFormat="1">
      <c r="A50" s="63" t="s">
        <v>92</v>
      </c>
      <c r="B50" s="64">
        <v>131789</v>
      </c>
      <c r="C50" s="64">
        <v>136931</v>
      </c>
      <c r="D50" s="64">
        <v>141626</v>
      </c>
      <c r="E50" s="64">
        <v>150859</v>
      </c>
      <c r="F50" s="64">
        <v>151330</v>
      </c>
      <c r="G50" s="64">
        <v>153008</v>
      </c>
      <c r="H50" s="64">
        <v>154447</v>
      </c>
      <c r="I50" s="64">
        <v>151314</v>
      </c>
      <c r="J50" s="65">
        <v>150804</v>
      </c>
      <c r="L50" s="105"/>
      <c r="M50" s="105"/>
      <c r="N50" s="105"/>
      <c r="O50" s="105"/>
      <c r="P50" s="105"/>
      <c r="Q50" s="105"/>
      <c r="R50" s="105"/>
      <c r="S50" s="105"/>
      <c r="T50" s="105"/>
      <c r="U50" s="55"/>
    </row>
    <row r="51" spans="1:21" s="99" customFormat="1">
      <c r="A51" s="63" t="s">
        <v>93</v>
      </c>
      <c r="B51" s="64">
        <v>1683</v>
      </c>
      <c r="C51" s="64">
        <v>2334</v>
      </c>
      <c r="D51" s="64">
        <v>2611</v>
      </c>
      <c r="E51" s="64">
        <v>2400</v>
      </c>
      <c r="F51" s="64">
        <v>3381</v>
      </c>
      <c r="G51" s="64">
        <v>2970</v>
      </c>
      <c r="H51" s="64">
        <v>3050</v>
      </c>
      <c r="I51" s="64">
        <v>3128</v>
      </c>
      <c r="J51" s="65">
        <v>3208</v>
      </c>
      <c r="L51" s="105"/>
      <c r="M51" s="105"/>
      <c r="N51" s="105"/>
      <c r="O51" s="105"/>
      <c r="P51" s="105"/>
      <c r="Q51" s="105"/>
      <c r="R51" s="105"/>
      <c r="S51" s="105"/>
      <c r="T51" s="105"/>
      <c r="U51" s="55"/>
    </row>
    <row r="52" spans="1:21" s="99" customFormat="1">
      <c r="A52" s="63" t="s">
        <v>94</v>
      </c>
      <c r="B52" s="64">
        <v>20</v>
      </c>
      <c r="C52" s="64">
        <v>-67</v>
      </c>
      <c r="D52" s="64">
        <v>144</v>
      </c>
      <c r="E52" s="64">
        <v>444</v>
      </c>
      <c r="F52" s="64">
        <v>53</v>
      </c>
      <c r="G52" s="64">
        <v>76</v>
      </c>
      <c r="H52" s="64">
        <v>-6</v>
      </c>
      <c r="I52" s="64">
        <v>-16</v>
      </c>
      <c r="J52" s="65">
        <v>-40</v>
      </c>
      <c r="L52" s="105"/>
      <c r="M52" s="105"/>
      <c r="N52" s="105"/>
      <c r="O52" s="105"/>
      <c r="P52" s="105"/>
      <c r="Q52" s="105"/>
      <c r="R52" s="105"/>
      <c r="S52" s="105"/>
      <c r="T52" s="105"/>
      <c r="U52" s="55"/>
    </row>
    <row r="53" spans="1:21" s="99" customFormat="1">
      <c r="A53" s="63" t="s">
        <v>95</v>
      </c>
      <c r="B53" s="64">
        <v>9990</v>
      </c>
      <c r="C53" s="64">
        <v>6639</v>
      </c>
      <c r="D53" s="64">
        <v>6789</v>
      </c>
      <c r="E53" s="64">
        <v>7438</v>
      </c>
      <c r="F53" s="64">
        <v>6232</v>
      </c>
      <c r="G53" s="64">
        <v>7654</v>
      </c>
      <c r="H53" s="64">
        <v>7607</v>
      </c>
      <c r="I53" s="64">
        <v>7524</v>
      </c>
      <c r="J53" s="65">
        <v>7497</v>
      </c>
      <c r="L53" s="105"/>
      <c r="M53" s="105"/>
      <c r="N53" s="105"/>
      <c r="O53" s="105"/>
      <c r="P53" s="105"/>
      <c r="Q53" s="105"/>
      <c r="R53" s="105"/>
      <c r="S53" s="105"/>
      <c r="T53" s="105"/>
      <c r="U53" s="55"/>
    </row>
    <row r="54" spans="1:21" s="104" customFormat="1">
      <c r="A54" s="63" t="s">
        <v>96</v>
      </c>
      <c r="B54" s="64">
        <v>32591</v>
      </c>
      <c r="C54" s="64">
        <v>33681</v>
      </c>
      <c r="D54" s="64">
        <v>80843</v>
      </c>
      <c r="E54" s="64">
        <v>9865</v>
      </c>
      <c r="F54" s="64">
        <v>28601</v>
      </c>
      <c r="G54" s="64">
        <v>39560</v>
      </c>
      <c r="H54" s="64">
        <v>41249</v>
      </c>
      <c r="I54" s="64">
        <v>38895</v>
      </c>
      <c r="J54" s="65">
        <v>38224</v>
      </c>
      <c r="L54" s="105"/>
      <c r="M54" s="105"/>
      <c r="N54" s="105"/>
      <c r="O54" s="105"/>
      <c r="P54" s="105"/>
      <c r="Q54" s="105"/>
      <c r="R54" s="105"/>
      <c r="S54" s="105"/>
      <c r="T54" s="105"/>
      <c r="U54" s="55"/>
    </row>
    <row r="55" spans="1:21" s="112" customFormat="1" ht="12">
      <c r="A55" s="63" t="s">
        <v>313</v>
      </c>
      <c r="B55" s="64">
        <v>6687</v>
      </c>
      <c r="C55" s="64">
        <v>8201</v>
      </c>
      <c r="D55" s="64">
        <v>7506</v>
      </c>
      <c r="E55" s="64">
        <v>7703</v>
      </c>
      <c r="F55" s="64">
        <v>-7467</v>
      </c>
      <c r="G55" s="64">
        <v>8440</v>
      </c>
      <c r="H55" s="64">
        <v>9111</v>
      </c>
      <c r="I55" s="64">
        <v>-2376</v>
      </c>
      <c r="J55" s="65">
        <v>-2211</v>
      </c>
      <c r="L55" s="105"/>
      <c r="M55" s="105"/>
      <c r="N55" s="105"/>
      <c r="O55" s="105"/>
      <c r="P55" s="105"/>
      <c r="Q55" s="105"/>
      <c r="R55" s="105"/>
      <c r="S55" s="105"/>
      <c r="T55" s="105"/>
      <c r="U55" s="55"/>
    </row>
    <row r="56" spans="1:21">
      <c r="A56" s="63" t="s">
        <v>98</v>
      </c>
      <c r="B56" s="64">
        <v>58</v>
      </c>
      <c r="C56" s="64">
        <v>30</v>
      </c>
      <c r="D56" s="64">
        <v>16</v>
      </c>
      <c r="E56" s="64">
        <v>62</v>
      </c>
      <c r="F56" s="64">
        <v>38</v>
      </c>
      <c r="G56" s="64">
        <v>13</v>
      </c>
      <c r="H56" s="64">
        <v>12</v>
      </c>
      <c r="I56" s="64">
        <v>15</v>
      </c>
      <c r="J56" s="65">
        <v>15</v>
      </c>
      <c r="L56" s="105"/>
      <c r="M56" s="105"/>
      <c r="N56" s="105"/>
      <c r="O56" s="105"/>
      <c r="P56" s="105"/>
      <c r="Q56" s="105"/>
      <c r="R56" s="105"/>
      <c r="S56" s="105"/>
      <c r="T56" s="105"/>
    </row>
    <row r="57" spans="1:21">
      <c r="A57" s="77" t="s">
        <v>29</v>
      </c>
      <c r="B57" s="78">
        <v>223807</v>
      </c>
      <c r="C57" s="78">
        <v>233910</v>
      </c>
      <c r="D57" s="78">
        <v>282229</v>
      </c>
      <c r="E57" s="78">
        <v>223137</v>
      </c>
      <c r="F57" s="78">
        <v>171145</v>
      </c>
      <c r="G57" s="78">
        <v>257927</v>
      </c>
      <c r="H57" s="78">
        <v>262538</v>
      </c>
      <c r="I57" s="78">
        <v>246713</v>
      </c>
      <c r="J57" s="79">
        <v>245942</v>
      </c>
      <c r="L57" s="105"/>
      <c r="M57" s="105"/>
      <c r="N57" s="105"/>
      <c r="O57" s="105"/>
      <c r="P57" s="105"/>
      <c r="Q57" s="105"/>
      <c r="R57" s="105"/>
      <c r="S57" s="105"/>
      <c r="T57" s="105"/>
    </row>
    <row r="58" spans="1:21" ht="11.25" customHeight="1" thickBot="1">
      <c r="A58" s="80" t="s">
        <v>106</v>
      </c>
      <c r="B58" s="81">
        <v>537441</v>
      </c>
      <c r="C58" s="81">
        <v>556820</v>
      </c>
      <c r="D58" s="81">
        <v>610467</v>
      </c>
      <c r="E58" s="81">
        <v>566837</v>
      </c>
      <c r="F58" s="81">
        <v>517158</v>
      </c>
      <c r="G58" s="81">
        <v>590500</v>
      </c>
      <c r="H58" s="81">
        <v>589200</v>
      </c>
      <c r="I58" s="81">
        <v>568900</v>
      </c>
      <c r="J58" s="82">
        <v>559000</v>
      </c>
      <c r="L58" s="105"/>
      <c r="M58" s="105"/>
      <c r="N58" s="105"/>
      <c r="O58" s="105"/>
      <c r="P58" s="105"/>
      <c r="Q58" s="105"/>
      <c r="R58" s="105"/>
      <c r="S58" s="105"/>
      <c r="T58" s="105"/>
    </row>
    <row r="59" spans="1:21" ht="24" customHeight="1">
      <c r="A59" s="259" t="s">
        <v>297</v>
      </c>
      <c r="B59" s="259"/>
      <c r="C59" s="259"/>
      <c r="D59" s="259"/>
      <c r="E59" s="259"/>
      <c r="F59" s="259"/>
      <c r="G59" s="259"/>
      <c r="H59" s="259"/>
      <c r="I59" s="259"/>
      <c r="J59" s="259"/>
    </row>
    <row r="60" spans="1:21" ht="12.75" customHeight="1">
      <c r="A60" s="260" t="s">
        <v>107</v>
      </c>
      <c r="B60" s="260"/>
      <c r="C60" s="260"/>
      <c r="D60" s="260"/>
      <c r="E60" s="260"/>
      <c r="F60" s="260"/>
      <c r="G60" s="260"/>
      <c r="H60" s="260"/>
      <c r="I60" s="260"/>
      <c r="J60" s="260"/>
    </row>
    <row r="61" spans="1:21" ht="12" customHeight="1">
      <c r="A61" s="260" t="s">
        <v>108</v>
      </c>
      <c r="B61" s="260"/>
      <c r="C61" s="260"/>
      <c r="D61" s="260"/>
      <c r="E61" s="260"/>
      <c r="F61" s="260"/>
      <c r="G61" s="260"/>
      <c r="H61" s="260"/>
      <c r="I61" s="260"/>
      <c r="J61" s="260"/>
    </row>
    <row r="62" spans="1:21" ht="24" customHeight="1">
      <c r="A62" s="261" t="s">
        <v>309</v>
      </c>
      <c r="B62" s="261"/>
      <c r="C62" s="261"/>
      <c r="D62" s="261"/>
      <c r="E62" s="261"/>
      <c r="F62" s="261"/>
      <c r="G62" s="261"/>
      <c r="H62" s="261"/>
      <c r="I62" s="261"/>
      <c r="J62" s="261"/>
    </row>
  </sheetData>
  <mergeCells count="5">
    <mergeCell ref="B3:F3"/>
    <mergeCell ref="A60:J60"/>
    <mergeCell ref="A61:J61"/>
    <mergeCell ref="A59:J59"/>
    <mergeCell ref="A62:J62"/>
  </mergeCells>
  <pageMargins left="0.98425196850393704" right="0.98425196850393704" top="0.98425196850393704" bottom="0.98425196850393704" header="0.51181102362204722" footer="0.51181102362204722"/>
  <pageSetup paperSize="9" orientation="landscape" r:id="rId1"/>
  <headerFooter alignWithMargins="0"/>
  <rowBreaks count="1" manualBreakCount="1">
    <brk id="33" max="9" man="1"/>
  </rowBreaks>
</worksheet>
</file>

<file path=xl/worksheets/sheet6.xml><?xml version="1.0" encoding="utf-8"?>
<worksheet xmlns="http://schemas.openxmlformats.org/spreadsheetml/2006/main" xmlns:r="http://schemas.openxmlformats.org/officeDocument/2006/relationships">
  <sheetPr>
    <pageSetUpPr autoPageBreaks="0"/>
  </sheetPr>
  <dimension ref="A1:HR38"/>
  <sheetViews>
    <sheetView showGridLines="0" zoomScaleNormal="100" zoomScaleSheetLayoutView="85" workbookViewId="0">
      <selection activeCell="A33" sqref="A33"/>
    </sheetView>
  </sheetViews>
  <sheetFormatPr defaultColWidth="10.1640625" defaultRowHeight="11.25"/>
  <cols>
    <col min="1" max="1" width="46.6640625" style="109" customWidth="1"/>
    <col min="2" max="5" width="12.1640625" style="109" customWidth="1"/>
    <col min="6" max="6" width="10.1640625" style="107"/>
    <col min="7" max="8" width="10.1640625" style="132"/>
    <col min="9" max="16384" width="10.1640625" style="107"/>
  </cols>
  <sheetData>
    <row r="1" spans="1:226" s="113" customFormat="1" ht="16.5">
      <c r="A1" s="87" t="s">
        <v>117</v>
      </c>
      <c r="B1" s="87"/>
      <c r="C1" s="87"/>
      <c r="D1" s="87"/>
      <c r="E1" s="87"/>
      <c r="G1" s="114"/>
      <c r="H1" s="114"/>
    </row>
    <row r="2" spans="1:226" s="92" customFormat="1" ht="12" thickBot="1">
      <c r="A2" s="89"/>
      <c r="B2" s="89"/>
      <c r="C2" s="89"/>
      <c r="D2" s="89"/>
      <c r="G2" s="115"/>
      <c r="H2" s="115"/>
      <c r="J2" s="93" t="s">
        <v>1</v>
      </c>
    </row>
    <row r="3" spans="1:226"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row>
    <row r="4" spans="1:226"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row>
    <row r="5" spans="1:226"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row>
    <row r="6" spans="1:226" s="99" customFormat="1">
      <c r="A6" s="98" t="s">
        <v>103</v>
      </c>
      <c r="B6" s="64">
        <v>339</v>
      </c>
      <c r="C6" s="64">
        <v>352</v>
      </c>
      <c r="D6" s="64">
        <v>378</v>
      </c>
      <c r="E6" s="64">
        <v>391</v>
      </c>
      <c r="F6" s="64">
        <v>406</v>
      </c>
      <c r="G6" s="64">
        <v>509</v>
      </c>
      <c r="H6" s="64">
        <v>474</v>
      </c>
      <c r="I6" s="64">
        <v>442</v>
      </c>
      <c r="J6" s="65">
        <v>411</v>
      </c>
      <c r="L6" s="116"/>
    </row>
    <row r="7" spans="1:226" s="99" customFormat="1">
      <c r="A7" s="98" t="s">
        <v>104</v>
      </c>
      <c r="B7" s="64">
        <v>4163</v>
      </c>
      <c r="C7" s="64">
        <v>4520</v>
      </c>
      <c r="D7" s="64">
        <v>4800</v>
      </c>
      <c r="E7" s="64">
        <v>5080</v>
      </c>
      <c r="F7" s="64">
        <v>5470</v>
      </c>
      <c r="G7" s="64">
        <v>4916</v>
      </c>
      <c r="H7" s="64">
        <v>4426</v>
      </c>
      <c r="I7" s="64">
        <v>4153</v>
      </c>
      <c r="J7" s="65">
        <v>4166</v>
      </c>
      <c r="L7" s="116"/>
    </row>
    <row r="8" spans="1:226" s="99" customFormat="1">
      <c r="A8" s="98" t="s">
        <v>80</v>
      </c>
      <c r="B8" s="64">
        <v>286</v>
      </c>
      <c r="C8" s="64">
        <v>283</v>
      </c>
      <c r="D8" s="64">
        <v>273</v>
      </c>
      <c r="E8" s="64">
        <v>275</v>
      </c>
      <c r="F8" s="64">
        <v>278</v>
      </c>
      <c r="G8" s="64">
        <v>285</v>
      </c>
      <c r="H8" s="64">
        <v>265</v>
      </c>
      <c r="I8" s="64">
        <v>246</v>
      </c>
      <c r="J8" s="65">
        <v>229</v>
      </c>
      <c r="L8" s="116"/>
    </row>
    <row r="9" spans="1:226" s="99" customFormat="1">
      <c r="A9" s="100" t="s">
        <v>81</v>
      </c>
      <c r="B9" s="64">
        <v>478</v>
      </c>
      <c r="C9" s="64">
        <v>451</v>
      </c>
      <c r="D9" s="64">
        <v>503</v>
      </c>
      <c r="E9" s="64">
        <v>487</v>
      </c>
      <c r="F9" s="64">
        <v>437</v>
      </c>
      <c r="G9" s="64">
        <v>419</v>
      </c>
      <c r="H9" s="64">
        <v>380</v>
      </c>
      <c r="I9" s="64">
        <v>343</v>
      </c>
      <c r="J9" s="65">
        <v>309</v>
      </c>
      <c r="L9" s="116"/>
    </row>
    <row r="10" spans="1:226" s="99" customFormat="1">
      <c r="A10" s="98" t="s">
        <v>82</v>
      </c>
      <c r="B10" s="64">
        <v>808</v>
      </c>
      <c r="C10" s="64">
        <v>797</v>
      </c>
      <c r="D10" s="64">
        <v>861</v>
      </c>
      <c r="E10" s="64">
        <v>909</v>
      </c>
      <c r="F10" s="64">
        <v>397</v>
      </c>
      <c r="G10" s="64">
        <v>945</v>
      </c>
      <c r="H10" s="64">
        <v>793</v>
      </c>
      <c r="I10" s="64">
        <v>749</v>
      </c>
      <c r="J10" s="65">
        <v>721</v>
      </c>
      <c r="L10" s="116"/>
    </row>
    <row r="11" spans="1:226" s="99" customFormat="1">
      <c r="A11" s="98" t="s">
        <v>83</v>
      </c>
      <c r="B11" s="64">
        <v>662</v>
      </c>
      <c r="C11" s="64">
        <v>639</v>
      </c>
      <c r="D11" s="64">
        <v>626</v>
      </c>
      <c r="E11" s="64">
        <v>770</v>
      </c>
      <c r="F11" s="64">
        <v>674</v>
      </c>
      <c r="G11" s="64">
        <v>693</v>
      </c>
      <c r="H11" s="64">
        <v>649</v>
      </c>
      <c r="I11" s="64">
        <v>605</v>
      </c>
      <c r="J11" s="65">
        <v>572</v>
      </c>
      <c r="L11" s="116"/>
    </row>
    <row r="12" spans="1:226" s="99" customFormat="1">
      <c r="A12" s="98" t="s">
        <v>84</v>
      </c>
      <c r="B12" s="64">
        <v>428</v>
      </c>
      <c r="C12" s="64">
        <v>448</v>
      </c>
      <c r="D12" s="64">
        <v>444</v>
      </c>
      <c r="E12" s="64">
        <v>419</v>
      </c>
      <c r="F12" s="64">
        <v>382</v>
      </c>
      <c r="G12" s="64">
        <v>712</v>
      </c>
      <c r="H12" s="64">
        <v>654</v>
      </c>
      <c r="I12" s="64">
        <v>609</v>
      </c>
      <c r="J12" s="65">
        <v>566</v>
      </c>
      <c r="L12" s="116"/>
    </row>
    <row r="13" spans="1:226" s="99" customFormat="1">
      <c r="A13" s="98" t="s">
        <v>85</v>
      </c>
      <c r="B13" s="64">
        <v>61</v>
      </c>
      <c r="C13" s="64">
        <v>98</v>
      </c>
      <c r="D13" s="64">
        <v>66</v>
      </c>
      <c r="E13" s="64">
        <v>66</v>
      </c>
      <c r="F13" s="64">
        <v>47</v>
      </c>
      <c r="G13" s="64">
        <v>63</v>
      </c>
      <c r="H13" s="64">
        <v>61</v>
      </c>
      <c r="I13" s="64">
        <v>56</v>
      </c>
      <c r="J13" s="65">
        <v>50</v>
      </c>
      <c r="L13" s="116"/>
    </row>
    <row r="14" spans="1:226" s="99" customFormat="1" ht="12">
      <c r="A14" s="98" t="s">
        <v>118</v>
      </c>
      <c r="B14" s="64">
        <v>2750</v>
      </c>
      <c r="C14" s="64">
        <v>2773</v>
      </c>
      <c r="D14" s="64">
        <v>2923</v>
      </c>
      <c r="E14" s="64">
        <v>2859</v>
      </c>
      <c r="F14" s="64">
        <v>1998</v>
      </c>
      <c r="G14" s="64">
        <v>2025</v>
      </c>
      <c r="H14" s="64">
        <v>1877</v>
      </c>
      <c r="I14" s="64">
        <v>1736</v>
      </c>
      <c r="J14" s="65">
        <v>1598</v>
      </c>
      <c r="L14" s="116"/>
    </row>
    <row r="15" spans="1:226" s="99" customFormat="1">
      <c r="A15" s="98" t="s">
        <v>87</v>
      </c>
      <c r="B15" s="64">
        <v>268</v>
      </c>
      <c r="C15" s="64">
        <v>242</v>
      </c>
      <c r="D15" s="64">
        <v>269</v>
      </c>
      <c r="E15" s="64">
        <v>318</v>
      </c>
      <c r="F15" s="64">
        <v>352</v>
      </c>
      <c r="G15" s="64">
        <v>248</v>
      </c>
      <c r="H15" s="64">
        <v>230</v>
      </c>
      <c r="I15" s="64">
        <v>215</v>
      </c>
      <c r="J15" s="65">
        <v>202</v>
      </c>
      <c r="L15" s="116"/>
    </row>
    <row r="16" spans="1:226" s="99" customFormat="1">
      <c r="A16" s="98" t="s">
        <v>88</v>
      </c>
      <c r="B16" s="64">
        <v>144</v>
      </c>
      <c r="C16" s="64">
        <v>156</v>
      </c>
      <c r="D16" s="64">
        <v>166</v>
      </c>
      <c r="E16" s="64">
        <v>158</v>
      </c>
      <c r="F16" s="64">
        <v>148</v>
      </c>
      <c r="G16" s="64">
        <v>144</v>
      </c>
      <c r="H16" s="64">
        <v>133</v>
      </c>
      <c r="I16" s="64">
        <v>124</v>
      </c>
      <c r="J16" s="65">
        <v>115</v>
      </c>
      <c r="L16" s="116"/>
    </row>
    <row r="17" spans="1:12" s="99" customFormat="1">
      <c r="A17" s="100" t="s">
        <v>89</v>
      </c>
      <c r="B17" s="64">
        <v>149</v>
      </c>
      <c r="C17" s="64">
        <v>182</v>
      </c>
      <c r="D17" s="64">
        <v>199</v>
      </c>
      <c r="E17" s="64">
        <v>201</v>
      </c>
      <c r="F17" s="64">
        <v>199</v>
      </c>
      <c r="G17" s="64">
        <v>221</v>
      </c>
      <c r="H17" s="64">
        <v>204</v>
      </c>
      <c r="I17" s="64">
        <v>189</v>
      </c>
      <c r="J17" s="65">
        <v>175</v>
      </c>
      <c r="L17" s="116"/>
    </row>
    <row r="18" spans="1:12" s="99" customFormat="1">
      <c r="A18" s="98" t="s">
        <v>90</v>
      </c>
      <c r="B18" s="64">
        <v>803</v>
      </c>
      <c r="C18" s="64">
        <v>790</v>
      </c>
      <c r="D18" s="64">
        <v>757</v>
      </c>
      <c r="E18" s="64">
        <v>739</v>
      </c>
      <c r="F18" s="64">
        <v>736</v>
      </c>
      <c r="G18" s="64">
        <v>729</v>
      </c>
      <c r="H18" s="64">
        <v>649</v>
      </c>
      <c r="I18" s="64">
        <v>609</v>
      </c>
      <c r="J18" s="65">
        <v>578</v>
      </c>
      <c r="L18" s="116"/>
    </row>
    <row r="19" spans="1:12" s="99" customFormat="1">
      <c r="A19" s="98" t="s">
        <v>91</v>
      </c>
      <c r="B19" s="64">
        <v>50</v>
      </c>
      <c r="C19" s="64">
        <v>51</v>
      </c>
      <c r="D19" s="64">
        <v>53</v>
      </c>
      <c r="E19" s="64">
        <v>54</v>
      </c>
      <c r="F19" s="64">
        <v>50</v>
      </c>
      <c r="G19" s="64">
        <v>181</v>
      </c>
      <c r="H19" s="64">
        <v>166</v>
      </c>
      <c r="I19" s="64">
        <v>145</v>
      </c>
      <c r="J19" s="65">
        <v>132</v>
      </c>
      <c r="L19" s="116"/>
    </row>
    <row r="20" spans="1:12" s="99" customFormat="1">
      <c r="A20" s="98" t="s">
        <v>92</v>
      </c>
      <c r="B20" s="64">
        <v>5874</v>
      </c>
      <c r="C20" s="64">
        <v>5723</v>
      </c>
      <c r="D20" s="64">
        <v>5667</v>
      </c>
      <c r="E20" s="64">
        <v>6063</v>
      </c>
      <c r="F20" s="64">
        <v>5620</v>
      </c>
      <c r="G20" s="64">
        <v>1720</v>
      </c>
      <c r="H20" s="64">
        <v>1530</v>
      </c>
      <c r="I20" s="64">
        <v>1310</v>
      </c>
      <c r="J20" s="65">
        <v>1241</v>
      </c>
      <c r="L20" s="116"/>
    </row>
    <row r="21" spans="1:12" s="99" customFormat="1">
      <c r="A21" s="98" t="s">
        <v>119</v>
      </c>
      <c r="B21" s="64">
        <v>28</v>
      </c>
      <c r="C21" s="64">
        <v>30</v>
      </c>
      <c r="D21" s="64">
        <v>31</v>
      </c>
      <c r="E21" s="64">
        <v>30</v>
      </c>
      <c r="F21" s="64">
        <v>28</v>
      </c>
      <c r="G21" s="64">
        <v>27</v>
      </c>
      <c r="H21" s="64">
        <v>26</v>
      </c>
      <c r="I21" s="64">
        <v>25</v>
      </c>
      <c r="J21" s="65">
        <v>22</v>
      </c>
      <c r="L21" s="116"/>
    </row>
    <row r="22" spans="1:12" s="99" customFormat="1">
      <c r="A22" s="98" t="s">
        <v>96</v>
      </c>
      <c r="B22" s="64">
        <v>4152</v>
      </c>
      <c r="C22" s="64">
        <v>3963</v>
      </c>
      <c r="D22" s="64">
        <v>3948</v>
      </c>
      <c r="E22" s="64">
        <v>3868</v>
      </c>
      <c r="F22" s="64">
        <v>3575</v>
      </c>
      <c r="G22" s="64">
        <v>1329</v>
      </c>
      <c r="H22" s="64">
        <v>1249</v>
      </c>
      <c r="I22" s="64">
        <v>1163</v>
      </c>
      <c r="J22" s="65">
        <v>1093</v>
      </c>
      <c r="L22" s="116"/>
    </row>
    <row r="23" spans="1:12" s="99" customFormat="1">
      <c r="A23" s="98" t="s">
        <v>97</v>
      </c>
      <c r="B23" s="64">
        <v>277</v>
      </c>
      <c r="C23" s="64">
        <v>264</v>
      </c>
      <c r="D23" s="64">
        <v>325</v>
      </c>
      <c r="E23" s="64">
        <v>304</v>
      </c>
      <c r="F23" s="64">
        <v>307</v>
      </c>
      <c r="G23" s="64">
        <v>294</v>
      </c>
      <c r="H23" s="64">
        <v>274</v>
      </c>
      <c r="I23" s="64">
        <v>245</v>
      </c>
      <c r="J23" s="65">
        <v>231</v>
      </c>
      <c r="K23" s="111"/>
      <c r="L23" s="116"/>
    </row>
    <row r="24" spans="1:12" s="111" customFormat="1" ht="12">
      <c r="A24" s="117" t="s">
        <v>120</v>
      </c>
      <c r="B24" s="118">
        <v>81</v>
      </c>
      <c r="C24" s="118">
        <v>74</v>
      </c>
      <c r="D24" s="118">
        <v>81</v>
      </c>
      <c r="E24" s="118">
        <v>80</v>
      </c>
      <c r="F24" s="118">
        <v>74</v>
      </c>
      <c r="G24" s="118">
        <v>82</v>
      </c>
      <c r="H24" s="118">
        <v>74</v>
      </c>
      <c r="I24" s="118">
        <v>62</v>
      </c>
      <c r="J24" s="119">
        <v>61</v>
      </c>
      <c r="K24" s="120"/>
      <c r="L24" s="116"/>
    </row>
    <row r="25" spans="1:12" s="120" customFormat="1">
      <c r="A25" s="121" t="s">
        <v>121</v>
      </c>
      <c r="B25" s="122">
        <v>21721</v>
      </c>
      <c r="C25" s="122">
        <v>21761</v>
      </c>
      <c r="D25" s="122">
        <v>22290</v>
      </c>
      <c r="E25" s="122">
        <v>22990</v>
      </c>
      <c r="F25" s="122">
        <v>21103</v>
      </c>
      <c r="G25" s="122">
        <v>15458</v>
      </c>
      <c r="H25" s="122">
        <v>14040</v>
      </c>
      <c r="I25" s="122">
        <v>12965</v>
      </c>
      <c r="J25" s="123">
        <v>12411</v>
      </c>
      <c r="K25" s="111"/>
      <c r="L25" s="116"/>
    </row>
    <row r="26" spans="1:12" s="111" customFormat="1">
      <c r="A26" s="124" t="s">
        <v>122</v>
      </c>
      <c r="B26" s="125">
        <v>13769</v>
      </c>
      <c r="C26" s="125">
        <v>13999</v>
      </c>
      <c r="D26" s="125">
        <v>14059</v>
      </c>
      <c r="E26" s="125">
        <v>14632</v>
      </c>
      <c r="F26" s="125">
        <v>13101</v>
      </c>
      <c r="G26" s="125">
        <v>9073</v>
      </c>
      <c r="H26" s="125">
        <v>7346</v>
      </c>
      <c r="I26" s="125">
        <v>6779</v>
      </c>
      <c r="J26" s="126">
        <v>6360</v>
      </c>
      <c r="K26" s="127"/>
      <c r="L26" s="116"/>
    </row>
    <row r="27" spans="1:12" s="127" customFormat="1" ht="24" thickBot="1">
      <c r="A27" s="128" t="s">
        <v>123</v>
      </c>
      <c r="B27" s="129">
        <v>3.9E-2</v>
      </c>
      <c r="C27" s="129">
        <v>3.6999999999999998E-2</v>
      </c>
      <c r="D27" s="129">
        <v>3.5000000000000003E-2</v>
      </c>
      <c r="E27" s="129">
        <v>3.4000000000000002E-2</v>
      </c>
      <c r="F27" s="129">
        <v>3.1E-2</v>
      </c>
      <c r="G27" s="129">
        <v>2.1999999999999999E-2</v>
      </c>
      <c r="H27" s="129">
        <v>1.9E-2</v>
      </c>
      <c r="I27" s="129">
        <v>1.7999999999999999E-2</v>
      </c>
      <c r="J27" s="130">
        <v>1.7000000000000001E-2</v>
      </c>
      <c r="K27" s="107"/>
      <c r="L27" s="116"/>
    </row>
    <row r="28" spans="1:12" ht="11.25" customHeight="1">
      <c r="A28" s="263" t="s">
        <v>124</v>
      </c>
      <c r="B28" s="263"/>
      <c r="C28" s="263"/>
      <c r="D28" s="263"/>
      <c r="E28" s="263"/>
      <c r="F28" s="263"/>
      <c r="G28" s="263"/>
      <c r="H28" s="263"/>
      <c r="I28" s="263"/>
      <c r="J28" s="263"/>
    </row>
    <row r="29" spans="1:12" ht="11.25" customHeight="1">
      <c r="A29" s="262" t="s">
        <v>125</v>
      </c>
      <c r="B29" s="262"/>
      <c r="C29" s="262"/>
      <c r="D29" s="262"/>
      <c r="E29" s="262"/>
      <c r="F29" s="262"/>
      <c r="G29" s="262"/>
      <c r="H29" s="262"/>
      <c r="I29" s="262"/>
      <c r="J29" s="262"/>
    </row>
    <row r="30" spans="1:12">
      <c r="A30" s="262"/>
      <c r="B30" s="262"/>
      <c r="C30" s="262"/>
      <c r="D30" s="262"/>
      <c r="E30" s="262"/>
      <c r="F30" s="262"/>
      <c r="G30" s="262"/>
      <c r="H30" s="262"/>
      <c r="I30" s="262"/>
      <c r="J30" s="262"/>
    </row>
    <row r="31" spans="1:12">
      <c r="A31" s="133" t="s">
        <v>126</v>
      </c>
      <c r="B31" s="133"/>
      <c r="C31" s="133"/>
      <c r="D31" s="133"/>
      <c r="E31" s="133"/>
      <c r="F31" s="131"/>
      <c r="G31" s="107"/>
      <c r="H31" s="107"/>
    </row>
    <row r="32" spans="1:12">
      <c r="A32" s="134"/>
      <c r="B32" s="134"/>
      <c r="C32" s="134"/>
      <c r="D32" s="134"/>
      <c r="E32" s="134"/>
      <c r="F32" s="131"/>
    </row>
    <row r="33" spans="1:6">
      <c r="A33" s="134"/>
      <c r="B33" s="134"/>
      <c r="C33" s="134"/>
      <c r="D33" s="134"/>
      <c r="E33" s="134"/>
      <c r="F33" s="131"/>
    </row>
    <row r="34" spans="1:6">
      <c r="A34" s="134"/>
      <c r="B34" s="134"/>
      <c r="C34" s="134"/>
      <c r="D34" s="134"/>
      <c r="E34" s="134"/>
      <c r="F34" s="131"/>
    </row>
    <row r="35" spans="1:6">
      <c r="A35" s="134"/>
      <c r="B35" s="134"/>
      <c r="C35" s="134"/>
      <c r="D35" s="134"/>
      <c r="E35" s="134"/>
      <c r="F35" s="131"/>
    </row>
    <row r="36" spans="1:6">
      <c r="A36" s="134"/>
      <c r="B36" s="134"/>
      <c r="C36" s="134"/>
      <c r="D36" s="134"/>
      <c r="E36" s="134"/>
      <c r="F36" s="131"/>
    </row>
    <row r="37" spans="1:6">
      <c r="A37" s="134"/>
      <c r="B37" s="134"/>
      <c r="C37" s="134"/>
      <c r="D37" s="134"/>
      <c r="E37" s="134"/>
      <c r="F37" s="131"/>
    </row>
    <row r="38" spans="1:6">
      <c r="A38" s="134"/>
      <c r="B38" s="134"/>
      <c r="C38" s="134"/>
      <c r="D38" s="134"/>
      <c r="E38" s="134"/>
      <c r="F38" s="131"/>
    </row>
  </sheetData>
  <mergeCells count="3">
    <mergeCell ref="B3:F3"/>
    <mergeCell ref="A29:J30"/>
    <mergeCell ref="A28:J28"/>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autoPageBreaks="0"/>
  </sheetPr>
  <dimension ref="A1:HV49"/>
  <sheetViews>
    <sheetView showGridLines="0" zoomScaleNormal="100" zoomScaleSheetLayoutView="100" workbookViewId="0">
      <selection activeCell="H32" sqref="H32"/>
    </sheetView>
  </sheetViews>
  <sheetFormatPr defaultColWidth="10.1640625" defaultRowHeight="11.25"/>
  <cols>
    <col min="1" max="1" width="45.1640625" style="164" customWidth="1"/>
    <col min="2" max="5" width="10.1640625" style="164" customWidth="1"/>
    <col min="6" max="6" width="10.1640625" style="165"/>
    <col min="7" max="16384" width="10.1640625" style="166"/>
  </cols>
  <sheetData>
    <row r="1" spans="1:230" s="136" customFormat="1" ht="15">
      <c r="A1" s="57" t="s">
        <v>127</v>
      </c>
      <c r="B1" s="57"/>
      <c r="C1" s="57"/>
      <c r="D1" s="57"/>
      <c r="E1" s="57"/>
      <c r="F1" s="135"/>
    </row>
    <row r="2" spans="1:230" s="2" customFormat="1" ht="12" thickBot="1">
      <c r="A2" s="3"/>
      <c r="B2" s="3"/>
      <c r="C2" s="3"/>
      <c r="D2" s="3"/>
      <c r="E2" s="3"/>
      <c r="F2" s="3"/>
      <c r="G2" s="3"/>
      <c r="H2" s="3"/>
      <c r="I2" s="3"/>
      <c r="J2" s="4" t="s">
        <v>1</v>
      </c>
    </row>
    <row r="3" spans="1:230"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row>
    <row r="4" spans="1:230"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row>
    <row r="5" spans="1:230"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row>
    <row r="6" spans="1:230" s="140" customFormat="1">
      <c r="A6" s="137" t="s">
        <v>128</v>
      </c>
      <c r="B6" s="138"/>
      <c r="C6" s="138"/>
      <c r="D6" s="138"/>
      <c r="E6" s="138"/>
      <c r="F6" s="138"/>
      <c r="G6" s="138"/>
      <c r="H6" s="138"/>
      <c r="I6" s="138"/>
      <c r="J6" s="139"/>
    </row>
    <row r="7" spans="1:230" s="144" customFormat="1">
      <c r="A7" s="141" t="s">
        <v>103</v>
      </c>
      <c r="B7" s="142">
        <v>4056</v>
      </c>
      <c r="C7" s="142">
        <v>5226</v>
      </c>
      <c r="D7" s="142">
        <v>5525</v>
      </c>
      <c r="E7" s="142">
        <v>7443</v>
      </c>
      <c r="F7" s="142">
        <v>7127</v>
      </c>
      <c r="G7" s="142">
        <v>5059</v>
      </c>
      <c r="H7" s="142">
        <v>4213</v>
      </c>
      <c r="I7" s="142">
        <v>3266</v>
      </c>
      <c r="J7" s="143">
        <v>3378</v>
      </c>
    </row>
    <row r="8" spans="1:230" s="144" customFormat="1">
      <c r="A8" s="141" t="s">
        <v>104</v>
      </c>
      <c r="B8" s="142">
        <v>2996</v>
      </c>
      <c r="C8" s="142">
        <v>3969</v>
      </c>
      <c r="D8" s="142">
        <v>4370</v>
      </c>
      <c r="E8" s="142">
        <v>5183</v>
      </c>
      <c r="F8" s="142">
        <v>4200</v>
      </c>
      <c r="G8" s="142">
        <v>4429</v>
      </c>
      <c r="H8" s="142">
        <v>4429</v>
      </c>
      <c r="I8" s="142">
        <v>4437</v>
      </c>
      <c r="J8" s="143">
        <v>4648</v>
      </c>
    </row>
    <row r="9" spans="1:230" s="144" customFormat="1">
      <c r="A9" s="141" t="s">
        <v>80</v>
      </c>
      <c r="B9" s="142">
        <v>7095</v>
      </c>
      <c r="C9" s="142">
        <v>6740</v>
      </c>
      <c r="D9" s="142">
        <v>7252</v>
      </c>
      <c r="E9" s="142">
        <v>8253</v>
      </c>
      <c r="F9" s="142">
        <v>7386</v>
      </c>
      <c r="G9" s="142">
        <v>7732</v>
      </c>
      <c r="H9" s="142">
        <v>8083</v>
      </c>
      <c r="I9" s="142">
        <v>7481</v>
      </c>
      <c r="J9" s="143">
        <v>7518</v>
      </c>
    </row>
    <row r="10" spans="1:230" s="144" customFormat="1">
      <c r="A10" s="145" t="s">
        <v>81</v>
      </c>
      <c r="B10" s="142">
        <v>5602</v>
      </c>
      <c r="C10" s="142">
        <v>6234</v>
      </c>
      <c r="D10" s="142">
        <v>7109</v>
      </c>
      <c r="E10" s="142">
        <v>8935</v>
      </c>
      <c r="F10" s="142">
        <v>6420</v>
      </c>
      <c r="G10" s="142">
        <v>3463</v>
      </c>
      <c r="H10" s="142">
        <v>2293</v>
      </c>
      <c r="I10" s="142">
        <v>1814</v>
      </c>
      <c r="J10" s="143">
        <v>1961</v>
      </c>
    </row>
    <row r="11" spans="1:230" s="144" customFormat="1">
      <c r="A11" s="141" t="s">
        <v>105</v>
      </c>
      <c r="B11" s="142">
        <v>223</v>
      </c>
      <c r="C11" s="142">
        <v>32</v>
      </c>
      <c r="D11" s="142">
        <v>122</v>
      </c>
      <c r="E11" s="142">
        <v>260</v>
      </c>
      <c r="F11" s="142">
        <v>-67</v>
      </c>
      <c r="G11" s="142">
        <v>0</v>
      </c>
      <c r="H11" s="142">
        <v>0</v>
      </c>
      <c r="I11" s="142">
        <v>0</v>
      </c>
      <c r="J11" s="143">
        <v>0</v>
      </c>
    </row>
    <row r="12" spans="1:230" s="144" customFormat="1">
      <c r="A12" s="141" t="s">
        <v>82</v>
      </c>
      <c r="B12" s="142">
        <v>1939</v>
      </c>
      <c r="C12" s="142">
        <v>2109</v>
      </c>
      <c r="D12" s="142">
        <v>2131</v>
      </c>
      <c r="E12" s="142">
        <v>3031</v>
      </c>
      <c r="F12" s="142">
        <v>2073</v>
      </c>
      <c r="G12" s="142">
        <v>1182</v>
      </c>
      <c r="H12" s="142">
        <v>976</v>
      </c>
      <c r="I12" s="142">
        <v>750</v>
      </c>
      <c r="J12" s="143">
        <v>972</v>
      </c>
    </row>
    <row r="13" spans="1:230" s="144" customFormat="1">
      <c r="A13" s="141" t="s">
        <v>83</v>
      </c>
      <c r="B13" s="142">
        <v>600</v>
      </c>
      <c r="C13" s="142">
        <v>744</v>
      </c>
      <c r="D13" s="142">
        <v>836</v>
      </c>
      <c r="E13" s="142">
        <v>999</v>
      </c>
      <c r="F13" s="142">
        <v>740</v>
      </c>
      <c r="G13" s="142">
        <v>503</v>
      </c>
      <c r="H13" s="142">
        <v>501</v>
      </c>
      <c r="I13" s="142">
        <v>366</v>
      </c>
      <c r="J13" s="143">
        <v>466</v>
      </c>
    </row>
    <row r="14" spans="1:230" s="144" customFormat="1">
      <c r="A14" s="141" t="s">
        <v>84</v>
      </c>
      <c r="B14" s="142">
        <v>539</v>
      </c>
      <c r="C14" s="142">
        <v>755</v>
      </c>
      <c r="D14" s="142">
        <v>904</v>
      </c>
      <c r="E14" s="142">
        <v>853</v>
      </c>
      <c r="F14" s="142">
        <v>546</v>
      </c>
      <c r="G14" s="142">
        <v>434</v>
      </c>
      <c r="H14" s="142">
        <v>312</v>
      </c>
      <c r="I14" s="142">
        <v>280</v>
      </c>
      <c r="J14" s="143">
        <v>303</v>
      </c>
    </row>
    <row r="15" spans="1:230" s="144" customFormat="1">
      <c r="A15" s="141" t="s">
        <v>85</v>
      </c>
      <c r="B15" s="142">
        <v>11</v>
      </c>
      <c r="C15" s="142">
        <v>11</v>
      </c>
      <c r="D15" s="142">
        <v>9</v>
      </c>
      <c r="E15" s="142">
        <v>12</v>
      </c>
      <c r="F15" s="142">
        <v>8</v>
      </c>
      <c r="G15" s="142">
        <v>6</v>
      </c>
      <c r="H15" s="142">
        <v>6</v>
      </c>
      <c r="I15" s="142">
        <v>6</v>
      </c>
      <c r="J15" s="143">
        <v>7</v>
      </c>
    </row>
    <row r="16" spans="1:230" s="144" customFormat="1">
      <c r="A16" s="141" t="s">
        <v>86</v>
      </c>
      <c r="B16" s="142">
        <v>7193</v>
      </c>
      <c r="C16" s="142">
        <v>8608</v>
      </c>
      <c r="D16" s="142">
        <v>8980</v>
      </c>
      <c r="E16" s="142">
        <v>9210</v>
      </c>
      <c r="F16" s="142">
        <v>9436</v>
      </c>
      <c r="G16" s="142">
        <v>10031</v>
      </c>
      <c r="H16" s="142">
        <v>9136</v>
      </c>
      <c r="I16" s="142">
        <v>9191</v>
      </c>
      <c r="J16" s="143">
        <v>8749</v>
      </c>
    </row>
    <row r="17" spans="1:10" s="144" customFormat="1">
      <c r="A17" s="141" t="s">
        <v>87</v>
      </c>
      <c r="B17" s="142">
        <v>161</v>
      </c>
      <c r="C17" s="142">
        <v>228</v>
      </c>
      <c r="D17" s="142">
        <v>227</v>
      </c>
      <c r="E17" s="142">
        <v>201</v>
      </c>
      <c r="F17" s="142">
        <v>156</v>
      </c>
      <c r="G17" s="142">
        <v>107</v>
      </c>
      <c r="H17" s="142">
        <v>102</v>
      </c>
      <c r="I17" s="142">
        <v>102</v>
      </c>
      <c r="J17" s="143">
        <v>98</v>
      </c>
    </row>
    <row r="18" spans="1:10" s="144" customFormat="1">
      <c r="A18" s="141" t="s">
        <v>88</v>
      </c>
      <c r="B18" s="142">
        <v>765</v>
      </c>
      <c r="C18" s="142">
        <v>738</v>
      </c>
      <c r="D18" s="142">
        <v>875</v>
      </c>
      <c r="E18" s="142">
        <v>1353</v>
      </c>
      <c r="F18" s="142">
        <v>1558</v>
      </c>
      <c r="G18" s="142">
        <v>1394</v>
      </c>
      <c r="H18" s="142">
        <v>1635</v>
      </c>
      <c r="I18" s="142">
        <v>1924</v>
      </c>
      <c r="J18" s="143">
        <v>2044</v>
      </c>
    </row>
    <row r="19" spans="1:10" s="144" customFormat="1">
      <c r="A19" s="145" t="s">
        <v>89</v>
      </c>
      <c r="B19" s="142">
        <v>1464</v>
      </c>
      <c r="C19" s="142">
        <v>1486</v>
      </c>
      <c r="D19" s="142">
        <v>1667</v>
      </c>
      <c r="E19" s="142">
        <v>1807</v>
      </c>
      <c r="F19" s="142">
        <v>2014</v>
      </c>
      <c r="G19" s="142">
        <v>1507</v>
      </c>
      <c r="H19" s="142">
        <v>2013</v>
      </c>
      <c r="I19" s="142">
        <v>2208</v>
      </c>
      <c r="J19" s="143">
        <v>2711</v>
      </c>
    </row>
    <row r="20" spans="1:10" s="144" customFormat="1">
      <c r="A20" s="141" t="s">
        <v>90</v>
      </c>
      <c r="B20" s="142">
        <v>584</v>
      </c>
      <c r="C20" s="142">
        <v>557</v>
      </c>
      <c r="D20" s="142">
        <v>610</v>
      </c>
      <c r="E20" s="142">
        <v>693</v>
      </c>
      <c r="F20" s="142">
        <v>570</v>
      </c>
      <c r="G20" s="142">
        <v>373</v>
      </c>
      <c r="H20" s="142">
        <v>382</v>
      </c>
      <c r="I20" s="142">
        <v>380</v>
      </c>
      <c r="J20" s="143">
        <v>412</v>
      </c>
    </row>
    <row r="21" spans="1:10" s="144" customFormat="1">
      <c r="A21" s="141" t="s">
        <v>91</v>
      </c>
      <c r="B21" s="142">
        <v>287</v>
      </c>
      <c r="C21" s="142">
        <v>537</v>
      </c>
      <c r="D21" s="142">
        <v>823</v>
      </c>
      <c r="E21" s="142">
        <v>519</v>
      </c>
      <c r="F21" s="142">
        <v>578</v>
      </c>
      <c r="G21" s="142">
        <v>1375</v>
      </c>
      <c r="H21" s="142">
        <v>565</v>
      </c>
      <c r="I21" s="142">
        <v>175</v>
      </c>
      <c r="J21" s="143">
        <v>69</v>
      </c>
    </row>
    <row r="22" spans="1:10" s="144" customFormat="1">
      <c r="A22" s="141" t="s">
        <v>92</v>
      </c>
      <c r="B22" s="142">
        <v>202</v>
      </c>
      <c r="C22" s="142">
        <v>79</v>
      </c>
      <c r="D22" s="142">
        <v>86</v>
      </c>
      <c r="E22" s="142">
        <v>272</v>
      </c>
      <c r="F22" s="142">
        <v>322</v>
      </c>
      <c r="G22" s="142">
        <v>245</v>
      </c>
      <c r="H22" s="142">
        <v>324</v>
      </c>
      <c r="I22" s="142">
        <v>385</v>
      </c>
      <c r="J22" s="143">
        <v>242</v>
      </c>
    </row>
    <row r="23" spans="1:10" s="144" customFormat="1">
      <c r="A23" s="141" t="s">
        <v>93</v>
      </c>
      <c r="B23" s="142">
        <v>3030</v>
      </c>
      <c r="C23" s="142">
        <v>3563</v>
      </c>
      <c r="D23" s="142">
        <v>3333</v>
      </c>
      <c r="E23" s="142">
        <v>3927</v>
      </c>
      <c r="F23" s="142">
        <v>3287</v>
      </c>
      <c r="G23" s="142">
        <v>2540</v>
      </c>
      <c r="H23" s="142">
        <v>2475</v>
      </c>
      <c r="I23" s="142">
        <v>2237</v>
      </c>
      <c r="J23" s="143">
        <v>2318</v>
      </c>
    </row>
    <row r="24" spans="1:10" s="144" customFormat="1">
      <c r="A24" s="141" t="s">
        <v>94</v>
      </c>
      <c r="B24" s="142">
        <v>1318</v>
      </c>
      <c r="C24" s="142">
        <v>1462</v>
      </c>
      <c r="D24" s="142">
        <v>1627</v>
      </c>
      <c r="E24" s="142">
        <v>1930</v>
      </c>
      <c r="F24" s="142">
        <v>1751</v>
      </c>
      <c r="G24" s="142">
        <v>1288</v>
      </c>
      <c r="H24" s="142">
        <v>1189</v>
      </c>
      <c r="I24" s="142">
        <v>1065</v>
      </c>
      <c r="J24" s="143">
        <v>1106</v>
      </c>
    </row>
    <row r="25" spans="1:10" s="144" customFormat="1">
      <c r="A25" s="141" t="s">
        <v>95</v>
      </c>
      <c r="B25" s="142">
        <v>826</v>
      </c>
      <c r="C25" s="142">
        <v>1110</v>
      </c>
      <c r="D25" s="142">
        <v>1309</v>
      </c>
      <c r="E25" s="142">
        <v>1283</v>
      </c>
      <c r="F25" s="142">
        <v>1194</v>
      </c>
      <c r="G25" s="142">
        <v>915</v>
      </c>
      <c r="H25" s="142">
        <v>859</v>
      </c>
      <c r="I25" s="142">
        <v>781</v>
      </c>
      <c r="J25" s="143">
        <v>804</v>
      </c>
    </row>
    <row r="26" spans="1:10" s="144" customFormat="1">
      <c r="A26" s="141" t="s">
        <v>96</v>
      </c>
      <c r="B26" s="142">
        <v>299</v>
      </c>
      <c r="C26" s="142">
        <v>240</v>
      </c>
      <c r="D26" s="142">
        <v>282</v>
      </c>
      <c r="E26" s="142">
        <v>290</v>
      </c>
      <c r="F26" s="142">
        <v>213</v>
      </c>
      <c r="G26" s="142">
        <v>339</v>
      </c>
      <c r="H26" s="142">
        <v>170</v>
      </c>
      <c r="I26" s="142">
        <v>137</v>
      </c>
      <c r="J26" s="143">
        <v>134</v>
      </c>
    </row>
    <row r="27" spans="1:10" s="144" customFormat="1">
      <c r="A27" s="141" t="s">
        <v>97</v>
      </c>
      <c r="B27" s="142">
        <v>244</v>
      </c>
      <c r="C27" s="142">
        <v>320</v>
      </c>
      <c r="D27" s="142">
        <v>397</v>
      </c>
      <c r="E27" s="142">
        <v>455</v>
      </c>
      <c r="F27" s="144">
        <v>435</v>
      </c>
      <c r="G27" s="142">
        <v>401</v>
      </c>
      <c r="H27" s="142">
        <v>379</v>
      </c>
      <c r="I27" s="142">
        <v>387</v>
      </c>
      <c r="J27" s="143">
        <v>356</v>
      </c>
    </row>
    <row r="28" spans="1:10" s="144" customFormat="1">
      <c r="A28" s="141" t="s">
        <v>98</v>
      </c>
      <c r="B28" s="142">
        <v>51</v>
      </c>
      <c r="C28" s="142">
        <v>60</v>
      </c>
      <c r="D28" s="142">
        <v>37</v>
      </c>
      <c r="E28" s="142">
        <v>55</v>
      </c>
      <c r="F28" s="142">
        <v>57</v>
      </c>
      <c r="G28" s="142">
        <v>50</v>
      </c>
      <c r="H28" s="142">
        <v>68</v>
      </c>
      <c r="I28" s="142">
        <v>69</v>
      </c>
      <c r="J28" s="143">
        <v>76</v>
      </c>
    </row>
    <row r="29" spans="1:10" s="144" customFormat="1">
      <c r="A29" s="141" t="s">
        <v>99</v>
      </c>
      <c r="B29" s="142">
        <v>0</v>
      </c>
      <c r="C29" s="142">
        <v>0</v>
      </c>
      <c r="D29" s="142">
        <v>0</v>
      </c>
      <c r="E29" s="142">
        <v>0</v>
      </c>
      <c r="F29" s="144">
        <v>0</v>
      </c>
      <c r="G29" s="142">
        <v>900</v>
      </c>
      <c r="H29" s="142">
        <v>1000</v>
      </c>
      <c r="I29" s="142">
        <v>1000</v>
      </c>
      <c r="J29" s="143">
        <v>1100</v>
      </c>
    </row>
    <row r="30" spans="1:10" s="144" customFormat="1">
      <c r="A30" s="141" t="s">
        <v>100</v>
      </c>
      <c r="B30" s="142">
        <v>0</v>
      </c>
      <c r="C30" s="142">
        <v>0</v>
      </c>
      <c r="D30" s="142">
        <v>0</v>
      </c>
      <c r="E30" s="142">
        <v>0</v>
      </c>
      <c r="F30" s="142">
        <v>0</v>
      </c>
      <c r="G30" s="142">
        <v>200</v>
      </c>
      <c r="H30" s="142">
        <v>800</v>
      </c>
      <c r="I30" s="142">
        <v>800</v>
      </c>
      <c r="J30" s="143">
        <v>800</v>
      </c>
    </row>
    <row r="31" spans="1:10" s="144" customFormat="1">
      <c r="A31" s="141" t="s">
        <v>101</v>
      </c>
      <c r="B31" s="142">
        <v>0</v>
      </c>
      <c r="C31" s="142">
        <v>0</v>
      </c>
      <c r="D31" s="142">
        <v>0</v>
      </c>
      <c r="E31" s="142">
        <v>0</v>
      </c>
      <c r="F31" s="142">
        <v>0</v>
      </c>
      <c r="G31" s="142">
        <v>0</v>
      </c>
      <c r="H31" s="142">
        <v>800</v>
      </c>
      <c r="I31" s="142">
        <v>0</v>
      </c>
      <c r="J31" s="143">
        <v>0</v>
      </c>
    </row>
    <row r="32" spans="1:10" s="149" customFormat="1">
      <c r="A32" s="146" t="s">
        <v>40</v>
      </c>
      <c r="B32" s="147">
        <v>39482</v>
      </c>
      <c r="C32" s="147">
        <v>44806</v>
      </c>
      <c r="D32" s="147">
        <v>48510</v>
      </c>
      <c r="E32" s="147">
        <v>56963</v>
      </c>
      <c r="F32" s="147">
        <v>50005</v>
      </c>
      <c r="G32" s="147">
        <v>44500</v>
      </c>
      <c r="H32" s="147">
        <v>42600</v>
      </c>
      <c r="I32" s="147">
        <v>39200</v>
      </c>
      <c r="J32" s="148">
        <v>40300</v>
      </c>
    </row>
    <row r="33" spans="1:10" s="153" customFormat="1">
      <c r="A33" s="150" t="s">
        <v>129</v>
      </c>
      <c r="B33" s="151"/>
      <c r="C33" s="151"/>
      <c r="D33" s="151"/>
      <c r="E33" s="151"/>
      <c r="F33" s="151"/>
      <c r="G33" s="151"/>
      <c r="H33" s="151"/>
      <c r="I33" s="151"/>
      <c r="J33" s="152"/>
    </row>
    <row r="34" spans="1:10" s="156" customFormat="1">
      <c r="A34" s="141" t="s">
        <v>104</v>
      </c>
      <c r="B34" s="154">
        <v>89</v>
      </c>
      <c r="C34" s="154">
        <v>37</v>
      </c>
      <c r="D34" s="154">
        <v>14</v>
      </c>
      <c r="E34" s="154">
        <v>6</v>
      </c>
      <c r="F34" s="154">
        <v>8</v>
      </c>
      <c r="G34" s="154">
        <v>0</v>
      </c>
      <c r="H34" s="154">
        <v>0</v>
      </c>
      <c r="I34" s="154">
        <v>0</v>
      </c>
      <c r="J34" s="155">
        <v>0</v>
      </c>
    </row>
    <row r="35" spans="1:10" s="144" customFormat="1">
      <c r="A35" s="141" t="s">
        <v>81</v>
      </c>
      <c r="B35" s="154">
        <v>543</v>
      </c>
      <c r="C35" s="154">
        <v>1213</v>
      </c>
      <c r="D35" s="154">
        <v>516</v>
      </c>
      <c r="E35" s="154">
        <v>171</v>
      </c>
      <c r="F35" s="154">
        <v>843</v>
      </c>
      <c r="G35" s="154">
        <v>658</v>
      </c>
      <c r="H35" s="154">
        <v>658</v>
      </c>
      <c r="I35" s="154">
        <v>658</v>
      </c>
      <c r="J35" s="155">
        <v>658</v>
      </c>
    </row>
    <row r="36" spans="1:10" s="144" customFormat="1">
      <c r="A36" s="141" t="s">
        <v>82</v>
      </c>
      <c r="B36" s="154">
        <v>2223</v>
      </c>
      <c r="C36" s="154">
        <v>3469</v>
      </c>
      <c r="D36" s="154">
        <v>3254</v>
      </c>
      <c r="E36" s="154">
        <v>4144</v>
      </c>
      <c r="F36" s="144">
        <v>4059</v>
      </c>
      <c r="G36" s="154">
        <v>6416</v>
      </c>
      <c r="H36" s="154">
        <v>7136</v>
      </c>
      <c r="I36" s="154">
        <v>8851</v>
      </c>
      <c r="J36" s="155">
        <v>10928</v>
      </c>
    </row>
    <row r="37" spans="1:10" s="144" customFormat="1">
      <c r="A37" s="141" t="s">
        <v>86</v>
      </c>
      <c r="B37" s="154" t="s">
        <v>130</v>
      </c>
      <c r="C37" s="154" t="s">
        <v>130</v>
      </c>
      <c r="D37" s="154" t="s">
        <v>130</v>
      </c>
      <c r="E37" s="154">
        <v>5</v>
      </c>
      <c r="F37" s="144">
        <v>0</v>
      </c>
      <c r="G37" s="144">
        <v>0</v>
      </c>
      <c r="H37" s="154">
        <v>0</v>
      </c>
      <c r="I37" s="154">
        <v>0</v>
      </c>
      <c r="J37" s="155">
        <v>0</v>
      </c>
    </row>
    <row r="38" spans="1:10" s="144" customFormat="1">
      <c r="A38" s="145" t="s">
        <v>89</v>
      </c>
      <c r="B38" s="154">
        <v>-569</v>
      </c>
      <c r="C38" s="154">
        <v>-419</v>
      </c>
      <c r="D38" s="154">
        <v>-279</v>
      </c>
      <c r="E38" s="154">
        <v>-337</v>
      </c>
      <c r="F38" s="154">
        <v>-78</v>
      </c>
      <c r="G38" s="154">
        <v>-78</v>
      </c>
      <c r="H38" s="154">
        <v>-78</v>
      </c>
      <c r="I38" s="154">
        <v>-78</v>
      </c>
      <c r="J38" s="155">
        <v>-78</v>
      </c>
    </row>
    <row r="39" spans="1:10" s="144" customFormat="1">
      <c r="A39" s="141" t="s">
        <v>90</v>
      </c>
      <c r="B39" s="154" t="s">
        <v>130</v>
      </c>
      <c r="C39" s="154" t="s">
        <v>130</v>
      </c>
      <c r="D39" s="154">
        <v>1</v>
      </c>
      <c r="E39" s="154">
        <v>1</v>
      </c>
      <c r="F39" s="154">
        <v>0</v>
      </c>
      <c r="G39" s="154">
        <v>11</v>
      </c>
      <c r="H39" s="154">
        <v>11</v>
      </c>
      <c r="I39" s="154">
        <v>11</v>
      </c>
      <c r="J39" s="155">
        <v>11</v>
      </c>
    </row>
    <row r="40" spans="1:10" s="144" customFormat="1">
      <c r="A40" s="141" t="s">
        <v>91</v>
      </c>
      <c r="B40" s="154">
        <v>997</v>
      </c>
      <c r="C40" s="154">
        <v>808</v>
      </c>
      <c r="D40" s="154">
        <v>572</v>
      </c>
      <c r="E40" s="154">
        <v>875</v>
      </c>
      <c r="F40" s="154">
        <v>835</v>
      </c>
      <c r="G40" s="154">
        <v>707</v>
      </c>
      <c r="H40" s="154">
        <v>532</v>
      </c>
      <c r="I40" s="154">
        <v>834</v>
      </c>
      <c r="J40" s="155">
        <v>789</v>
      </c>
    </row>
    <row r="41" spans="1:10" s="144" customFormat="1">
      <c r="A41" s="141" t="s">
        <v>92</v>
      </c>
      <c r="B41" s="154">
        <v>185</v>
      </c>
      <c r="C41" s="154">
        <v>140</v>
      </c>
      <c r="D41" s="154">
        <v>136</v>
      </c>
      <c r="E41" s="154">
        <v>171</v>
      </c>
      <c r="F41" s="154">
        <v>177</v>
      </c>
      <c r="G41" s="154">
        <v>86</v>
      </c>
      <c r="H41" s="154">
        <v>87</v>
      </c>
      <c r="I41" s="154">
        <v>88</v>
      </c>
      <c r="J41" s="155">
        <v>89</v>
      </c>
    </row>
    <row r="42" spans="1:10" s="144" customFormat="1">
      <c r="A42" s="141" t="s">
        <v>93</v>
      </c>
      <c r="B42" s="154">
        <v>147</v>
      </c>
      <c r="C42" s="154">
        <v>149</v>
      </c>
      <c r="D42" s="154">
        <v>180</v>
      </c>
      <c r="E42" s="154">
        <v>160</v>
      </c>
      <c r="F42" s="154">
        <v>151</v>
      </c>
      <c r="G42" s="154">
        <v>202</v>
      </c>
      <c r="H42" s="154">
        <v>215</v>
      </c>
      <c r="I42" s="154">
        <v>218</v>
      </c>
      <c r="J42" s="155">
        <v>220</v>
      </c>
    </row>
    <row r="43" spans="1:10" s="144" customFormat="1">
      <c r="A43" s="141" t="s">
        <v>94</v>
      </c>
      <c r="B43" s="154">
        <v>128</v>
      </c>
      <c r="C43" s="154">
        <v>165</v>
      </c>
      <c r="D43" s="154">
        <v>168</v>
      </c>
      <c r="E43" s="154">
        <v>202</v>
      </c>
      <c r="F43" s="144">
        <v>209</v>
      </c>
      <c r="G43" s="154">
        <v>241</v>
      </c>
      <c r="H43" s="154">
        <v>254</v>
      </c>
      <c r="I43" s="154">
        <v>263</v>
      </c>
      <c r="J43" s="155">
        <v>266</v>
      </c>
    </row>
    <row r="44" spans="1:10" s="144" customFormat="1">
      <c r="A44" s="141" t="s">
        <v>95</v>
      </c>
      <c r="B44" s="154">
        <v>325</v>
      </c>
      <c r="C44" s="154">
        <v>200</v>
      </c>
      <c r="D44" s="154">
        <v>378</v>
      </c>
      <c r="E44" s="154">
        <v>430</v>
      </c>
      <c r="F44" s="154">
        <v>397</v>
      </c>
      <c r="G44" s="154">
        <v>441</v>
      </c>
      <c r="H44" s="154">
        <v>535</v>
      </c>
      <c r="I44" s="154">
        <v>519</v>
      </c>
      <c r="J44" s="155">
        <v>481</v>
      </c>
    </row>
    <row r="45" spans="1:10" s="144" customFormat="1" ht="12">
      <c r="A45" s="141" t="s">
        <v>131</v>
      </c>
      <c r="B45" s="154">
        <v>256</v>
      </c>
      <c r="C45" s="154">
        <v>212</v>
      </c>
      <c r="D45" s="154">
        <v>85822</v>
      </c>
      <c r="E45" s="154">
        <v>41868</v>
      </c>
      <c r="F45" s="154">
        <v>-2675</v>
      </c>
      <c r="G45" s="154">
        <v>1110</v>
      </c>
      <c r="H45" s="154">
        <v>0</v>
      </c>
      <c r="I45" s="154">
        <v>0</v>
      </c>
      <c r="J45" s="155">
        <v>0</v>
      </c>
    </row>
    <row r="46" spans="1:10" s="144" customFormat="1">
      <c r="A46" s="141" t="s">
        <v>98</v>
      </c>
      <c r="B46" s="154">
        <v>2</v>
      </c>
      <c r="C46" s="154" t="s">
        <v>130</v>
      </c>
      <c r="D46" s="154" t="s">
        <v>130</v>
      </c>
      <c r="E46" s="154" t="s">
        <v>130</v>
      </c>
      <c r="F46" s="144">
        <v>0</v>
      </c>
      <c r="G46" s="154">
        <v>0</v>
      </c>
      <c r="H46" s="154">
        <v>0</v>
      </c>
      <c r="I46" s="154">
        <v>0</v>
      </c>
      <c r="J46" s="155">
        <v>0</v>
      </c>
    </row>
    <row r="47" spans="1:10" s="149" customFormat="1">
      <c r="A47" s="157" t="s">
        <v>42</v>
      </c>
      <c r="B47" s="158">
        <v>4327</v>
      </c>
      <c r="C47" s="158">
        <v>5975</v>
      </c>
      <c r="D47" s="158">
        <v>90761</v>
      </c>
      <c r="E47" s="158">
        <v>47694</v>
      </c>
      <c r="F47" s="158">
        <v>3926</v>
      </c>
      <c r="G47" s="158">
        <v>9794</v>
      </c>
      <c r="H47" s="158">
        <v>9349</v>
      </c>
      <c r="I47" s="158">
        <v>11363</v>
      </c>
      <c r="J47" s="159">
        <v>13364</v>
      </c>
    </row>
    <row r="48" spans="1:10" s="149" customFormat="1" ht="12" thickBot="1">
      <c r="A48" s="160" t="s">
        <v>132</v>
      </c>
      <c r="B48" s="161">
        <v>43808</v>
      </c>
      <c r="C48" s="161">
        <v>50782</v>
      </c>
      <c r="D48" s="161">
        <v>139271</v>
      </c>
      <c r="E48" s="161">
        <v>104657</v>
      </c>
      <c r="F48" s="161">
        <v>53930</v>
      </c>
      <c r="G48" s="161">
        <v>54300</v>
      </c>
      <c r="H48" s="161">
        <v>52000</v>
      </c>
      <c r="I48" s="161">
        <v>50600</v>
      </c>
      <c r="J48" s="162">
        <v>53600</v>
      </c>
    </row>
    <row r="49" spans="1:6" s="144" customFormat="1" ht="11.25" customHeight="1">
      <c r="A49" s="52" t="s">
        <v>133</v>
      </c>
      <c r="B49" s="52"/>
      <c r="C49" s="52"/>
      <c r="D49" s="52"/>
      <c r="E49" s="52"/>
      <c r="F49" s="163"/>
    </row>
  </sheetData>
  <mergeCells count="1">
    <mergeCell ref="B3:F3"/>
  </mergeCell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autoPageBreaks="0"/>
  </sheetPr>
  <dimension ref="A1:IE49"/>
  <sheetViews>
    <sheetView showGridLines="0" zoomScaleNormal="100" zoomScaleSheetLayoutView="115" workbookViewId="0">
      <selection activeCell="I31" sqref="I31"/>
    </sheetView>
  </sheetViews>
  <sheetFormatPr defaultColWidth="10.1640625" defaultRowHeight="11.25"/>
  <cols>
    <col min="1" max="1" width="45.1640625" style="164" customWidth="1"/>
    <col min="2" max="5" width="10.1640625" style="164" customWidth="1"/>
    <col min="6" max="6" width="10.1640625" style="165"/>
    <col min="7" max="16384" width="10.1640625" style="166"/>
  </cols>
  <sheetData>
    <row r="1" spans="1:239" s="136" customFormat="1" ht="15">
      <c r="A1" s="57" t="s">
        <v>295</v>
      </c>
      <c r="B1" s="57"/>
      <c r="C1" s="57"/>
      <c r="D1" s="57"/>
      <c r="E1" s="57"/>
      <c r="F1" s="135"/>
    </row>
    <row r="2" spans="1:239" s="2" customFormat="1" ht="12" thickBot="1">
      <c r="A2" s="3"/>
      <c r="B2" s="3"/>
      <c r="C2" s="3"/>
      <c r="D2" s="3"/>
      <c r="E2" s="3"/>
      <c r="F2" s="3"/>
      <c r="G2" s="3"/>
      <c r="H2" s="3"/>
      <c r="I2" s="3"/>
      <c r="J2" s="4" t="s">
        <v>1</v>
      </c>
    </row>
    <row r="3" spans="1:239"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row>
    <row r="5" spans="1:239"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row>
    <row r="6" spans="1:239" s="140" customFormat="1">
      <c r="A6" s="137" t="s">
        <v>128</v>
      </c>
      <c r="B6" s="138"/>
      <c r="C6" s="138"/>
      <c r="D6" s="138"/>
      <c r="E6" s="138"/>
      <c r="F6" s="138"/>
      <c r="G6" s="138"/>
      <c r="H6" s="138"/>
      <c r="I6" s="138"/>
      <c r="J6" s="139"/>
    </row>
    <row r="7" spans="1:239" s="144" customFormat="1">
      <c r="A7" s="141" t="s">
        <v>103</v>
      </c>
      <c r="B7" s="142">
        <v>4487</v>
      </c>
      <c r="C7" s="142">
        <v>5620</v>
      </c>
      <c r="D7" s="142">
        <v>5781</v>
      </c>
      <c r="E7" s="142">
        <v>7664</v>
      </c>
      <c r="F7" s="142">
        <v>7127</v>
      </c>
      <c r="G7" s="142">
        <v>4915</v>
      </c>
      <c r="H7" s="142">
        <v>3993</v>
      </c>
      <c r="I7" s="142">
        <v>3015</v>
      </c>
      <c r="J7" s="143">
        <v>3037</v>
      </c>
      <c r="V7" s="55"/>
      <c r="W7" s="55"/>
      <c r="X7" s="55"/>
      <c r="Y7" s="55"/>
      <c r="Z7" s="55"/>
      <c r="AA7" s="55"/>
      <c r="AB7" s="55"/>
      <c r="AC7" s="55"/>
      <c r="AD7" s="55"/>
    </row>
    <row r="8" spans="1:239" s="144" customFormat="1">
      <c r="A8" s="141" t="s">
        <v>104</v>
      </c>
      <c r="B8" s="142">
        <v>3314</v>
      </c>
      <c r="C8" s="142">
        <v>4268</v>
      </c>
      <c r="D8" s="142">
        <v>4573</v>
      </c>
      <c r="E8" s="142">
        <v>5337</v>
      </c>
      <c r="F8" s="142">
        <v>4200</v>
      </c>
      <c r="G8" s="142">
        <v>4303</v>
      </c>
      <c r="H8" s="142">
        <v>4198</v>
      </c>
      <c r="I8" s="142">
        <v>4095</v>
      </c>
      <c r="J8" s="143">
        <v>4178</v>
      </c>
      <c r="V8" s="55"/>
      <c r="W8" s="55"/>
      <c r="X8" s="55"/>
      <c r="Y8" s="55"/>
      <c r="Z8" s="55"/>
      <c r="AA8" s="55"/>
      <c r="AB8" s="55"/>
      <c r="AC8" s="55"/>
      <c r="AD8" s="55"/>
    </row>
    <row r="9" spans="1:239" s="144" customFormat="1">
      <c r="A9" s="141" t="s">
        <v>80</v>
      </c>
      <c r="B9" s="142">
        <v>7848</v>
      </c>
      <c r="C9" s="142">
        <v>7248</v>
      </c>
      <c r="D9" s="142">
        <v>7589</v>
      </c>
      <c r="E9" s="142">
        <v>8498</v>
      </c>
      <c r="F9" s="142">
        <v>7386</v>
      </c>
      <c r="G9" s="142">
        <v>7511</v>
      </c>
      <c r="H9" s="142">
        <v>7661</v>
      </c>
      <c r="I9" s="142">
        <v>6905</v>
      </c>
      <c r="J9" s="143">
        <v>6758</v>
      </c>
      <c r="V9" s="55"/>
      <c r="W9" s="55"/>
      <c r="X9" s="55"/>
      <c r="Y9" s="55"/>
      <c r="Z9" s="55"/>
      <c r="AA9" s="55"/>
      <c r="AB9" s="55"/>
      <c r="AC9" s="55"/>
      <c r="AD9" s="55"/>
    </row>
    <row r="10" spans="1:239" s="144" customFormat="1">
      <c r="A10" s="145" t="s">
        <v>81</v>
      </c>
      <c r="B10" s="142">
        <v>6197</v>
      </c>
      <c r="C10" s="142">
        <v>6704</v>
      </c>
      <c r="D10" s="142">
        <v>7439</v>
      </c>
      <c r="E10" s="142">
        <v>9200</v>
      </c>
      <c r="F10" s="142">
        <v>6420</v>
      </c>
      <c r="G10" s="142">
        <v>3364</v>
      </c>
      <c r="H10" s="142">
        <v>2173</v>
      </c>
      <c r="I10" s="142">
        <v>1674</v>
      </c>
      <c r="J10" s="143">
        <v>1763</v>
      </c>
      <c r="V10" s="55"/>
      <c r="W10" s="55"/>
      <c r="X10" s="55"/>
      <c r="Y10" s="55"/>
      <c r="Z10" s="55"/>
      <c r="AA10" s="55"/>
      <c r="AB10" s="55"/>
      <c r="AC10" s="55"/>
      <c r="AD10" s="55"/>
    </row>
    <row r="11" spans="1:239" s="144" customFormat="1">
      <c r="A11" s="141" t="s">
        <v>105</v>
      </c>
      <c r="B11" s="142">
        <v>247</v>
      </c>
      <c r="C11" s="142">
        <v>34</v>
      </c>
      <c r="D11" s="142">
        <v>128</v>
      </c>
      <c r="E11" s="142">
        <v>268</v>
      </c>
      <c r="F11" s="142">
        <v>-67</v>
      </c>
      <c r="G11" s="142">
        <v>0</v>
      </c>
      <c r="H11" s="142">
        <v>0</v>
      </c>
      <c r="I11" s="142">
        <v>0</v>
      </c>
      <c r="J11" s="143">
        <v>0</v>
      </c>
      <c r="V11" s="55"/>
      <c r="W11" s="55"/>
      <c r="X11" s="55"/>
      <c r="Y11" s="55"/>
      <c r="Z11" s="55"/>
      <c r="AA11" s="55"/>
      <c r="AB11" s="55"/>
      <c r="AC11" s="55"/>
      <c r="AD11" s="55"/>
    </row>
    <row r="12" spans="1:239" s="144" customFormat="1">
      <c r="A12" s="141" t="s">
        <v>82</v>
      </c>
      <c r="B12" s="142">
        <v>2145</v>
      </c>
      <c r="C12" s="142">
        <v>2268</v>
      </c>
      <c r="D12" s="142">
        <v>2230</v>
      </c>
      <c r="E12" s="142">
        <v>3121</v>
      </c>
      <c r="F12" s="142">
        <v>2073</v>
      </c>
      <c r="G12" s="142">
        <v>1148</v>
      </c>
      <c r="H12" s="142">
        <v>925</v>
      </c>
      <c r="I12" s="142">
        <v>692</v>
      </c>
      <c r="J12" s="143">
        <v>874</v>
      </c>
      <c r="V12" s="55"/>
      <c r="W12" s="55"/>
      <c r="X12" s="55"/>
      <c r="Y12" s="55"/>
      <c r="Z12" s="55"/>
      <c r="AA12" s="55"/>
      <c r="AB12" s="55"/>
      <c r="AC12" s="55"/>
      <c r="AD12" s="55"/>
    </row>
    <row r="13" spans="1:239" s="144" customFormat="1">
      <c r="A13" s="141" t="s">
        <v>83</v>
      </c>
      <c r="B13" s="142">
        <v>664</v>
      </c>
      <c r="C13" s="142">
        <v>800</v>
      </c>
      <c r="D13" s="142">
        <v>875</v>
      </c>
      <c r="E13" s="142">
        <v>1029</v>
      </c>
      <c r="F13" s="142">
        <v>740</v>
      </c>
      <c r="G13" s="142">
        <v>489</v>
      </c>
      <c r="H13" s="142">
        <v>475</v>
      </c>
      <c r="I13" s="142">
        <v>338</v>
      </c>
      <c r="J13" s="143">
        <v>419</v>
      </c>
      <c r="V13" s="55"/>
      <c r="W13" s="55"/>
      <c r="X13" s="55"/>
      <c r="Y13" s="55"/>
      <c r="Z13" s="55"/>
      <c r="AA13" s="55"/>
      <c r="AB13" s="55"/>
      <c r="AC13" s="55"/>
      <c r="AD13" s="55"/>
    </row>
    <row r="14" spans="1:239" s="144" customFormat="1">
      <c r="A14" s="141" t="s">
        <v>84</v>
      </c>
      <c r="B14" s="142">
        <v>596</v>
      </c>
      <c r="C14" s="142">
        <v>812</v>
      </c>
      <c r="D14" s="142">
        <v>946</v>
      </c>
      <c r="E14" s="142">
        <v>878</v>
      </c>
      <c r="F14" s="142">
        <v>546</v>
      </c>
      <c r="G14" s="142">
        <v>422</v>
      </c>
      <c r="H14" s="142">
        <v>296</v>
      </c>
      <c r="I14" s="142">
        <v>258</v>
      </c>
      <c r="J14" s="143">
        <v>272</v>
      </c>
      <c r="V14" s="55"/>
      <c r="W14" s="55"/>
      <c r="X14" s="55"/>
      <c r="Y14" s="55"/>
      <c r="Z14" s="55"/>
      <c r="AA14" s="55"/>
      <c r="AB14" s="55"/>
      <c r="AC14" s="55"/>
      <c r="AD14" s="55"/>
    </row>
    <row r="15" spans="1:239" s="144" customFormat="1">
      <c r="A15" s="141" t="s">
        <v>85</v>
      </c>
      <c r="B15" s="142">
        <v>12</v>
      </c>
      <c r="C15" s="142">
        <v>12</v>
      </c>
      <c r="D15" s="142">
        <v>9</v>
      </c>
      <c r="E15" s="142">
        <v>12</v>
      </c>
      <c r="F15" s="142">
        <v>8</v>
      </c>
      <c r="G15" s="142">
        <v>6</v>
      </c>
      <c r="H15" s="142">
        <v>6</v>
      </c>
      <c r="I15" s="142">
        <v>6</v>
      </c>
      <c r="J15" s="143">
        <v>6</v>
      </c>
      <c r="V15" s="55"/>
      <c r="W15" s="55"/>
      <c r="X15" s="55"/>
      <c r="Y15" s="55"/>
      <c r="Z15" s="55"/>
      <c r="AA15" s="55"/>
      <c r="AB15" s="55"/>
      <c r="AC15" s="55"/>
      <c r="AD15" s="55"/>
    </row>
    <row r="16" spans="1:239" s="144" customFormat="1">
      <c r="A16" s="141" t="s">
        <v>86</v>
      </c>
      <c r="B16" s="142">
        <v>7957</v>
      </c>
      <c r="C16" s="142">
        <v>9257</v>
      </c>
      <c r="D16" s="142">
        <v>9397</v>
      </c>
      <c r="E16" s="142">
        <v>9483</v>
      </c>
      <c r="F16" s="142">
        <v>9436</v>
      </c>
      <c r="G16" s="142">
        <v>9745</v>
      </c>
      <c r="H16" s="142">
        <v>8660</v>
      </c>
      <c r="I16" s="142">
        <v>8483</v>
      </c>
      <c r="J16" s="143">
        <v>7865</v>
      </c>
      <c r="V16" s="55"/>
      <c r="W16" s="55"/>
      <c r="X16" s="55"/>
      <c r="Y16" s="55"/>
      <c r="Z16" s="55"/>
      <c r="AA16" s="55"/>
      <c r="AB16" s="55"/>
      <c r="AC16" s="55"/>
      <c r="AD16" s="55"/>
    </row>
    <row r="17" spans="1:30" s="144" customFormat="1">
      <c r="A17" s="141" t="s">
        <v>87</v>
      </c>
      <c r="B17" s="142">
        <v>178</v>
      </c>
      <c r="C17" s="142">
        <v>245</v>
      </c>
      <c r="D17" s="142">
        <v>238</v>
      </c>
      <c r="E17" s="142">
        <v>207</v>
      </c>
      <c r="F17" s="142">
        <v>156</v>
      </c>
      <c r="G17" s="142">
        <v>104</v>
      </c>
      <c r="H17" s="142">
        <v>97</v>
      </c>
      <c r="I17" s="142">
        <v>94</v>
      </c>
      <c r="J17" s="143">
        <v>88</v>
      </c>
      <c r="V17" s="55"/>
      <c r="W17" s="55"/>
      <c r="X17" s="55"/>
      <c r="Y17" s="55"/>
      <c r="Z17" s="55"/>
      <c r="AA17" s="55"/>
      <c r="AB17" s="55"/>
      <c r="AC17" s="55"/>
      <c r="AD17" s="55"/>
    </row>
    <row r="18" spans="1:30" s="144" customFormat="1">
      <c r="A18" s="141" t="s">
        <v>88</v>
      </c>
      <c r="B18" s="142">
        <v>846</v>
      </c>
      <c r="C18" s="142">
        <v>794</v>
      </c>
      <c r="D18" s="142">
        <v>916</v>
      </c>
      <c r="E18" s="142">
        <v>1393</v>
      </c>
      <c r="F18" s="142">
        <v>1558</v>
      </c>
      <c r="G18" s="142">
        <v>1354</v>
      </c>
      <c r="H18" s="142">
        <v>1550</v>
      </c>
      <c r="I18" s="142">
        <v>1776</v>
      </c>
      <c r="J18" s="143">
        <v>1837</v>
      </c>
      <c r="V18" s="55"/>
      <c r="W18" s="55"/>
      <c r="X18" s="55"/>
      <c r="Y18" s="55"/>
      <c r="Z18" s="55"/>
      <c r="AA18" s="55"/>
      <c r="AB18" s="55"/>
      <c r="AC18" s="55"/>
      <c r="AD18" s="55"/>
    </row>
    <row r="19" spans="1:30" s="144" customFormat="1">
      <c r="A19" s="145" t="s">
        <v>89</v>
      </c>
      <c r="B19" s="142">
        <v>1619</v>
      </c>
      <c r="C19" s="142">
        <v>1598</v>
      </c>
      <c r="D19" s="142">
        <v>1744</v>
      </c>
      <c r="E19" s="142">
        <v>1861</v>
      </c>
      <c r="F19" s="142">
        <v>2014</v>
      </c>
      <c r="G19" s="142">
        <v>1464</v>
      </c>
      <c r="H19" s="142">
        <v>1908</v>
      </c>
      <c r="I19" s="142">
        <v>2038</v>
      </c>
      <c r="J19" s="143">
        <v>2437</v>
      </c>
      <c r="V19" s="55"/>
      <c r="W19" s="55"/>
      <c r="X19" s="55"/>
      <c r="Y19" s="55"/>
      <c r="Z19" s="55"/>
      <c r="AA19" s="55"/>
      <c r="AB19" s="55"/>
      <c r="AC19" s="55"/>
      <c r="AD19" s="55"/>
    </row>
    <row r="20" spans="1:30" s="144" customFormat="1">
      <c r="A20" s="141" t="s">
        <v>90</v>
      </c>
      <c r="B20" s="142">
        <v>646</v>
      </c>
      <c r="C20" s="142">
        <v>599</v>
      </c>
      <c r="D20" s="142">
        <v>638</v>
      </c>
      <c r="E20" s="142">
        <v>714</v>
      </c>
      <c r="F20" s="142">
        <v>570</v>
      </c>
      <c r="G20" s="142">
        <v>362</v>
      </c>
      <c r="H20" s="142">
        <v>362</v>
      </c>
      <c r="I20" s="142">
        <v>351</v>
      </c>
      <c r="J20" s="143">
        <v>370</v>
      </c>
      <c r="V20" s="55"/>
      <c r="W20" s="55"/>
      <c r="X20" s="55"/>
      <c r="Y20" s="55"/>
      <c r="Z20" s="55"/>
      <c r="AA20" s="55"/>
      <c r="AB20" s="55"/>
      <c r="AC20" s="55"/>
      <c r="AD20" s="55"/>
    </row>
    <row r="21" spans="1:30" s="144" customFormat="1">
      <c r="A21" s="141" t="s">
        <v>91</v>
      </c>
      <c r="B21" s="142">
        <v>317</v>
      </c>
      <c r="C21" s="142">
        <v>577</v>
      </c>
      <c r="D21" s="142">
        <v>861</v>
      </c>
      <c r="E21" s="142">
        <v>534</v>
      </c>
      <c r="F21" s="142">
        <v>578</v>
      </c>
      <c r="G21" s="142">
        <v>1336</v>
      </c>
      <c r="H21" s="142">
        <v>536</v>
      </c>
      <c r="I21" s="142">
        <v>162</v>
      </c>
      <c r="J21" s="143">
        <v>62</v>
      </c>
      <c r="V21" s="55"/>
      <c r="W21" s="55"/>
      <c r="X21" s="55"/>
      <c r="Y21" s="55"/>
      <c r="Z21" s="55"/>
      <c r="AA21" s="55"/>
      <c r="AB21" s="55"/>
      <c r="AC21" s="55"/>
      <c r="AD21" s="55"/>
    </row>
    <row r="22" spans="1:30" s="144" customFormat="1">
      <c r="A22" s="141" t="s">
        <v>92</v>
      </c>
      <c r="B22" s="142">
        <v>223</v>
      </c>
      <c r="C22" s="142">
        <v>85</v>
      </c>
      <c r="D22" s="142">
        <v>90</v>
      </c>
      <c r="E22" s="142">
        <v>280</v>
      </c>
      <c r="F22" s="142">
        <v>322</v>
      </c>
      <c r="G22" s="142">
        <v>238</v>
      </c>
      <c r="H22" s="142">
        <v>307</v>
      </c>
      <c r="I22" s="142">
        <v>355</v>
      </c>
      <c r="J22" s="143">
        <v>218</v>
      </c>
      <c r="V22" s="55"/>
      <c r="W22" s="55"/>
      <c r="X22" s="55"/>
      <c r="Y22" s="55"/>
      <c r="Z22" s="55"/>
      <c r="AA22" s="55"/>
      <c r="AB22" s="55"/>
      <c r="AC22" s="55"/>
      <c r="AD22" s="55"/>
    </row>
    <row r="23" spans="1:30" s="144" customFormat="1">
      <c r="A23" s="141" t="s">
        <v>93</v>
      </c>
      <c r="B23" s="142">
        <v>3352</v>
      </c>
      <c r="C23" s="142">
        <v>3832</v>
      </c>
      <c r="D23" s="142">
        <v>3488</v>
      </c>
      <c r="E23" s="142">
        <v>4043</v>
      </c>
      <c r="F23" s="142">
        <v>3287</v>
      </c>
      <c r="G23" s="142">
        <v>2467</v>
      </c>
      <c r="H23" s="142">
        <v>2346</v>
      </c>
      <c r="I23" s="142">
        <v>2065</v>
      </c>
      <c r="J23" s="143">
        <v>2084</v>
      </c>
      <c r="V23" s="55"/>
      <c r="W23" s="55"/>
      <c r="X23" s="55"/>
      <c r="Y23" s="55"/>
      <c r="Z23" s="55"/>
      <c r="AA23" s="55"/>
      <c r="AB23" s="55"/>
      <c r="AC23" s="55"/>
      <c r="AD23" s="55"/>
    </row>
    <row r="24" spans="1:30" s="144" customFormat="1">
      <c r="A24" s="141" t="s">
        <v>94</v>
      </c>
      <c r="B24" s="142">
        <v>1458</v>
      </c>
      <c r="C24" s="142">
        <v>1572</v>
      </c>
      <c r="D24" s="142">
        <v>1703</v>
      </c>
      <c r="E24" s="142">
        <v>1987</v>
      </c>
      <c r="F24" s="142">
        <v>1751</v>
      </c>
      <c r="G24" s="142">
        <v>1251</v>
      </c>
      <c r="H24" s="142">
        <v>1127</v>
      </c>
      <c r="I24" s="142">
        <v>983</v>
      </c>
      <c r="J24" s="143">
        <v>994</v>
      </c>
      <c r="V24" s="55"/>
      <c r="W24" s="55"/>
      <c r="X24" s="55"/>
      <c r="Y24" s="55"/>
      <c r="Z24" s="55"/>
      <c r="AA24" s="55"/>
      <c r="AB24" s="55"/>
      <c r="AC24" s="55"/>
      <c r="AD24" s="55"/>
    </row>
    <row r="25" spans="1:30" s="144" customFormat="1">
      <c r="A25" s="141" t="s">
        <v>95</v>
      </c>
      <c r="B25" s="142">
        <v>914</v>
      </c>
      <c r="C25" s="142">
        <v>1194</v>
      </c>
      <c r="D25" s="142">
        <v>1370</v>
      </c>
      <c r="E25" s="142">
        <v>1321</v>
      </c>
      <c r="F25" s="142">
        <v>1194</v>
      </c>
      <c r="G25" s="142">
        <v>889</v>
      </c>
      <c r="H25" s="142">
        <v>814</v>
      </c>
      <c r="I25" s="142">
        <v>721</v>
      </c>
      <c r="J25" s="143">
        <v>723</v>
      </c>
      <c r="V25" s="55"/>
      <c r="W25" s="55"/>
      <c r="X25" s="55"/>
      <c r="Y25" s="55"/>
      <c r="Z25" s="55"/>
      <c r="AA25" s="55"/>
      <c r="AB25" s="55"/>
      <c r="AC25" s="55"/>
      <c r="AD25" s="55"/>
    </row>
    <row r="26" spans="1:30" s="144" customFormat="1">
      <c r="A26" s="141" t="s">
        <v>96</v>
      </c>
      <c r="B26" s="142">
        <v>331</v>
      </c>
      <c r="C26" s="142">
        <v>258</v>
      </c>
      <c r="D26" s="142">
        <v>295</v>
      </c>
      <c r="E26" s="142">
        <v>299</v>
      </c>
      <c r="F26" s="142">
        <v>213</v>
      </c>
      <c r="G26" s="142">
        <v>329</v>
      </c>
      <c r="H26" s="142">
        <v>161</v>
      </c>
      <c r="I26" s="142">
        <v>126</v>
      </c>
      <c r="J26" s="143">
        <v>120</v>
      </c>
      <c r="V26" s="55"/>
      <c r="W26" s="55"/>
      <c r="X26" s="55"/>
      <c r="Y26" s="55"/>
      <c r="Z26" s="55"/>
      <c r="AA26" s="55"/>
      <c r="AB26" s="55"/>
      <c r="AC26" s="55"/>
      <c r="AD26" s="55"/>
    </row>
    <row r="27" spans="1:30" s="144" customFormat="1">
      <c r="A27" s="141" t="s">
        <v>97</v>
      </c>
      <c r="B27" s="142">
        <v>270</v>
      </c>
      <c r="C27" s="142">
        <v>344</v>
      </c>
      <c r="D27" s="142">
        <v>415</v>
      </c>
      <c r="E27" s="142">
        <v>468</v>
      </c>
      <c r="F27" s="144">
        <v>435</v>
      </c>
      <c r="G27" s="142">
        <v>390</v>
      </c>
      <c r="H27" s="142">
        <v>359</v>
      </c>
      <c r="I27" s="142">
        <v>357</v>
      </c>
      <c r="J27" s="143">
        <v>320</v>
      </c>
      <c r="V27" s="55"/>
      <c r="W27" s="55"/>
      <c r="X27" s="55"/>
      <c r="Y27" s="55"/>
      <c r="Z27" s="55"/>
      <c r="AA27" s="55"/>
      <c r="AB27" s="55"/>
      <c r="AC27" s="55"/>
      <c r="AD27" s="55"/>
    </row>
    <row r="28" spans="1:30" s="144" customFormat="1">
      <c r="A28" s="141" t="s">
        <v>98</v>
      </c>
      <c r="B28" s="142">
        <v>56</v>
      </c>
      <c r="C28" s="142">
        <v>65</v>
      </c>
      <c r="D28" s="142">
        <v>39</v>
      </c>
      <c r="E28" s="142">
        <v>57</v>
      </c>
      <c r="F28" s="142">
        <v>57</v>
      </c>
      <c r="G28" s="142">
        <v>49</v>
      </c>
      <c r="H28" s="142">
        <v>64</v>
      </c>
      <c r="I28" s="142">
        <v>64</v>
      </c>
      <c r="J28" s="143">
        <v>68</v>
      </c>
      <c r="V28" s="55"/>
      <c r="W28" s="55"/>
      <c r="X28" s="55"/>
      <c r="Y28" s="55"/>
      <c r="Z28" s="55"/>
      <c r="AA28" s="55"/>
      <c r="AB28" s="55"/>
      <c r="AC28" s="55"/>
      <c r="AD28" s="55"/>
    </row>
    <row r="29" spans="1:30" s="144" customFormat="1">
      <c r="A29" s="141" t="s">
        <v>99</v>
      </c>
      <c r="B29" s="154" t="s">
        <v>130</v>
      </c>
      <c r="C29" s="154" t="s">
        <v>130</v>
      </c>
      <c r="D29" s="154" t="s">
        <v>130</v>
      </c>
      <c r="E29" s="154" t="s">
        <v>130</v>
      </c>
      <c r="F29" s="154" t="s">
        <v>130</v>
      </c>
      <c r="G29" s="142">
        <v>900</v>
      </c>
      <c r="H29" s="142">
        <v>900</v>
      </c>
      <c r="I29" s="142">
        <v>900</v>
      </c>
      <c r="J29" s="143">
        <v>1000</v>
      </c>
      <c r="V29" s="55"/>
      <c r="W29" s="55"/>
      <c r="X29" s="55"/>
      <c r="Y29" s="55"/>
      <c r="Z29" s="55"/>
      <c r="AA29" s="55"/>
      <c r="AB29" s="55"/>
      <c r="AC29" s="55"/>
      <c r="AD29" s="55"/>
    </row>
    <row r="30" spans="1:30" s="144" customFormat="1">
      <c r="A30" s="141" t="s">
        <v>100</v>
      </c>
      <c r="B30" s="154" t="s">
        <v>130</v>
      </c>
      <c r="C30" s="154" t="s">
        <v>130</v>
      </c>
      <c r="D30" s="154" t="s">
        <v>130</v>
      </c>
      <c r="E30" s="154" t="s">
        <v>130</v>
      </c>
      <c r="F30" s="154" t="s">
        <v>130</v>
      </c>
      <c r="G30" s="142">
        <v>200</v>
      </c>
      <c r="H30" s="142">
        <v>700</v>
      </c>
      <c r="I30" s="142">
        <v>700</v>
      </c>
      <c r="J30" s="143">
        <v>700</v>
      </c>
      <c r="V30" s="55"/>
      <c r="W30" s="55"/>
      <c r="X30" s="55"/>
      <c r="Y30" s="55"/>
      <c r="Z30" s="55"/>
      <c r="AA30" s="55"/>
      <c r="AB30" s="55"/>
      <c r="AC30" s="55"/>
      <c r="AD30" s="55"/>
    </row>
    <row r="31" spans="1:30" s="144" customFormat="1">
      <c r="A31" s="141" t="s">
        <v>101</v>
      </c>
      <c r="B31" s="154" t="s">
        <v>130</v>
      </c>
      <c r="C31" s="154" t="s">
        <v>130</v>
      </c>
      <c r="D31" s="154" t="s">
        <v>130</v>
      </c>
      <c r="E31" s="154" t="s">
        <v>130</v>
      </c>
      <c r="F31" s="154" t="s">
        <v>130</v>
      </c>
      <c r="G31" s="154" t="s">
        <v>130</v>
      </c>
      <c r="H31" s="142">
        <v>700</v>
      </c>
      <c r="I31" s="154" t="s">
        <v>130</v>
      </c>
      <c r="J31" s="253" t="s">
        <v>130</v>
      </c>
      <c r="V31" s="55"/>
      <c r="W31" s="55"/>
      <c r="X31" s="55"/>
      <c r="Y31" s="55"/>
      <c r="Z31" s="55"/>
      <c r="AA31" s="55"/>
      <c r="AB31" s="55"/>
      <c r="AC31" s="55"/>
      <c r="AD31" s="55"/>
    </row>
    <row r="32" spans="1:30" s="149" customFormat="1">
      <c r="A32" s="146" t="s">
        <v>40</v>
      </c>
      <c r="B32" s="147">
        <v>43674</v>
      </c>
      <c r="C32" s="147">
        <v>48183</v>
      </c>
      <c r="D32" s="147">
        <v>50762</v>
      </c>
      <c r="E32" s="147">
        <v>58652</v>
      </c>
      <c r="F32" s="147">
        <v>50005</v>
      </c>
      <c r="G32" s="147">
        <v>43200</v>
      </c>
      <c r="H32" s="147">
        <v>40400</v>
      </c>
      <c r="I32" s="147">
        <v>36200</v>
      </c>
      <c r="J32" s="148">
        <v>36200</v>
      </c>
      <c r="K32" s="144"/>
      <c r="L32" s="144"/>
      <c r="M32" s="144"/>
      <c r="N32" s="144"/>
      <c r="O32" s="144"/>
      <c r="P32" s="144"/>
      <c r="Q32" s="144"/>
      <c r="R32" s="144"/>
      <c r="S32" s="144"/>
      <c r="T32" s="144"/>
      <c r="V32" s="55"/>
      <c r="W32" s="55"/>
      <c r="X32" s="55"/>
      <c r="Y32" s="55"/>
      <c r="Z32" s="55"/>
      <c r="AA32" s="55"/>
      <c r="AB32" s="55"/>
      <c r="AC32" s="55"/>
      <c r="AD32" s="55"/>
    </row>
    <row r="33" spans="1:30" s="153" customFormat="1">
      <c r="A33" s="150" t="s">
        <v>129</v>
      </c>
      <c r="B33" s="151"/>
      <c r="C33" s="151"/>
      <c r="D33" s="151"/>
      <c r="E33" s="151"/>
      <c r="F33" s="151"/>
      <c r="G33" s="151"/>
      <c r="H33" s="151"/>
      <c r="I33" s="151"/>
      <c r="J33" s="152"/>
      <c r="K33" s="144"/>
      <c r="L33" s="144"/>
      <c r="V33" s="55"/>
      <c r="W33" s="55"/>
      <c r="X33" s="55"/>
      <c r="Y33" s="55"/>
      <c r="Z33" s="55"/>
      <c r="AA33" s="55"/>
      <c r="AB33" s="55"/>
      <c r="AC33" s="55"/>
      <c r="AD33" s="55"/>
    </row>
    <row r="34" spans="1:30" s="156" customFormat="1">
      <c r="A34" s="141" t="s">
        <v>104</v>
      </c>
      <c r="B34" s="154">
        <v>98</v>
      </c>
      <c r="C34" s="154">
        <v>40</v>
      </c>
      <c r="D34" s="154">
        <v>15</v>
      </c>
      <c r="E34" s="154">
        <v>6</v>
      </c>
      <c r="F34" s="154">
        <v>8</v>
      </c>
      <c r="G34" s="154">
        <v>0</v>
      </c>
      <c r="H34" s="154">
        <v>0</v>
      </c>
      <c r="I34" s="154">
        <v>0</v>
      </c>
      <c r="J34" s="155">
        <v>0</v>
      </c>
      <c r="K34" s="144"/>
      <c r="L34" s="144"/>
      <c r="M34" s="144"/>
      <c r="N34" s="144"/>
      <c r="O34" s="144"/>
      <c r="P34" s="144"/>
      <c r="Q34" s="144"/>
      <c r="R34" s="144"/>
      <c r="S34" s="144"/>
      <c r="T34" s="144"/>
      <c r="V34" s="55"/>
      <c r="W34" s="55"/>
      <c r="X34" s="55"/>
      <c r="Y34" s="55"/>
      <c r="Z34" s="55"/>
      <c r="AA34" s="55"/>
      <c r="AB34" s="55"/>
      <c r="AC34" s="55"/>
      <c r="AD34" s="55"/>
    </row>
    <row r="35" spans="1:30" s="144" customFormat="1">
      <c r="A35" s="141" t="s">
        <v>81</v>
      </c>
      <c r="B35" s="154">
        <v>601</v>
      </c>
      <c r="C35" s="154">
        <v>1304</v>
      </c>
      <c r="D35" s="154">
        <v>540</v>
      </c>
      <c r="E35" s="154">
        <v>176</v>
      </c>
      <c r="F35" s="154">
        <v>843</v>
      </c>
      <c r="G35" s="154">
        <v>639</v>
      </c>
      <c r="H35" s="154">
        <v>624</v>
      </c>
      <c r="I35" s="154">
        <v>607</v>
      </c>
      <c r="J35" s="155">
        <v>592</v>
      </c>
      <c r="V35" s="55"/>
      <c r="W35" s="55"/>
      <c r="X35" s="55"/>
      <c r="Y35" s="55"/>
      <c r="Z35" s="55"/>
      <c r="AA35" s="55"/>
      <c r="AB35" s="55"/>
      <c r="AC35" s="55"/>
      <c r="AD35" s="55"/>
    </row>
    <row r="36" spans="1:30" s="144" customFormat="1">
      <c r="A36" s="141" t="s">
        <v>82</v>
      </c>
      <c r="B36" s="154">
        <v>2459</v>
      </c>
      <c r="C36" s="154">
        <v>3730</v>
      </c>
      <c r="D36" s="154">
        <v>3405</v>
      </c>
      <c r="E36" s="154">
        <v>4267</v>
      </c>
      <c r="F36" s="144">
        <v>4059</v>
      </c>
      <c r="G36" s="154">
        <v>6233</v>
      </c>
      <c r="H36" s="154">
        <v>6764</v>
      </c>
      <c r="I36" s="154">
        <v>8170</v>
      </c>
      <c r="J36" s="155">
        <v>9824</v>
      </c>
      <c r="V36" s="55"/>
      <c r="W36" s="55"/>
      <c r="X36" s="55"/>
      <c r="Y36" s="55"/>
      <c r="Z36" s="55"/>
      <c r="AA36" s="55"/>
      <c r="AB36" s="55"/>
      <c r="AC36" s="55"/>
      <c r="AD36" s="55"/>
    </row>
    <row r="37" spans="1:30" s="144" customFormat="1">
      <c r="A37" s="141" t="s">
        <v>86</v>
      </c>
      <c r="B37" s="154" t="s">
        <v>130</v>
      </c>
      <c r="C37" s="154" t="s">
        <v>130</v>
      </c>
      <c r="D37" s="154" t="s">
        <v>130</v>
      </c>
      <c r="E37" s="154">
        <v>5</v>
      </c>
      <c r="F37" s="144">
        <v>0</v>
      </c>
      <c r="G37" s="144">
        <v>0</v>
      </c>
      <c r="H37" s="154">
        <v>0</v>
      </c>
      <c r="I37" s="154">
        <v>0</v>
      </c>
      <c r="J37" s="155">
        <v>0</v>
      </c>
      <c r="V37" s="55"/>
      <c r="W37" s="55"/>
      <c r="X37" s="55"/>
      <c r="Y37" s="55"/>
      <c r="Z37" s="55"/>
      <c r="AA37" s="55"/>
      <c r="AB37" s="55"/>
      <c r="AC37" s="55"/>
      <c r="AD37" s="55"/>
    </row>
    <row r="38" spans="1:30" s="144" customFormat="1">
      <c r="A38" s="145" t="s">
        <v>89</v>
      </c>
      <c r="B38" s="154">
        <v>-629</v>
      </c>
      <c r="C38" s="154">
        <v>-451</v>
      </c>
      <c r="D38" s="154">
        <v>-292</v>
      </c>
      <c r="E38" s="154">
        <v>-347</v>
      </c>
      <c r="F38" s="154">
        <v>-78</v>
      </c>
      <c r="G38" s="154">
        <v>-76</v>
      </c>
      <c r="H38" s="154">
        <v>-74</v>
      </c>
      <c r="I38" s="154">
        <v>-72</v>
      </c>
      <c r="J38" s="155">
        <v>-70</v>
      </c>
      <c r="V38" s="55"/>
      <c r="W38" s="55"/>
      <c r="X38" s="55"/>
      <c r="Y38" s="55"/>
      <c r="Z38" s="55"/>
      <c r="AA38" s="55"/>
      <c r="AB38" s="55"/>
      <c r="AC38" s="55"/>
      <c r="AD38" s="55"/>
    </row>
    <row r="39" spans="1:30" s="144" customFormat="1">
      <c r="A39" s="141" t="s">
        <v>90</v>
      </c>
      <c r="B39" s="154" t="s">
        <v>130</v>
      </c>
      <c r="C39" s="154" t="s">
        <v>130</v>
      </c>
      <c r="D39" s="154">
        <v>1</v>
      </c>
      <c r="E39" s="154">
        <v>1</v>
      </c>
      <c r="F39" s="154">
        <v>0</v>
      </c>
      <c r="G39" s="154">
        <v>11</v>
      </c>
      <c r="H39" s="154">
        <v>10</v>
      </c>
      <c r="I39" s="154">
        <v>10</v>
      </c>
      <c r="J39" s="155">
        <v>10</v>
      </c>
      <c r="V39" s="55"/>
      <c r="W39" s="55"/>
      <c r="X39" s="55"/>
      <c r="Y39" s="55"/>
      <c r="Z39" s="55"/>
      <c r="AA39" s="55"/>
      <c r="AB39" s="55"/>
      <c r="AC39" s="55"/>
      <c r="AD39" s="55"/>
    </row>
    <row r="40" spans="1:30" s="144" customFormat="1">
      <c r="A40" s="141" t="s">
        <v>91</v>
      </c>
      <c r="B40" s="154">
        <v>1103</v>
      </c>
      <c r="C40" s="154">
        <v>869</v>
      </c>
      <c r="D40" s="154">
        <v>599</v>
      </c>
      <c r="E40" s="154">
        <v>901</v>
      </c>
      <c r="F40" s="154">
        <v>835</v>
      </c>
      <c r="G40" s="154">
        <v>687</v>
      </c>
      <c r="H40" s="154">
        <v>504</v>
      </c>
      <c r="I40" s="154">
        <v>770</v>
      </c>
      <c r="J40" s="155">
        <v>709</v>
      </c>
      <c r="V40" s="55"/>
      <c r="W40" s="55"/>
      <c r="X40" s="55"/>
      <c r="Y40" s="55"/>
      <c r="Z40" s="55"/>
      <c r="AA40" s="55"/>
      <c r="AB40" s="55"/>
      <c r="AC40" s="55"/>
      <c r="AD40" s="55"/>
    </row>
    <row r="41" spans="1:30" s="144" customFormat="1">
      <c r="A41" s="141" t="s">
        <v>92</v>
      </c>
      <c r="B41" s="154">
        <v>205</v>
      </c>
      <c r="C41" s="154">
        <v>151</v>
      </c>
      <c r="D41" s="154">
        <v>142</v>
      </c>
      <c r="E41" s="154">
        <v>176</v>
      </c>
      <c r="F41" s="154">
        <v>177</v>
      </c>
      <c r="G41" s="154">
        <v>84</v>
      </c>
      <c r="H41" s="154">
        <v>82</v>
      </c>
      <c r="I41" s="154">
        <v>81</v>
      </c>
      <c r="J41" s="155">
        <v>80</v>
      </c>
      <c r="V41" s="55"/>
      <c r="W41" s="55"/>
      <c r="X41" s="55"/>
      <c r="Y41" s="55"/>
      <c r="Z41" s="55"/>
      <c r="AA41" s="55"/>
      <c r="AB41" s="55"/>
      <c r="AC41" s="55"/>
      <c r="AD41" s="55"/>
    </row>
    <row r="42" spans="1:30" s="144" customFormat="1">
      <c r="A42" s="141" t="s">
        <v>93</v>
      </c>
      <c r="B42" s="154">
        <v>163</v>
      </c>
      <c r="C42" s="154">
        <v>160</v>
      </c>
      <c r="D42" s="154">
        <v>188</v>
      </c>
      <c r="E42" s="154">
        <v>165</v>
      </c>
      <c r="F42" s="154">
        <v>151</v>
      </c>
      <c r="G42" s="154">
        <v>196</v>
      </c>
      <c r="H42" s="154">
        <v>204</v>
      </c>
      <c r="I42" s="154">
        <v>201</v>
      </c>
      <c r="J42" s="155">
        <v>198</v>
      </c>
      <c r="V42" s="55"/>
      <c r="W42" s="55"/>
      <c r="X42" s="55"/>
      <c r="Y42" s="55"/>
      <c r="Z42" s="55"/>
      <c r="AA42" s="55"/>
      <c r="AB42" s="55"/>
      <c r="AC42" s="55"/>
      <c r="AD42" s="55"/>
    </row>
    <row r="43" spans="1:30" s="144" customFormat="1">
      <c r="A43" s="141" t="s">
        <v>94</v>
      </c>
      <c r="B43" s="154">
        <v>142</v>
      </c>
      <c r="C43" s="154">
        <v>177</v>
      </c>
      <c r="D43" s="154">
        <v>176</v>
      </c>
      <c r="E43" s="154">
        <v>208</v>
      </c>
      <c r="F43" s="144">
        <v>209</v>
      </c>
      <c r="G43" s="154">
        <v>234</v>
      </c>
      <c r="H43" s="154">
        <v>241</v>
      </c>
      <c r="I43" s="154">
        <v>243</v>
      </c>
      <c r="J43" s="155">
        <v>239</v>
      </c>
      <c r="V43" s="55"/>
      <c r="W43" s="55"/>
      <c r="X43" s="55"/>
      <c r="Y43" s="55"/>
      <c r="Z43" s="55"/>
      <c r="AA43" s="55"/>
      <c r="AB43" s="55"/>
      <c r="AC43" s="55"/>
      <c r="AD43" s="55"/>
    </row>
    <row r="44" spans="1:30" s="144" customFormat="1">
      <c r="A44" s="141" t="s">
        <v>95</v>
      </c>
      <c r="B44" s="154">
        <v>360</v>
      </c>
      <c r="C44" s="154">
        <v>215</v>
      </c>
      <c r="D44" s="154">
        <v>396</v>
      </c>
      <c r="E44" s="154">
        <v>443</v>
      </c>
      <c r="F44" s="154">
        <v>397</v>
      </c>
      <c r="G44" s="154">
        <v>428</v>
      </c>
      <c r="H44" s="154">
        <v>507</v>
      </c>
      <c r="I44" s="154">
        <v>479</v>
      </c>
      <c r="J44" s="155">
        <v>432</v>
      </c>
      <c r="V44" s="55"/>
      <c r="W44" s="55"/>
      <c r="X44" s="55"/>
      <c r="Y44" s="55"/>
      <c r="Z44" s="55"/>
      <c r="AA44" s="55"/>
      <c r="AB44" s="55"/>
      <c r="AC44" s="55"/>
      <c r="AD44" s="55"/>
    </row>
    <row r="45" spans="1:30" s="144" customFormat="1" ht="12">
      <c r="A45" s="141" t="s">
        <v>131</v>
      </c>
      <c r="B45" s="154">
        <v>283</v>
      </c>
      <c r="C45" s="154">
        <v>228</v>
      </c>
      <c r="D45" s="154">
        <v>89806</v>
      </c>
      <c r="E45" s="154">
        <v>43110</v>
      </c>
      <c r="F45" s="154">
        <v>-2675</v>
      </c>
      <c r="G45" s="154">
        <v>1078</v>
      </c>
      <c r="H45" s="154">
        <v>0</v>
      </c>
      <c r="I45" s="154">
        <v>0</v>
      </c>
      <c r="J45" s="155">
        <v>0</v>
      </c>
      <c r="V45" s="55"/>
      <c r="W45" s="55"/>
      <c r="X45" s="55"/>
      <c r="Y45" s="55"/>
      <c r="Z45" s="55"/>
      <c r="AA45" s="55"/>
      <c r="AB45" s="55"/>
      <c r="AC45" s="55"/>
      <c r="AD45" s="55"/>
    </row>
    <row r="46" spans="1:30" s="144" customFormat="1">
      <c r="A46" s="141" t="s">
        <v>98</v>
      </c>
      <c r="B46" s="154">
        <v>2</v>
      </c>
      <c r="C46" s="154" t="s">
        <v>130</v>
      </c>
      <c r="D46" s="154" t="s">
        <v>130</v>
      </c>
      <c r="E46" s="154" t="s">
        <v>130</v>
      </c>
      <c r="F46" s="144">
        <v>0</v>
      </c>
      <c r="G46" s="154">
        <v>0</v>
      </c>
      <c r="H46" s="154">
        <v>0</v>
      </c>
      <c r="I46" s="154">
        <v>0</v>
      </c>
      <c r="J46" s="155">
        <v>0</v>
      </c>
      <c r="V46" s="55"/>
      <c r="W46" s="55"/>
      <c r="X46" s="55"/>
      <c r="Y46" s="55"/>
      <c r="Z46" s="55"/>
      <c r="AA46" s="55"/>
      <c r="AB46" s="55"/>
      <c r="AC46" s="55"/>
      <c r="AD46" s="55"/>
    </row>
    <row r="47" spans="1:30" s="149" customFormat="1">
      <c r="A47" s="157" t="s">
        <v>42</v>
      </c>
      <c r="B47" s="158">
        <v>4786</v>
      </c>
      <c r="C47" s="158">
        <v>6425</v>
      </c>
      <c r="D47" s="158">
        <v>94974</v>
      </c>
      <c r="E47" s="158">
        <v>49108</v>
      </c>
      <c r="F47" s="158">
        <v>3926</v>
      </c>
      <c r="G47" s="158">
        <v>9514</v>
      </c>
      <c r="H47" s="158">
        <v>8861</v>
      </c>
      <c r="I47" s="158">
        <v>10488</v>
      </c>
      <c r="J47" s="159">
        <v>12014</v>
      </c>
      <c r="K47" s="144"/>
      <c r="L47" s="144"/>
      <c r="M47" s="144"/>
      <c r="N47" s="144"/>
      <c r="O47" s="144"/>
      <c r="P47" s="144"/>
      <c r="Q47" s="144"/>
      <c r="R47" s="144"/>
      <c r="S47" s="144"/>
      <c r="T47" s="144"/>
      <c r="V47" s="55"/>
      <c r="W47" s="55"/>
      <c r="X47" s="55"/>
      <c r="Y47" s="55"/>
      <c r="Z47" s="55"/>
      <c r="AA47" s="55"/>
      <c r="AB47" s="55"/>
      <c r="AC47" s="55"/>
      <c r="AD47" s="55"/>
    </row>
    <row r="48" spans="1:30" s="149" customFormat="1" ht="12" thickBot="1">
      <c r="A48" s="160" t="s">
        <v>132</v>
      </c>
      <c r="B48" s="161">
        <v>48460</v>
      </c>
      <c r="C48" s="161">
        <v>54609</v>
      </c>
      <c r="D48" s="161">
        <v>145736</v>
      </c>
      <c r="E48" s="161">
        <v>107761</v>
      </c>
      <c r="F48" s="161">
        <v>53930</v>
      </c>
      <c r="G48" s="161">
        <v>52700</v>
      </c>
      <c r="H48" s="161">
        <v>49300</v>
      </c>
      <c r="I48" s="161">
        <v>46700</v>
      </c>
      <c r="J48" s="162">
        <v>48200</v>
      </c>
      <c r="K48" s="144"/>
      <c r="L48" s="144"/>
      <c r="M48" s="144"/>
      <c r="N48" s="144"/>
      <c r="O48" s="144"/>
      <c r="P48" s="144"/>
      <c r="Q48" s="144"/>
      <c r="R48" s="144"/>
      <c r="S48" s="144"/>
      <c r="T48" s="144"/>
      <c r="V48" s="55"/>
      <c r="W48" s="55"/>
      <c r="X48" s="55"/>
      <c r="Y48" s="55"/>
      <c r="Z48" s="55"/>
      <c r="AA48" s="55"/>
      <c r="AB48" s="55"/>
      <c r="AC48" s="55"/>
      <c r="AD48" s="55"/>
    </row>
    <row r="49" spans="1:6" s="144" customFormat="1" ht="11.25" customHeight="1">
      <c r="A49" s="52" t="s">
        <v>133</v>
      </c>
      <c r="B49" s="52"/>
      <c r="C49" s="52"/>
      <c r="D49" s="52"/>
      <c r="E49" s="52"/>
      <c r="F49" s="163"/>
    </row>
  </sheetData>
  <mergeCells count="1">
    <mergeCell ref="B3:F3"/>
  </mergeCell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HU37"/>
  <sheetViews>
    <sheetView showGridLines="0" zoomScaleNormal="100" zoomScaleSheetLayoutView="115" workbookViewId="0">
      <selection activeCell="A9" sqref="A9"/>
    </sheetView>
  </sheetViews>
  <sheetFormatPr defaultColWidth="10.1640625" defaultRowHeight="11.25"/>
  <cols>
    <col min="1" max="1" width="36" style="164" customWidth="1"/>
    <col min="2" max="5" width="14.1640625" style="164" customWidth="1"/>
    <col min="6" max="6" width="10.1640625" style="166"/>
    <col min="7" max="8" width="10.1640625" style="165"/>
    <col min="9" max="16384" width="10.1640625" style="166"/>
  </cols>
  <sheetData>
    <row r="1" spans="1:229" s="136" customFormat="1" ht="16.5">
      <c r="A1" s="57" t="s">
        <v>134</v>
      </c>
      <c r="B1" s="57"/>
      <c r="C1" s="57"/>
      <c r="D1" s="57"/>
      <c r="E1" s="57"/>
      <c r="G1" s="135"/>
      <c r="H1" s="135"/>
    </row>
    <row r="2" spans="1:229" s="2" customFormat="1" ht="12" thickBot="1">
      <c r="A2" s="3"/>
      <c r="B2" s="3"/>
      <c r="C2" s="3"/>
      <c r="D2" s="3"/>
      <c r="E2" s="3"/>
      <c r="F2" s="3"/>
      <c r="G2" s="3"/>
      <c r="H2" s="3"/>
      <c r="I2" s="3"/>
      <c r="J2" s="4" t="s">
        <v>1</v>
      </c>
    </row>
    <row r="3" spans="1:229" s="8" customFormat="1" ht="11.25" customHeight="1">
      <c r="A3" s="5"/>
      <c r="B3" s="255" t="s">
        <v>2</v>
      </c>
      <c r="C3" s="255"/>
      <c r="D3" s="255"/>
      <c r="E3" s="255"/>
      <c r="F3" s="255"/>
      <c r="G3" s="6"/>
      <c r="H3" s="6"/>
      <c r="I3" s="6"/>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row>
    <row r="4" spans="1:229" s="8" customFormat="1">
      <c r="A4" s="9"/>
      <c r="B4" s="10" t="s">
        <v>3</v>
      </c>
      <c r="C4" s="10" t="s">
        <v>4</v>
      </c>
      <c r="D4" s="10" t="s">
        <v>5</v>
      </c>
      <c r="E4" s="11" t="s">
        <v>6</v>
      </c>
      <c r="F4" s="11" t="s">
        <v>7</v>
      </c>
      <c r="G4" s="11" t="s">
        <v>8</v>
      </c>
      <c r="H4" s="11" t="s">
        <v>9</v>
      </c>
      <c r="I4" s="11" t="s">
        <v>10</v>
      </c>
      <c r="J4" s="12" t="s">
        <v>11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row>
    <row r="5" spans="1:229" s="8" customFormat="1">
      <c r="A5" s="9"/>
      <c r="B5" s="10" t="s">
        <v>12</v>
      </c>
      <c r="C5" s="10" t="s">
        <v>12</v>
      </c>
      <c r="D5" s="10" t="s">
        <v>12</v>
      </c>
      <c r="E5" s="10" t="s">
        <v>12</v>
      </c>
      <c r="F5" s="10" t="s">
        <v>12</v>
      </c>
      <c r="G5" s="10" t="s">
        <v>13</v>
      </c>
      <c r="H5" s="10" t="s">
        <v>13</v>
      </c>
      <c r="I5" s="10" t="s">
        <v>13</v>
      </c>
      <c r="J5" s="13" t="s">
        <v>13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row>
    <row r="6" spans="1:229" s="140" customFormat="1">
      <c r="A6" s="59" t="s">
        <v>135</v>
      </c>
      <c r="B6" s="60"/>
      <c r="C6" s="60"/>
      <c r="D6" s="60"/>
      <c r="E6" s="60"/>
      <c r="F6" s="60"/>
      <c r="G6" s="60"/>
      <c r="H6" s="60"/>
      <c r="I6" s="60"/>
      <c r="J6" s="61"/>
    </row>
    <row r="7" spans="1:229" s="144" customFormat="1">
      <c r="A7" s="141" t="s">
        <v>103</v>
      </c>
      <c r="B7" s="142">
        <v>46148</v>
      </c>
      <c r="C7" s="142">
        <v>50129</v>
      </c>
      <c r="D7" s="142">
        <v>52344</v>
      </c>
      <c r="E7" s="142">
        <v>57018</v>
      </c>
      <c r="F7" s="142">
        <v>58552</v>
      </c>
      <c r="G7" s="142">
        <v>56522</v>
      </c>
      <c r="H7" s="142">
        <v>56751</v>
      </c>
      <c r="I7" s="142">
        <v>56339</v>
      </c>
      <c r="J7" s="143">
        <v>57386</v>
      </c>
    </row>
    <row r="8" spans="1:229" s="144" customFormat="1" ht="12">
      <c r="A8" s="63" t="s">
        <v>78</v>
      </c>
      <c r="B8" s="142">
        <v>78881</v>
      </c>
      <c r="C8" s="142">
        <v>85791</v>
      </c>
      <c r="D8" s="142">
        <v>92384</v>
      </c>
      <c r="E8" s="142">
        <v>99792</v>
      </c>
      <c r="F8" s="142">
        <v>101985</v>
      </c>
      <c r="G8" s="142">
        <v>106054</v>
      </c>
      <c r="H8" s="142">
        <v>108521</v>
      </c>
      <c r="I8" s="142">
        <v>111470</v>
      </c>
      <c r="J8" s="143">
        <v>114533</v>
      </c>
    </row>
    <row r="9" spans="1:229" s="144" customFormat="1" ht="12">
      <c r="A9" s="63" t="s">
        <v>79</v>
      </c>
      <c r="B9" s="142">
        <v>1744</v>
      </c>
      <c r="C9" s="142">
        <v>1782</v>
      </c>
      <c r="D9" s="142">
        <v>1295</v>
      </c>
      <c r="E9" s="142">
        <v>1395</v>
      </c>
      <c r="F9" s="142">
        <v>1522</v>
      </c>
      <c r="G9" s="142">
        <v>0</v>
      </c>
      <c r="H9" s="142">
        <v>0</v>
      </c>
      <c r="I9" s="142">
        <v>0</v>
      </c>
      <c r="J9" s="143">
        <v>0</v>
      </c>
    </row>
    <row r="10" spans="1:229" s="144" customFormat="1">
      <c r="A10" s="141" t="s">
        <v>80</v>
      </c>
      <c r="B10" s="142">
        <v>13103</v>
      </c>
      <c r="C10" s="142">
        <v>12839</v>
      </c>
      <c r="D10" s="142">
        <v>12657</v>
      </c>
      <c r="E10" s="142">
        <v>13962</v>
      </c>
      <c r="F10" s="142">
        <v>12556</v>
      </c>
      <c r="G10" s="142">
        <v>13026</v>
      </c>
      <c r="H10" s="142">
        <v>13110</v>
      </c>
      <c r="I10" s="142">
        <v>12446</v>
      </c>
      <c r="J10" s="143">
        <v>11948</v>
      </c>
    </row>
    <row r="11" spans="1:229" s="144" customFormat="1">
      <c r="A11" s="145" t="s">
        <v>81</v>
      </c>
      <c r="B11" s="142">
        <v>8928</v>
      </c>
      <c r="C11" s="142">
        <v>10161</v>
      </c>
      <c r="D11" s="142">
        <v>11168</v>
      </c>
      <c r="E11" s="142">
        <v>13209</v>
      </c>
      <c r="F11" s="142">
        <v>10052</v>
      </c>
      <c r="G11" s="142">
        <v>5476</v>
      </c>
      <c r="H11" s="142">
        <v>4077</v>
      </c>
      <c r="I11" s="142">
        <v>3444</v>
      </c>
      <c r="J11" s="143">
        <v>3204</v>
      </c>
    </row>
    <row r="12" spans="1:229" s="144" customFormat="1">
      <c r="A12" s="141" t="s">
        <v>105</v>
      </c>
      <c r="B12" s="142">
        <v>22763</v>
      </c>
      <c r="C12" s="142">
        <v>22782</v>
      </c>
      <c r="D12" s="142">
        <v>24772</v>
      </c>
      <c r="E12" s="142">
        <v>25776</v>
      </c>
      <c r="F12" s="142">
        <v>25889</v>
      </c>
      <c r="G12" s="142">
        <v>26000</v>
      </c>
      <c r="H12" s="142">
        <v>23974</v>
      </c>
      <c r="I12" s="142">
        <v>24198</v>
      </c>
      <c r="J12" s="143">
        <v>22850</v>
      </c>
    </row>
    <row r="13" spans="1:229" s="144" customFormat="1">
      <c r="A13" s="141" t="s">
        <v>82</v>
      </c>
      <c r="B13" s="142">
        <v>16608</v>
      </c>
      <c r="C13" s="142">
        <v>17972</v>
      </c>
      <c r="D13" s="142">
        <v>18671</v>
      </c>
      <c r="E13" s="142">
        <v>20561</v>
      </c>
      <c r="F13" s="142">
        <v>19302</v>
      </c>
      <c r="G13" s="142">
        <v>17899</v>
      </c>
      <c r="H13" s="142">
        <v>16792</v>
      </c>
      <c r="I13" s="142">
        <v>15594</v>
      </c>
      <c r="J13" s="143">
        <v>14780</v>
      </c>
    </row>
    <row r="14" spans="1:229" s="144" customFormat="1">
      <c r="A14" s="141" t="s">
        <v>83</v>
      </c>
      <c r="B14" s="142">
        <v>9100</v>
      </c>
      <c r="C14" s="142">
        <v>9450</v>
      </c>
      <c r="D14" s="142">
        <v>9850</v>
      </c>
      <c r="E14" s="142">
        <v>10340</v>
      </c>
      <c r="F14" s="142">
        <v>9605</v>
      </c>
      <c r="G14" s="142">
        <v>9491</v>
      </c>
      <c r="H14" s="142">
        <v>9081</v>
      </c>
      <c r="I14" s="142">
        <v>8503</v>
      </c>
      <c r="J14" s="143">
        <v>8330</v>
      </c>
    </row>
    <row r="15" spans="1:229" s="144" customFormat="1">
      <c r="A15" s="141" t="s">
        <v>84</v>
      </c>
      <c r="B15" s="142">
        <v>8428</v>
      </c>
      <c r="C15" s="142">
        <v>9280</v>
      </c>
      <c r="D15" s="142">
        <v>9587</v>
      </c>
      <c r="E15" s="142">
        <v>9414</v>
      </c>
      <c r="F15" s="142">
        <v>9166</v>
      </c>
      <c r="G15" s="142">
        <v>8751</v>
      </c>
      <c r="H15" s="142">
        <v>8121</v>
      </c>
      <c r="I15" s="142">
        <v>7720</v>
      </c>
      <c r="J15" s="143">
        <v>7424</v>
      </c>
    </row>
    <row r="16" spans="1:229" s="144" customFormat="1">
      <c r="A16" s="141" t="s">
        <v>85</v>
      </c>
      <c r="B16" s="142">
        <v>698</v>
      </c>
      <c r="C16" s="142">
        <v>716</v>
      </c>
      <c r="D16" s="142">
        <v>720</v>
      </c>
      <c r="E16" s="142">
        <v>709</v>
      </c>
      <c r="F16" s="142">
        <v>666</v>
      </c>
      <c r="G16" s="142">
        <v>650</v>
      </c>
      <c r="H16" s="142">
        <v>620</v>
      </c>
      <c r="I16" s="142">
        <v>595</v>
      </c>
      <c r="J16" s="143">
        <v>559</v>
      </c>
    </row>
    <row r="17" spans="1:10" s="144" customFormat="1">
      <c r="A17" s="141" t="s">
        <v>86</v>
      </c>
      <c r="B17" s="142">
        <v>30713</v>
      </c>
      <c r="C17" s="142">
        <v>33221</v>
      </c>
      <c r="D17" s="142">
        <v>34383</v>
      </c>
      <c r="E17" s="142">
        <v>36806</v>
      </c>
      <c r="F17" s="142">
        <v>37402</v>
      </c>
      <c r="G17" s="142">
        <v>37444</v>
      </c>
      <c r="H17" s="142">
        <v>34402</v>
      </c>
      <c r="I17" s="142">
        <v>34148</v>
      </c>
      <c r="J17" s="143">
        <v>33495</v>
      </c>
    </row>
    <row r="18" spans="1:10" s="144" customFormat="1">
      <c r="A18" s="141" t="s">
        <v>87</v>
      </c>
      <c r="B18" s="142">
        <v>1850</v>
      </c>
      <c r="C18" s="142">
        <v>1963</v>
      </c>
      <c r="D18" s="142">
        <v>2173</v>
      </c>
      <c r="E18" s="142">
        <v>2223</v>
      </c>
      <c r="F18" s="142">
        <v>2253</v>
      </c>
      <c r="G18" s="142">
        <v>2129</v>
      </c>
      <c r="H18" s="142">
        <v>1565</v>
      </c>
      <c r="I18" s="142">
        <v>1531</v>
      </c>
      <c r="J18" s="143">
        <v>1265</v>
      </c>
    </row>
    <row r="19" spans="1:10" s="144" customFormat="1">
      <c r="A19" s="141" t="s">
        <v>88</v>
      </c>
      <c r="B19" s="142">
        <v>4863</v>
      </c>
      <c r="C19" s="142">
        <v>5186</v>
      </c>
      <c r="D19" s="142">
        <v>5617</v>
      </c>
      <c r="E19" s="142">
        <v>6587</v>
      </c>
      <c r="F19" s="142">
        <v>7473</v>
      </c>
      <c r="G19" s="142">
        <v>7859</v>
      </c>
      <c r="H19" s="142">
        <v>8830</v>
      </c>
      <c r="I19" s="142">
        <v>11318</v>
      </c>
      <c r="J19" s="143">
        <v>11456</v>
      </c>
    </row>
    <row r="20" spans="1:10" s="144" customFormat="1">
      <c r="A20" s="145" t="s">
        <v>89</v>
      </c>
      <c r="B20" s="142">
        <v>2374</v>
      </c>
      <c r="C20" s="142">
        <v>2158</v>
      </c>
      <c r="D20" s="142">
        <v>1955</v>
      </c>
      <c r="E20" s="142">
        <v>3022</v>
      </c>
      <c r="F20" s="142">
        <v>3162</v>
      </c>
      <c r="G20" s="142">
        <v>3009</v>
      </c>
      <c r="H20" s="142">
        <v>3411</v>
      </c>
      <c r="I20" s="142">
        <v>3549</v>
      </c>
      <c r="J20" s="143">
        <v>3747</v>
      </c>
    </row>
    <row r="21" spans="1:10" s="144" customFormat="1">
      <c r="A21" s="141" t="s">
        <v>90</v>
      </c>
      <c r="B21" s="142">
        <v>2843</v>
      </c>
      <c r="C21" s="142">
        <v>2913</v>
      </c>
      <c r="D21" s="142">
        <v>2828</v>
      </c>
      <c r="E21" s="142">
        <v>2953</v>
      </c>
      <c r="F21" s="142">
        <v>2736</v>
      </c>
      <c r="G21" s="142">
        <v>2480</v>
      </c>
      <c r="H21" s="142">
        <v>2441</v>
      </c>
      <c r="I21" s="142">
        <v>2293</v>
      </c>
      <c r="J21" s="143">
        <v>2204</v>
      </c>
    </row>
    <row r="22" spans="1:10" s="144" customFormat="1">
      <c r="A22" s="141" t="s">
        <v>91</v>
      </c>
      <c r="B22" s="142">
        <v>1643</v>
      </c>
      <c r="C22" s="142">
        <v>1933</v>
      </c>
      <c r="D22" s="142">
        <v>2258</v>
      </c>
      <c r="E22" s="142">
        <v>1910</v>
      </c>
      <c r="F22" s="142">
        <v>1998</v>
      </c>
      <c r="G22" s="142">
        <v>2823</v>
      </c>
      <c r="H22" s="142">
        <v>2567</v>
      </c>
      <c r="I22" s="142">
        <v>1401</v>
      </c>
      <c r="J22" s="143">
        <v>1199</v>
      </c>
    </row>
    <row r="23" spans="1:10" s="144" customFormat="1">
      <c r="A23" s="141" t="s">
        <v>92</v>
      </c>
      <c r="B23" s="142">
        <v>7813</v>
      </c>
      <c r="C23" s="142">
        <v>7944</v>
      </c>
      <c r="D23" s="142">
        <v>7842</v>
      </c>
      <c r="E23" s="142">
        <v>8819</v>
      </c>
      <c r="F23" s="142">
        <v>9006</v>
      </c>
      <c r="G23" s="142">
        <v>7806</v>
      </c>
      <c r="H23" s="142">
        <v>7701</v>
      </c>
      <c r="I23" s="142">
        <v>7806</v>
      </c>
      <c r="J23" s="143">
        <v>7847</v>
      </c>
    </row>
    <row r="24" spans="1:10" s="144" customFormat="1">
      <c r="A24" s="141" t="s">
        <v>93</v>
      </c>
      <c r="B24" s="142">
        <v>24505</v>
      </c>
      <c r="C24" s="142">
        <v>26468</v>
      </c>
      <c r="D24" s="142">
        <v>26884</v>
      </c>
      <c r="E24" s="142">
        <v>28413</v>
      </c>
      <c r="F24" s="142">
        <v>28510</v>
      </c>
      <c r="G24" s="142">
        <v>27390</v>
      </c>
      <c r="H24" s="142">
        <v>27626</v>
      </c>
      <c r="I24" s="142">
        <v>27581</v>
      </c>
      <c r="J24" s="143">
        <v>27769</v>
      </c>
    </row>
    <row r="25" spans="1:10" s="144" customFormat="1">
      <c r="A25" s="141" t="s">
        <v>94</v>
      </c>
      <c r="B25" s="142">
        <v>12684</v>
      </c>
      <c r="C25" s="142">
        <v>13417</v>
      </c>
      <c r="D25" s="142">
        <v>14047</v>
      </c>
      <c r="E25" s="142">
        <v>15004</v>
      </c>
      <c r="F25" s="142">
        <v>15138</v>
      </c>
      <c r="G25" s="142">
        <v>14642</v>
      </c>
      <c r="H25" s="142">
        <v>14556</v>
      </c>
      <c r="I25" s="142">
        <v>14575</v>
      </c>
      <c r="J25" s="143">
        <v>14651</v>
      </c>
    </row>
    <row r="26" spans="1:10" s="144" customFormat="1">
      <c r="A26" s="141" t="s">
        <v>95</v>
      </c>
      <c r="B26" s="142">
        <v>9006</v>
      </c>
      <c r="C26" s="142">
        <v>9746</v>
      </c>
      <c r="D26" s="142">
        <v>10261</v>
      </c>
      <c r="E26" s="142">
        <v>10618</v>
      </c>
      <c r="F26" s="142">
        <v>10832</v>
      </c>
      <c r="G26" s="142">
        <v>10370</v>
      </c>
      <c r="H26" s="142">
        <v>10311</v>
      </c>
      <c r="I26" s="142">
        <v>10292</v>
      </c>
      <c r="J26" s="143">
        <v>10356</v>
      </c>
    </row>
    <row r="27" spans="1:10" s="144" customFormat="1">
      <c r="A27" s="141" t="s">
        <v>96</v>
      </c>
      <c r="B27" s="142">
        <v>4740</v>
      </c>
      <c r="C27" s="142">
        <v>4486</v>
      </c>
      <c r="D27" s="142">
        <v>4594</v>
      </c>
      <c r="E27" s="142">
        <v>4516</v>
      </c>
      <c r="F27" s="142">
        <v>4140</v>
      </c>
      <c r="G27" s="142">
        <v>4288</v>
      </c>
      <c r="H27" s="142">
        <v>3991</v>
      </c>
      <c r="I27" s="142">
        <v>3901</v>
      </c>
      <c r="J27" s="143">
        <v>3723</v>
      </c>
    </row>
    <row r="28" spans="1:10" s="144" customFormat="1">
      <c r="A28" s="141" t="s">
        <v>97</v>
      </c>
      <c r="B28" s="142">
        <v>1769</v>
      </c>
      <c r="C28" s="142">
        <v>1941</v>
      </c>
      <c r="D28" s="142">
        <v>2191</v>
      </c>
      <c r="E28" s="142">
        <v>2440</v>
      </c>
      <c r="F28" s="142">
        <v>2464</v>
      </c>
      <c r="G28" s="142">
        <v>2504</v>
      </c>
      <c r="H28" s="142">
        <v>2419</v>
      </c>
      <c r="I28" s="142">
        <v>2351</v>
      </c>
      <c r="J28" s="143">
        <v>2512</v>
      </c>
    </row>
    <row r="29" spans="1:10" s="144" customFormat="1">
      <c r="A29" s="141" t="s">
        <v>98</v>
      </c>
      <c r="B29" s="142">
        <v>682</v>
      </c>
      <c r="C29" s="142">
        <v>721</v>
      </c>
      <c r="D29" s="142">
        <v>783</v>
      </c>
      <c r="E29" s="142">
        <v>815</v>
      </c>
      <c r="F29" s="142">
        <v>763</v>
      </c>
      <c r="G29" s="142">
        <v>909</v>
      </c>
      <c r="H29" s="142">
        <v>818</v>
      </c>
      <c r="I29" s="142">
        <v>802</v>
      </c>
      <c r="J29" s="143">
        <v>792</v>
      </c>
    </row>
    <row r="30" spans="1:10" s="144" customFormat="1">
      <c r="A30" s="63" t="s">
        <v>99</v>
      </c>
      <c r="B30" s="142">
        <v>0</v>
      </c>
      <c r="C30" s="142">
        <v>0</v>
      </c>
      <c r="D30" s="142">
        <v>0</v>
      </c>
      <c r="E30" s="142">
        <v>0</v>
      </c>
      <c r="F30" s="144">
        <v>0</v>
      </c>
      <c r="G30" s="142">
        <v>2871.248</v>
      </c>
      <c r="H30" s="142">
        <v>3455.218971717562</v>
      </c>
      <c r="I30" s="142">
        <v>3570.6926890681461</v>
      </c>
      <c r="J30" s="143">
        <v>3613.415771583605</v>
      </c>
    </row>
    <row r="31" spans="1:10" s="144" customFormat="1">
      <c r="A31" s="63" t="s">
        <v>100</v>
      </c>
      <c r="B31" s="142">
        <v>0</v>
      </c>
      <c r="C31" s="142">
        <v>0</v>
      </c>
      <c r="D31" s="142">
        <v>0</v>
      </c>
      <c r="E31" s="142">
        <v>0</v>
      </c>
      <c r="F31" s="142">
        <v>0</v>
      </c>
      <c r="G31" s="142">
        <v>351.95199999999988</v>
      </c>
      <c r="H31" s="142">
        <v>3819</v>
      </c>
      <c r="I31" s="142">
        <v>3818</v>
      </c>
      <c r="J31" s="143">
        <v>3549</v>
      </c>
    </row>
    <row r="32" spans="1:10" s="144" customFormat="1">
      <c r="A32" s="63" t="s">
        <v>101</v>
      </c>
      <c r="B32" s="142">
        <v>0</v>
      </c>
      <c r="C32" s="142">
        <v>0</v>
      </c>
      <c r="D32" s="142">
        <v>0</v>
      </c>
      <c r="E32" s="142">
        <v>0</v>
      </c>
      <c r="F32" s="142">
        <v>0</v>
      </c>
      <c r="G32" s="142">
        <v>0</v>
      </c>
      <c r="H32" s="142">
        <v>775</v>
      </c>
      <c r="I32" s="142">
        <v>1000</v>
      </c>
      <c r="J32" s="143">
        <v>0</v>
      </c>
    </row>
    <row r="33" spans="1:10" s="153" customFormat="1" ht="12" thickBot="1">
      <c r="A33" s="160" t="s">
        <v>136</v>
      </c>
      <c r="B33" s="161">
        <v>311885</v>
      </c>
      <c r="C33" s="161">
        <v>332999</v>
      </c>
      <c r="D33" s="161">
        <v>349264</v>
      </c>
      <c r="E33" s="161">
        <v>376300</v>
      </c>
      <c r="F33" s="161">
        <v>375170</v>
      </c>
      <c r="G33" s="161">
        <v>370700</v>
      </c>
      <c r="H33" s="161">
        <v>369700</v>
      </c>
      <c r="I33" s="161">
        <v>370200</v>
      </c>
      <c r="J33" s="162">
        <v>369200</v>
      </c>
    </row>
    <row r="34" spans="1:10">
      <c r="A34" s="258" t="s">
        <v>137</v>
      </c>
      <c r="B34" s="258"/>
      <c r="C34" s="258"/>
      <c r="D34" s="258"/>
      <c r="E34" s="258"/>
    </row>
    <row r="35" spans="1:10">
      <c r="A35" s="260" t="s">
        <v>107</v>
      </c>
      <c r="B35" s="260"/>
      <c r="C35" s="260"/>
      <c r="D35" s="260"/>
      <c r="E35" s="260"/>
    </row>
    <row r="36" spans="1:10" ht="11.25" customHeight="1">
      <c r="A36" s="260" t="s">
        <v>108</v>
      </c>
      <c r="B36" s="260"/>
      <c r="C36" s="260"/>
      <c r="D36" s="260"/>
      <c r="E36" s="260"/>
    </row>
    <row r="37" spans="1:10">
      <c r="A37" s="260"/>
      <c r="B37" s="260"/>
      <c r="C37" s="260"/>
      <c r="D37" s="260"/>
      <c r="E37" s="260"/>
    </row>
  </sheetData>
  <mergeCells count="4">
    <mergeCell ref="B3:F3"/>
    <mergeCell ref="A34:E34"/>
    <mergeCell ref="A35:E35"/>
    <mergeCell ref="A36:E37"/>
  </mergeCells>
  <pageMargins left="0.98425196850393704" right="0.98425196850393704"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97C080C8-3D59-4B86-8745-916BF17260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1.1</vt:lpstr>
      <vt:lpstr>1.2</vt:lpstr>
      <vt:lpstr>1.3</vt:lpstr>
      <vt:lpstr>1.3a</vt:lpstr>
      <vt:lpstr>1.4</vt:lpstr>
      <vt:lpstr>1.5</vt:lpstr>
      <vt:lpstr>1.6</vt:lpstr>
      <vt:lpstr>1.7</vt:lpstr>
      <vt:lpstr>1.8</vt:lpstr>
      <vt:lpstr>1.9</vt:lpstr>
      <vt:lpstr>1.10a</vt:lpstr>
      <vt:lpstr>1.10b</vt:lpstr>
      <vt:lpstr>1.11</vt:lpstr>
      <vt:lpstr>1.12</vt:lpstr>
      <vt:lpstr>1.13</vt:lpstr>
      <vt:lpstr>'1.1'!Print_Area</vt:lpstr>
      <vt:lpstr>'1.10b'!Print_Area</vt:lpstr>
      <vt:lpstr>'1.12'!Print_Area</vt:lpstr>
      <vt:lpstr>'1.13'!Print_Area</vt:lpstr>
      <vt:lpstr>'1.2'!Print_Area</vt:lpstr>
      <vt:lpstr>'1.3'!Print_Area</vt:lpstr>
      <vt:lpstr>'1.3a'!Print_Area</vt:lpstr>
      <vt:lpstr>'1.4'!Print_Area</vt:lpstr>
      <vt:lpstr>'1.5'!Print_Area</vt:lpstr>
      <vt:lpstr>'1.6'!Print_Area</vt:lpstr>
      <vt:lpstr>'1.7'!Print_Area</vt:lpstr>
      <vt:lpstr>'1.8'!Print_Area</vt:lpstr>
      <vt:lpstr>'1.9'!Print_Area</vt:lpstr>
      <vt:lpstr>'1.3'!Table</vt:lpstr>
      <vt:lpstr>'1.4'!Table</vt:lpstr>
      <vt:lpstr>'1.5'!Table</vt:lpstr>
      <vt:lpstr>'1.6'!Table</vt:lpstr>
      <vt:lpstr>'1.7'!Table</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coyne</dc:creator>
  <cp:lastModifiedBy>bob-thomas</cp:lastModifiedBy>
  <dcterms:created xsi:type="dcterms:W3CDTF">2011-07-01T08:49:26Z</dcterms:created>
  <dcterms:modified xsi:type="dcterms:W3CDTF">2011-07-12T13:37:49Z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6f4a2618-0826-4174-b7a1-f7ed04b0568a</vt:lpwstr>
  </property>
</Properties>
</file>